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30.xml" ContentType="application/vnd.openxmlformats-officedocument.drawingml.chartshapes+xml"/>
  <Override PartName="/xl/drawings/drawing41.xml" ContentType="application/vnd.openxmlformats-officedocument.drawingml.chartshapes+xml"/>
  <Override PartName="/xl/drawings/drawing31.xml" ContentType="application/vnd.openxmlformats-officedocument.drawingml.chartshapes+xml"/>
  <Override PartName="/xl/drawings/drawing42.xml" ContentType="application/vnd.openxmlformats-officedocument.drawingml.chartshapes+xml"/>
  <Override PartName="/xl/drawings/drawing10.xml" ContentType="application/vnd.openxmlformats-officedocument.drawingml.chartshapes+xml"/>
  <Override PartName="/xl/drawings/drawing9.xml" ContentType="application/vnd.openxmlformats-officedocument.drawingml.chartshapes+xml"/>
  <Override PartName="/xl/drawings/drawing6.xml" ContentType="application/vnd.openxmlformats-officedocument.drawingml.chartshapes+xml"/>
  <Override PartName="/xl/drawings/drawing16.xml" ContentType="application/vnd.openxmlformats-officedocument.drawingml.chartshapes+xml"/>
  <Override PartName="/xl/drawings/drawing47.xml" ContentType="application/vnd.openxmlformats-officedocument.drawingml.chartshapes+xml"/>
  <Override PartName="/xl/drawings/drawing5.xml" ContentType="application/vnd.openxmlformats-officedocument.drawingml.chartshapes+xml"/>
  <Override PartName="/xl/drawings/drawing76.xml" ContentType="application/vnd.openxmlformats-officedocument.drawingml.chartshapes+xml"/>
  <Override PartName="/xl/drawings/drawing59.xml" ContentType="application/vnd.openxmlformats-officedocument.drawingml.chartshapes+xml"/>
  <Override PartName="/xl/drawings/drawing58.xml" ContentType="application/vnd.openxmlformats-officedocument.drawingml.chartshapes+xml"/>
  <Override PartName="/xl/drawings/drawing46.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charts/chart129.xml" ContentType="application/vnd.openxmlformats-officedocument.drawingml.chart+xml"/>
  <Override PartName="/xl/drawings/drawing84.xml" ContentType="application/vnd.openxmlformats-officedocument.drawing+xml"/>
  <Override PartName="/xl/charts/chart128.xml" ContentType="application/vnd.openxmlformats-officedocument.drawingml.chart+xml"/>
  <Override PartName="/xl/drawings/drawing83.xml" ContentType="application/vnd.openxmlformats-officedocument.drawing+xml"/>
  <Override PartName="/xl/charts/chart127.xml" ContentType="application/vnd.openxmlformats-officedocument.drawingml.chart+xml"/>
  <Override PartName="/xl/charts/chart126.xml" ContentType="application/vnd.openxmlformats-officedocument.drawingml.chart+xml"/>
  <Override PartName="/xl/charts/chart125.xml" ContentType="application/vnd.openxmlformats-officedocument.drawingml.chart+xml"/>
  <Override PartName="/xl/drawings/drawing85.xml" ContentType="application/vnd.openxmlformats-officedocument.drawing+xml"/>
  <Override PartName="/xl/charts/chart130.xml" ContentType="application/vnd.openxmlformats-officedocument.drawingml.chart+xml"/>
  <Override PartName="/xl/drawings/drawing8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charts/chart131.xml" ContentType="application/vnd.openxmlformats-officedocument.drawingml.chart+xml"/>
  <Override PartName="/xl/drawings/drawing82.xml" ContentType="application/vnd.openxmlformats-officedocument.drawing+xml"/>
  <Override PartName="/xl/charts/chart124.xml" ContentType="application/vnd.openxmlformats-officedocument.drawingml.chart+xml"/>
  <Override PartName="/xl/drawings/drawing81.xml" ContentType="application/vnd.openxmlformats-officedocument.drawing+xml"/>
  <Override PartName="/xl/charts/chart117.xml" ContentType="application/vnd.openxmlformats-officedocument.drawingml.chart+xml"/>
  <Override PartName="/xl/drawings/drawing77.xml" ContentType="application/vnd.openxmlformats-officedocument.drawing+xml"/>
  <Override PartName="/xl/worksheets/sheet6.xml" ContentType="application/vnd.openxmlformats-officedocument.spreadsheetml.worksheet+xml"/>
  <Override PartName="/xl/charts/colors13.xml" ContentType="application/vnd.ms-office.chartcolorstyle+xml"/>
  <Override PartName="/xl/charts/style13.xml" ContentType="application/vnd.ms-office.chartstyle+xml"/>
  <Override PartName="/xl/charts/chart116.xml" ContentType="application/vnd.openxmlformats-officedocument.drawingml.chart+xml"/>
  <Override PartName="/xl/charts/chart118.xml" ContentType="application/vnd.openxmlformats-officedocument.drawingml.chart+xml"/>
  <Override PartName="/xl/drawings/drawing78.xml" ContentType="application/vnd.openxmlformats-officedocument.drawing+xml"/>
  <Override PartName="/xl/charts/chart119.xml" ContentType="application/vnd.openxmlformats-officedocument.drawingml.chart+xml"/>
  <Override PartName="/xl/charts/chart123.xml" ContentType="application/vnd.openxmlformats-officedocument.drawingml.chart+xml"/>
  <Override PartName="/xl/drawings/drawing80.xml" ContentType="application/vnd.openxmlformats-officedocument.drawing+xml"/>
  <Override PartName="/xl/charts/chart122.xml" ContentType="application/vnd.openxmlformats-officedocument.drawingml.chart+xml"/>
  <Override PartName="/xl/charts/chart121.xml" ContentType="application/vnd.openxmlformats-officedocument.drawingml.chart+xml"/>
  <Override PartName="/xl/charts/chart120.xml" ContentType="application/vnd.openxmlformats-officedocument.drawingml.chart+xml"/>
  <Override PartName="/xl/drawings/drawing79.xml" ContentType="application/vnd.openxmlformats-officedocument.drawing+xml"/>
  <Override PartName="/xl/drawings/drawing75.xml" ContentType="application/vnd.openxmlformats-officedocument.drawing+xml"/>
  <Override PartName="/xl/charts/chart115.xml" ContentType="application/vnd.openxmlformats-officedocument.drawingml.chart+xml"/>
  <Override PartName="/xl/drawings/drawing74.xml" ContentType="application/vnd.openxmlformats-officedocument.drawing+xml"/>
  <Override PartName="/xl/drawings/drawing62.xml" ContentType="application/vnd.openxmlformats-officedocument.drawing+xml"/>
  <Override PartName="/xl/charts/chart92.xml" ContentType="application/vnd.openxmlformats-officedocument.drawingml.chart+xml"/>
  <Override PartName="/xl/charts/chart91.xml" ContentType="application/vnd.openxmlformats-officedocument.drawingml.chart+xml"/>
  <Override PartName="/xl/drawings/drawing61.xml" ContentType="application/vnd.openxmlformats-officedocument.drawing+xml"/>
  <Override PartName="/xl/charts/chart90.xml" ContentType="application/vnd.openxmlformats-officedocument.drawingml.chart+xml"/>
  <Override PartName="/xl/drawings/drawing60.xml" ContentType="application/vnd.openxmlformats-officedocument.drawing+xml"/>
  <Override PartName="/xl/charts/chart93.xml" ContentType="application/vnd.openxmlformats-officedocument.drawingml.chart+xml"/>
  <Override PartName="/xl/worksheets/sheet1.xml" ContentType="application/vnd.openxmlformats-officedocument.spreadsheetml.worksheet+xml"/>
  <Override PartName="/xl/charts/chart94.xml" ContentType="application/vnd.openxmlformats-officedocument.drawingml.chart+xml"/>
  <Override PartName="/xl/charts/chart96.xml" ContentType="application/vnd.openxmlformats-officedocument.drawingml.chart+xml"/>
  <Override PartName="/xl/drawings/drawing64.xml" ContentType="application/vnd.openxmlformats-officedocument.drawing+xml"/>
  <Override PartName="/xl/charts/colors8.xml" ContentType="application/vnd.ms-office.chartcolorstyle+xml"/>
  <Override PartName="/xl/charts/style8.xml" ContentType="application/vnd.ms-office.chartstyle+xml"/>
  <Override PartName="/xl/charts/chart95.xml" ContentType="application/vnd.openxmlformats-officedocument.drawingml.chart+xml"/>
  <Override PartName="/xl/worksheets/sheet7.xml" ContentType="application/vnd.openxmlformats-officedocument.spreadsheetml.worksheet+xml"/>
  <Override PartName="/xl/charts/chart89.xml" ContentType="application/vnd.openxmlformats-officedocument.drawingml.chart+xml"/>
  <Override PartName="/xl/worksheets/sheet8.xml" ContentType="application/vnd.openxmlformats-officedocument.spreadsheetml.worksheet+xml"/>
  <Override PartName="/xl/charts/chart85.xml" ContentType="application/vnd.openxmlformats-officedocument.drawingml.chart+xml"/>
  <Override PartName="/xl/charts/chart84.xml" ContentType="application/vnd.openxmlformats-officedocument.drawingml.chart+xml"/>
  <Override PartName="/xl/charts/chart83.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6.xml" ContentType="application/vnd.openxmlformats-officedocument.drawing+xml"/>
  <Override PartName="/xl/charts/chart88.xml" ContentType="application/vnd.openxmlformats-officedocument.drawingml.chart+xml"/>
  <Override PartName="/xl/drawings/drawing57.xml" ContentType="application/vnd.openxmlformats-officedocument.drawing+xml"/>
  <Override PartName="/xl/charts/colors7.xml" ContentType="application/vnd.ms-office.chartcolorstyle+xml"/>
  <Override PartName="/xl/charts/style7.xml" ContentType="application/vnd.ms-office.chartstyle+xml"/>
  <Override PartName="/xl/charts/chart87.xml" ContentType="application/vnd.openxmlformats-officedocument.drawingml.chart+xml"/>
  <Override PartName="/xl/charts/chart86.xml" ContentType="application/vnd.openxmlformats-officedocument.drawingml.chart+xml"/>
  <Override PartName="/xl/charts/chart97.xml" ContentType="application/vnd.openxmlformats-officedocument.drawingml.chart+xml"/>
  <Override PartName="/xl/drawings/drawing65.xml" ContentType="application/vnd.openxmlformats-officedocument.drawing+xml"/>
  <Override PartName="/xl/charts/chart98.xml" ContentType="application/vnd.openxmlformats-officedocument.drawingml.chart+xml"/>
  <Override PartName="/xl/charts/chart111.xml" ContentType="application/vnd.openxmlformats-officedocument.drawingml.chart+xml"/>
  <Override PartName="/xl/charts/chart110.xml" ContentType="application/vnd.openxmlformats-officedocument.drawingml.chart+xml"/>
  <Override PartName="/xl/drawings/drawing70.xml" ContentType="application/vnd.openxmlformats-officedocument.drawing+xml"/>
  <Override PartName="/xl/charts/chart109.xml" ContentType="application/vnd.openxmlformats-officedocument.drawingml.chart+xml"/>
  <Override PartName="/xl/charts/chart108.xml" ContentType="application/vnd.openxmlformats-officedocument.drawingml.chart+xml"/>
  <Override PartName="/xl/charts/chart107.xml" ContentType="application/vnd.openxmlformats-officedocument.drawingml.chart+xml"/>
  <Override PartName="/xl/theme/themeOverride1.xml" ContentType="application/vnd.openxmlformats-officedocument.themeOverride+xml"/>
  <Override PartName="/xl/drawings/drawing71.xml" ContentType="application/vnd.openxmlformats-officedocument.drawing+xml"/>
  <Override PartName="/xl/charts/chart112.xml" ContentType="application/vnd.openxmlformats-officedocument.drawingml.chart+xml"/>
  <Override PartName="/xl/charts/chart114.xml" ContentType="application/vnd.openxmlformats-officedocument.drawingml.chart+xml"/>
  <Override PartName="/xl/drawings/drawing73.xml" ContentType="application/vnd.openxmlformats-officedocument.drawing+xml"/>
  <Override PartName="/xl/charts/colors12.xml" ContentType="application/vnd.ms-office.chartcolorstyle+xml"/>
  <Override PartName="/xl/charts/style12.xml" ContentType="application/vnd.ms-office.chartstyle+xml"/>
  <Override PartName="/xl/charts/chart113.xml" ContentType="application/vnd.openxmlformats-officedocument.drawingml.chart+xml"/>
  <Override PartName="/xl/drawings/drawing72.xml" ContentType="application/vnd.openxmlformats-officedocument.drawing+xml"/>
  <Override PartName="/xl/drawings/drawing69.xml" ContentType="application/vnd.openxmlformats-officedocument.drawing+xml"/>
  <Override PartName="/xl/charts/colors11.xml" ContentType="application/vnd.ms-office.chartcolorstyle+xml"/>
  <Override PartName="/xl/charts/style11.xml" ContentType="application/vnd.ms-office.chartstyle+xml"/>
  <Override PartName="/xl/charts/chart101.xml" ContentType="application/vnd.openxmlformats-officedocument.drawingml.chart+xml"/>
  <Override PartName="/xl/charts/chart100.xml" ContentType="application/vnd.openxmlformats-officedocument.drawingml.chart+xml"/>
  <Override PartName="/xl/drawings/drawing66.xml" ContentType="application/vnd.openxmlformats-officedocument.drawing+xml"/>
  <Override PartName="/xl/charts/colors9.xml" ContentType="application/vnd.ms-office.chartcolorstyle+xml"/>
  <Override PartName="/xl/charts/style9.xml" ContentType="application/vnd.ms-office.chartstyle+xml"/>
  <Override PartName="/xl/charts/chart99.xml" ContentType="application/vnd.openxmlformats-officedocument.drawingml.chart+xml"/>
  <Override PartName="/xl/charts/chart102.xml" ContentType="application/vnd.openxmlformats-officedocument.drawingml.chart+xml"/>
  <Override PartName="/xl/drawings/drawing67.xml" ContentType="application/vnd.openxmlformats-officedocument.drawing+xml"/>
  <Override PartName="/xl/charts/chart103.xml" ContentType="application/vnd.openxmlformats-officedocument.drawingml.chart+xml"/>
  <Override PartName="/xl/charts/chart106.xml" ContentType="application/vnd.openxmlformats-officedocument.drawingml.chart+xml"/>
  <Override PartName="/xl/charts/chart105.xml" ContentType="application/vnd.openxmlformats-officedocument.drawingml.chart+xml"/>
  <Override PartName="/xl/drawings/drawing68.xml" ContentType="application/vnd.openxmlformats-officedocument.drawing+xml"/>
  <Override PartName="/xl/charts/colors10.xml" ContentType="application/vnd.ms-office.chartcolorstyle+xml"/>
  <Override PartName="/xl/charts/style10.xml" ContentType="application/vnd.ms-office.chartstyle+xml"/>
  <Override PartName="/xl/charts/chart104.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hart80.xml" ContentType="application/vnd.openxmlformats-officedocument.drawingml.chart+xml"/>
  <Override PartName="/xl/drawings/drawing63.xml" ContentType="application/vnd.openxmlformats-officedocument.drawing+xml"/>
  <Override PartName="/xl/drawings/drawing7.xml" ContentType="application/vnd.openxmlformats-officedocument.drawing+xml"/>
  <Override PartName="/xl/charts/chart39.xml" ContentType="application/vnd.openxmlformats-officedocument.drawingml.chart+xml"/>
  <Override PartName="/xl/worksheets/sheet82.xml" ContentType="application/vnd.openxmlformats-officedocument.spreadsheetml.worksheet+xml"/>
  <Override PartName="/xl/charts/chart1.xml" ContentType="application/vnd.openxmlformats-officedocument.drawingml.chart+xml"/>
  <Override PartName="/xl/charts/chart38.xml" ContentType="application/vnd.openxmlformats-officedocument.drawingml.chart+xml"/>
  <Override PartName="/xl/worksheets/sheet81.xml" ContentType="application/vnd.openxmlformats-officedocument.spreadsheetml.worksheet+xml"/>
  <Override PartName="/xl/worksheets/sheet80.xml" ContentType="application/vnd.openxmlformats-officedocument.spreadsheetml.worksheet+xml"/>
  <Override PartName="/xl/drawings/drawing26.xml" ContentType="application/vnd.openxmlformats-officedocument.drawing+xml"/>
  <Override PartName="/xl/charts/colors2.xml" ContentType="application/vnd.ms-office.chartcolorstyle+xml"/>
  <Override PartName="/xl/charts/style2.xml" ContentType="application/vnd.ms-office.chartstyle+xml"/>
  <Override PartName="/xl/worksheets/sheet79.xml" ContentType="application/vnd.openxmlformats-officedocument.spreadsheetml.worksheet+xml"/>
  <Override PartName="/xl/charts/chart40.xml" ContentType="application/vnd.openxmlformats-officedocument.drawingml.chart+xml"/>
  <Override PartName="/xl/drawings/drawing25.xml" ContentType="application/vnd.openxmlformats-officedocument.drawing+xml"/>
  <Override PartName="/xl/charts/chart2.xml" ContentType="application/vnd.openxmlformats-officedocument.drawingml.chart+xml"/>
  <Override PartName="/xl/charts/chart37.xml" ContentType="application/vnd.openxmlformats-officedocument.drawingml.chart+xml"/>
  <Override PartName="/xl/charts/colors1.xml" ContentType="application/vnd.ms-office.chartcolorstyle+xml"/>
  <Override PartName="/xl/charts/style1.xml" ContentType="application/vnd.ms-office.chartstyle+xml"/>
  <Override PartName="/xl/charts/chart34.xml" ContentType="application/vnd.openxmlformats-officedocument.drawingml.chart+xml"/>
  <Override PartName="/xl/drawings/drawing22.xml" ContentType="application/vnd.openxmlformats-officedocument.drawing+xml"/>
  <Override PartName="/xl/charts/chart3.xml" ContentType="application/vnd.openxmlformats-officedocument.drawingml.chart+xml"/>
  <Override PartName="/xl/drawings/drawing2.xml" ContentType="application/vnd.openxmlformats-officedocument.drawing+xml"/>
  <Override PartName="/xl/drawings/drawing23.xml" ContentType="application/vnd.openxmlformats-officedocument.drawing+xml"/>
  <Override PartName="/xl/charts/chart35.xml" ContentType="application/vnd.openxmlformats-officedocument.drawingml.chart+xml"/>
  <Override PartName="/xl/drawings/drawing24.xml" ContentType="application/vnd.openxmlformats-officedocument.drawing+xml"/>
  <Override PartName="/xl/charts/chart36.xml" ContentType="application/vnd.openxmlformats-officedocument.drawingml.chart+xml"/>
  <Override PartName="/xl/worksheets/sheet78.xml" ContentType="application/vnd.openxmlformats-officedocument.spreadsheetml.worksheet+xml"/>
  <Override PartName="/xl/worksheets/sheet77.xml" ContentType="application/vnd.openxmlformats-officedocument.spreadsheetml.worksheet+xml"/>
  <Override PartName="/xl/drawings/drawing27.xml" ContentType="application/vnd.openxmlformats-officedocument.drawing+xml"/>
  <Override PartName="/xl/drawings/drawing29.xml" ContentType="application/vnd.openxmlformats-officedocument.drawing+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charts/chart45.xml" ContentType="application/vnd.openxmlformats-officedocument.drawingml.chart+xml"/>
  <Override PartName="/xl/worksheets/sheet67.xml" ContentType="application/vnd.openxmlformats-officedocument.spreadsheetml.worksheet+xml"/>
  <Override PartName="/xl/worksheets/sheet14.xml" ContentType="application/vnd.openxmlformats-officedocument.spreadsheetml.worksheet+xml"/>
  <Override PartName="/xl/charts/chart46.xml" ContentType="application/vnd.openxmlformats-officedocument.drawingml.chart+xml"/>
  <Override PartName="/xl/worksheets/sheet66.xml" ContentType="application/vnd.openxmlformats-officedocument.spreadsheetml.worksheet+xml"/>
  <Override PartName="/xl/worksheets/sheet18.xml" ContentType="application/vnd.openxmlformats-officedocument.spreadsheetml.worksheet+xml"/>
  <Override PartName="/xl/charts/colors3.xml" ContentType="application/vnd.ms-office.chartcolorstyle+xml"/>
  <Override PartName="/xl/charts/style3.xml" ContentType="application/vnd.ms-office.chartstyle+xml"/>
  <Override PartName="/xl/worksheets/sheet71.xml" ContentType="application/vnd.openxmlformats-officedocument.spreadsheetml.worksheet+xml"/>
  <Override PartName="/xl/charts/chart42.xml" ContentType="application/vnd.openxmlformats-officedocument.drawingml.chart+xml"/>
  <Override PartName="/xl/charts/chart41.xml" ContentType="application/vnd.openxmlformats-officedocument.drawingml.chart+xml"/>
  <Override PartName="/xl/worksheets/sheet75.xml" ContentType="application/vnd.openxmlformats-officedocument.spreadsheetml.worksheet+xml"/>
  <Override PartName="/xl/worksheets/sheet76.xml" ContentType="application/vnd.openxmlformats-officedocument.spreadsheetml.worksheet+xml"/>
  <Override PartName="/xl/worksheets/sheet74.xml" ContentType="application/vnd.openxmlformats-officedocument.spreadsheetml.worksheet+xml"/>
  <Override PartName="/xl/drawings/drawing28.xml" ContentType="application/vnd.openxmlformats-officedocument.drawing+xml"/>
  <Override PartName="/xl/worksheets/sheet73.xml" ContentType="application/vnd.openxmlformats-officedocument.spreadsheetml.worksheet+xml"/>
  <Override PartName="/xl/worksheets/sheet72.xml" ContentType="application/vnd.openxmlformats-officedocument.spreadsheetml.worksheet+xml"/>
  <Override PartName="/xl/charts/chart43.xml" ContentType="application/vnd.openxmlformats-officedocument.drawingml.chart+xml"/>
  <Override PartName="/xl/charts/chart44.xml" ContentType="application/vnd.openxmlformats-officedocument.drawingml.chart+xml"/>
  <Override PartName="/xl/drawings/drawing1.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drawings/drawing4.xml" ContentType="application/vnd.openxmlformats-officedocument.drawing+xml"/>
  <Override PartName="/xl/charts/chart15.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9.xml" ContentType="application/vnd.openxmlformats-officedocument.drawingml.chart+xml"/>
  <Override PartName="/xl/charts/chart8.xml" ContentType="application/vnd.openxmlformats-officedocument.drawingml.chart+xml"/>
  <Override PartName="/xl/charts/chart10.xml" ContentType="application/vnd.openxmlformats-officedocument.drawingml.chart+xml"/>
  <Override PartName="/xl/worksheets/sheet17.xml" ContentType="application/vnd.openxmlformats-officedocument.spreadsheetml.worksheet+xml"/>
  <Override PartName="/xl/charts/chart11.xml" ContentType="application/vnd.openxmlformats-officedocument.drawingml.chart+xml"/>
  <Override PartName="/xl/worksheets/sheet16.xml" ContentType="application/vnd.openxmlformats-officedocument.spreadsheetml.worksheet+xml"/>
  <Override PartName="/xl/worksheets/sheet19.xml" ContentType="application/vnd.openxmlformats-officedocument.spreadsheetml.worksheet+xml"/>
  <Override PartName="/xl/drawings/drawing11.xml" ContentType="application/vnd.openxmlformats-officedocument.drawing+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drawings/drawing19.xml" ContentType="application/vnd.openxmlformats-officedocument.drawing+xml"/>
  <Override PartName="/xl/sharedStrings.xml" ContentType="application/vnd.openxmlformats-officedocument.spreadsheetml.sharedStrings+xml"/>
  <Override PartName="/xl/charts/chart30.xml" ContentType="application/vnd.openxmlformats-officedocument.drawingml.chart+xml"/>
  <Override PartName="/xl/worksheets/sheet20.xml" ContentType="application/vnd.openxmlformats-officedocument.spreadsheetml.worksheet+xml"/>
  <Override PartName="/xl/drawings/drawing2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4.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drawings/drawing17.xml" ContentType="application/vnd.openxmlformats-officedocument.drawing+xml"/>
  <Override PartName="/xl/drawings/drawing54.xml" ContentType="application/vnd.openxmlformats-officedocument.drawing+xml"/>
  <Override PartName="/xl/theme/theme1.xml" ContentType="application/vnd.openxmlformats-officedocument.theme+xml"/>
  <Override PartName="/xl/worksheets/sheet15.xml" ContentType="application/vnd.openxmlformats-officedocument.spreadsheetml.worksheet+xml"/>
  <Override PartName="/xl/charts/chart21.xml" ContentType="application/vnd.openxmlformats-officedocument.drawingml.chart+xml"/>
  <Override PartName="/xl/charts/chart22.xml" ContentType="application/vnd.openxmlformats-officedocument.drawingml.chart+xml"/>
  <Override PartName="/xl/styles.xml" ContentType="application/vnd.openxmlformats-officedocument.spreadsheetml.styles+xml"/>
  <Override PartName="/xl/drawings/drawing1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worksheets/sheet65.xml" ContentType="application/vnd.openxmlformats-officedocument.spreadsheetml.worksheet+xml"/>
  <Override PartName="/xl/worksheets/sheet13.xml" ContentType="application/vnd.openxmlformats-officedocument.spreadsheetml.worksheet+xml"/>
  <Override PartName="/xl/worksheets/sheet64.xml" ContentType="application/vnd.openxmlformats-officedocument.spreadsheetml.worksheet+xml"/>
  <Override PartName="/xl/drawings/drawing48.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worksheets/sheet9.xml" ContentType="application/vnd.openxmlformats-officedocument.spreadsheetml.worksheet+xml"/>
  <Override PartName="/xl/charts/chart66.xml" ContentType="application/vnd.openxmlformats-officedocument.drawingml.chart+xml"/>
  <Override PartName="/xl/worksheets/sheet35.xml" ContentType="application/vnd.openxmlformats-officedocument.spreadsheetml.worksheet+xml"/>
  <Override PartName="/xl/charts/chart67.xml" ContentType="application/vnd.openxmlformats-officedocument.drawingml.chart+xml"/>
  <Override PartName="/xl/charts/chart68.xml" ContentType="application/vnd.openxmlformats-officedocument.drawingml.chart+xml"/>
  <Override PartName="/xl/worksheets/sheet33.xml" ContentType="application/vnd.openxmlformats-officedocument.spreadsheetml.worksheet+xml"/>
  <Override PartName="/xl/drawings/drawing49.xml" ContentType="application/vnd.openxmlformats-officedocument.drawing+xml"/>
  <Override PartName="/xl/worksheets/sheet34.xml" ContentType="application/vnd.openxmlformats-officedocument.spreadsheetml.worksheet+xml"/>
  <Override PartName="/xl/charts/chart65.xml" ContentType="application/vnd.openxmlformats-officedocument.drawingml.chart+xml"/>
  <Override PartName="/xl/worksheets/sheet10.xml" ContentType="application/vnd.openxmlformats-officedocument.spreadsheetml.worksheet+xml"/>
  <Override PartName="/xl/charts/chart63.xml" ContentType="application/vnd.openxmlformats-officedocument.drawingml.chart+xml"/>
  <Override PartName="/xl/worksheets/sheet42.xml" ContentType="application/vnd.openxmlformats-officedocument.spreadsheetml.worksheet+xml"/>
  <Override PartName="/xl/drawings/drawing44.xml" ContentType="application/vnd.openxmlformats-officedocument.drawing+xml"/>
  <Override PartName="/xl/worksheets/sheet43.xml" ContentType="application/vnd.openxmlformats-officedocument.spreadsheetml.worksheet+xml"/>
  <Override PartName="/xl/worksheets/sheet41.xml" ContentType="application/vnd.openxmlformats-officedocument.spreadsheetml.worksheet+xml"/>
  <Override PartName="/xl/drawings/drawing45.xml" ContentType="application/vnd.openxmlformats-officedocument.drawing+xml"/>
  <Override PartName="/xl/worksheets/sheet40.xml" ContentType="application/vnd.openxmlformats-officedocument.spreadsheetml.worksheet+xml"/>
  <Override PartName="/xl/worksheets/sheet39.xml" ContentType="application/vnd.openxmlformats-officedocument.spreadsheetml.worksheet+xml"/>
  <Override PartName="/xl/charts/chart64.xml" ContentType="application/vnd.openxmlformats-officedocument.drawingml.chart+xml"/>
  <Override PartName="/xl/worksheets/sheet38.xml" ContentType="application/vnd.openxmlformats-officedocument.spreadsheetml.worksheet+xml"/>
  <Override PartName="/xl/charts/chart69.xml" ContentType="application/vnd.openxmlformats-officedocument.drawingml.chart+xml"/>
  <Override PartName="/xl/worksheets/sheet32.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charts/chart78.xml" ContentType="application/vnd.openxmlformats-officedocument.drawingml.chart+xml"/>
  <Override PartName="/xl/drawings/drawing52.xml" ContentType="application/vnd.openxmlformats-officedocument.drawing+xml"/>
  <Override PartName="/xl/worksheets/sheet27.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drawings/drawing53.xml" ContentType="application/vnd.openxmlformats-officedocument.drawing+xml"/>
  <Override PartName="/xl/charts/chart79.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worksheets/sheet28.xml" ContentType="application/vnd.openxmlformats-officedocument.spreadsheetml.worksheet+xml"/>
  <Override PartName="/xl/charts/chart72.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drawings/drawing50.xml" ContentType="application/vnd.openxmlformats-officedocument.drawing+xml"/>
  <Override PartName="/xl/worksheets/sheet30.xml" ContentType="application/vnd.openxmlformats-officedocument.spreadsheetml.worksheet+xml"/>
  <Override PartName="/xl/worksheets/sheet29.xml" ContentType="application/vnd.openxmlformats-officedocument.spreadsheetml.worksheet+xml"/>
  <Override PartName="/xl/drawings/drawing51.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32.xml" ContentType="application/vnd.openxmlformats-officedocument.drawing+xml"/>
  <Override PartName="/xl/charts/chart62.xml" ContentType="application/vnd.openxmlformats-officedocument.drawingml.chart+xml"/>
  <Override PartName="/xl/worksheets/sheet44.xml" ContentType="application/vnd.openxmlformats-officedocument.spreadsheetml.worksheet+xml"/>
  <Override PartName="/xl/worksheets/sheet57.xml" ContentType="application/vnd.openxmlformats-officedocument.spreadsheetml.worksheet+xml"/>
  <Override PartName="/xl/drawings/drawing35.xml" ContentType="application/vnd.openxmlformats-officedocument.drawing+xml"/>
  <Override PartName="/xl/worksheets/sheet58.xml" ContentType="application/vnd.openxmlformats-officedocument.spreadsheetml.worksheet+xml"/>
  <Override PartName="/xl/charts/chart51.xml" ContentType="application/vnd.openxmlformats-officedocument.drawingml.chart+xml"/>
  <Override PartName="/xl/charts/chart52.xml" ContentType="application/vnd.openxmlformats-officedocument.drawingml.chart+xml"/>
  <Override PartName="/xl/charts/style5.xml" ContentType="application/vnd.ms-office.chartstyle+xml"/>
  <Override PartName="/xl/worksheets/sheet56.xml" ContentType="application/vnd.openxmlformats-officedocument.spreadsheetml.worksheet+xml"/>
  <Override PartName="/xl/charts/chart53.xml" ContentType="application/vnd.openxmlformats-officedocument.drawingml.chart+xml"/>
  <Override PartName="/xl/drawings/drawing36.xml" ContentType="application/vnd.openxmlformats-officedocument.drawing+xml"/>
  <Override PartName="/xl/worksheets/sheet55.xml" ContentType="application/vnd.openxmlformats-officedocument.spreadsheetml.worksheet+xml"/>
  <Override PartName="/xl/charts/colors5.xml" ContentType="application/vnd.ms-office.chartcolorstyle+xml"/>
  <Override PartName="/xl/drawings/drawing34.xml" ContentType="application/vnd.openxmlformats-officedocument.drawing+xml"/>
  <Override PartName="/xl/worksheets/sheet59.xml" ContentType="application/vnd.openxmlformats-officedocument.spreadsheetml.worksheet+xml"/>
  <Override PartName="/xl/worksheets/sheet60.xml" ContentType="application/vnd.openxmlformats-officedocument.spreadsheetml.worksheet+xml"/>
  <Override PartName="/xl/charts/chart48.xml" ContentType="application/vnd.openxmlformats-officedocument.drawingml.chart+xml"/>
  <Override PartName="/xl/drawings/drawing33.xml" ContentType="application/vnd.openxmlformats-officedocument.drawing+xml"/>
  <Override PartName="/xl/worksheets/sheet63.xml" ContentType="application/vnd.openxmlformats-officedocument.spreadsheetml.worksheet+xml"/>
  <Override PartName="/xl/charts/chart47.xml" ContentType="application/vnd.openxmlformats-officedocument.drawingml.chart+xml"/>
  <Override PartName="/xl/charts/chart49.xml" ContentType="application/vnd.openxmlformats-officedocument.drawingml.chart+xml"/>
  <Override PartName="/xl/worksheets/sheet62.xml" ContentType="application/vnd.openxmlformats-officedocument.spreadsheetml.worksheet+xml"/>
  <Override PartName="/xl/charts/chart50.xml" ContentType="application/vnd.openxmlformats-officedocument.drawingml.chart+xml"/>
  <Override PartName="/xl/charts/style4.xml" ContentType="application/vnd.ms-office.chartstyle+xml"/>
  <Override PartName="/xl/worksheets/sheet61.xml" ContentType="application/vnd.openxmlformats-officedocument.spreadsheetml.worksheet+xml"/>
  <Override PartName="/xl/charts/colors4.xml" ContentType="application/vnd.ms-office.chartcolorstyle+xml"/>
  <Override PartName="/xl/drawings/drawing43.xml" ContentType="application/vnd.openxmlformats-officedocument.drawing+xml"/>
  <Override PartName="/xl/worksheets/sheet54.xml" ContentType="application/vnd.openxmlformats-officedocument.spreadsheetml.worksheet+xml"/>
  <Override PartName="/xl/drawings/drawing37.xml" ContentType="application/vnd.openxmlformats-officedocument.drawing+xml"/>
  <Override PartName="/xl/drawings/drawing40.xml" ContentType="application/vnd.openxmlformats-officedocument.drawing+xml"/>
  <Override PartName="/xl/worksheets/sheet47.xml" ContentType="application/vnd.openxmlformats-officedocument.spreadsheetml.worksheet+xml"/>
  <Override PartName="/xl/charts/chart59.xml" ContentType="application/vnd.openxmlformats-officedocument.drawingml.chart+xml"/>
  <Override PartName="/xl/drawings/drawing39.xml" ContentType="application/vnd.openxmlformats-officedocument.drawing+xml"/>
  <Override PartName="/xl/worksheets/sheet46.xml" ContentType="application/vnd.openxmlformats-officedocument.spreadsheetml.worksheet+xml"/>
  <Override PartName="/xl/charts/chart60.xml" ContentType="application/vnd.openxmlformats-officedocument.drawingml.chart+xml"/>
  <Override PartName="/xl/worksheets/sheet12.xml" ContentType="application/vnd.openxmlformats-officedocument.spreadsheetml.worksheet+xml"/>
  <Override PartName="/xl/charts/chart61.xml" ContentType="application/vnd.openxmlformats-officedocument.drawingml.chart+xml"/>
  <Override PartName="/xl/worksheets/sheet11.xml" ContentType="application/vnd.openxmlformats-officedocument.spreadsheetml.worksheet+xml"/>
  <Override PartName="/xl/worksheets/sheet45.xml" ContentType="application/vnd.openxmlformats-officedocument.spreadsheetml.worksheet+xml"/>
  <Override PartName="/xl/worksheets/sheet53.xml" ContentType="application/vnd.openxmlformats-officedocument.spreadsheetml.worksheet+xml"/>
  <Override PartName="/xl/worksheets/sheet48.xml" ContentType="application/vnd.openxmlformats-officedocument.spreadsheetml.worksheet+xml"/>
  <Override PartName="/xl/charts/chart58.xml" ContentType="application/vnd.openxmlformats-officedocument.drawingml.chart+xml"/>
  <Override PartName="/xl/worksheets/sheet51.xml" ContentType="application/vnd.openxmlformats-officedocument.spreadsheetml.worksheet+xml"/>
  <Override PartName="/xl/worksheets/sheet52.xml" ContentType="application/vnd.openxmlformats-officedocument.spreadsheetml.worksheet+xml"/>
  <Override PartName="/xl/charts/chart55.xml" ContentType="application/vnd.openxmlformats-officedocument.drawingml.chart+xml"/>
  <Override PartName="/xl/charts/chart54.xml" ContentType="application/vnd.openxmlformats-officedocument.drawingml.chart+xml"/>
  <Override PartName="/xl/worksheets/sheet49.xml" ContentType="application/vnd.openxmlformats-officedocument.spreadsheetml.worksheet+xml"/>
  <Override PartName="/xl/worksheets/sheet50.xml" ContentType="application/vnd.openxmlformats-officedocument.spreadsheetml.worksheet+xml"/>
  <Override PartName="/xl/charts/chart56.xml" ContentType="application/vnd.openxmlformats-officedocument.drawingml.chart+xml"/>
  <Override PartName="/xl/drawings/drawing38.xml" ContentType="application/vnd.openxmlformats-officedocument.drawing+xml"/>
  <Override PartName="/xl/charts/chart57.xml" ContentType="application/vnd.openxmlformats-officedocument.drawingml.chart+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7.xml" ContentType="application/vnd.openxmlformats-officedocument.spreadsheetml.externalLink+xml"/>
  <Override PartName="/xl/externalLinks/externalLink24.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8.xml" ContentType="application/vnd.openxmlformats-officedocument.spreadsheetml.externalLink+xml"/>
  <Override PartName="/xl/externalLinks/externalLink22.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23.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ocuments\Docs\Development Indicator 2012--\Dev Indi 2018\Themes\Combined Themes\"/>
    </mc:Choice>
  </mc:AlternateContent>
  <bookViews>
    <workbookView xWindow="0" yWindow="0" windowWidth="20490" windowHeight="7095" firstSheet="10" activeTab="19"/>
  </bookViews>
  <sheets>
    <sheet name="Population 2018" sheetId="46" r:id="rId1"/>
    <sheet name="GDP " sheetId="3" r:id="rId2"/>
    <sheet name="GDP per Capita " sheetId="4" r:id="rId3"/>
    <sheet name="NFDI  " sheetId="5" r:id="rId4"/>
    <sheet name="GFCF  " sheetId="6" r:id="rId5"/>
    <sheet name="B deficit " sheetId="7" r:id="rId6"/>
    <sheet name="G debt  " sheetId="8" r:id="rId7"/>
    <sheet name="Interest  " sheetId="9" r:id="rId8"/>
    <sheet name="Inflation  " sheetId="10" r:id="rId9"/>
    <sheet name="Bondpoints Spread " sheetId="11" r:id="rId10"/>
    <sheet name="R&amp;D  " sheetId="12" r:id="rId11"/>
    <sheet name="ICT " sheetId="13" r:id="rId12"/>
    <sheet name="Patents " sheetId="14" r:id="rId13"/>
    <sheet name="Foreign Trade " sheetId="15" r:id="rId14"/>
    <sheet name="Competitiveness " sheetId="16" r:id="rId15"/>
    <sheet name="Employed  " sheetId="87" r:id="rId16"/>
    <sheet name="Unempl " sheetId="88" r:id="rId17"/>
    <sheet name="EPWP " sheetId="89" r:id="rId18"/>
    <sheet name="CWP " sheetId="90" r:id="rId19"/>
    <sheet name="BM  " sheetId="17" r:id="rId20"/>
    <sheet name="LSM " sheetId="31" r:id="rId21"/>
    <sheet name="Inequality" sheetId="32" r:id="rId22"/>
    <sheet name="Poverty Headcount" sheetId="33" r:id="rId23"/>
    <sheet name="Poverty Gap indices  " sheetId="34" r:id="rId24"/>
    <sheet name="Grants" sheetId="35" r:id="rId25"/>
    <sheet name="People with disability " sheetId="36" r:id="rId26"/>
    <sheet name="Life Expectancy " sheetId="37" r:id="rId27"/>
    <sheet name="Infant &amp; Child mortality" sheetId="38" r:id="rId28"/>
    <sheet name="Stunting" sheetId="39" r:id="rId29"/>
    <sheet name="Immunization" sheetId="40" r:id="rId30"/>
    <sheet name="Martenal mortality" sheetId="41" r:id="rId31"/>
    <sheet name="HIV Prevalance " sheetId="42" r:id="rId32"/>
    <sheet name="ART new TROA" sheetId="43" r:id="rId33"/>
    <sheet name="TB" sheetId="44" r:id="rId34"/>
    <sheet name="Malaria" sheetId="45" r:id="rId35"/>
    <sheet name="ECD" sheetId="18" r:id="rId36"/>
    <sheet name="Educator Learner ratio" sheetId="19" r:id="rId37"/>
    <sheet name="Gender parity index" sheetId="20" r:id="rId38"/>
    <sheet name="Matric pass rate" sheetId="21" r:id="rId39"/>
    <sheet name="Mathematics pass rate" sheetId="22" r:id="rId40"/>
    <sheet name="Literacy rate " sheetId="23" r:id="rId41"/>
    <sheet name="SET Uni" sheetId="24" r:id="rId42"/>
    <sheet name="Educational Perfomance  " sheetId="25" r:id="rId43"/>
    <sheet name="Maths, science perf" sheetId="26" r:id="rId44"/>
    <sheet name="Skills and training" sheetId="27" r:id="rId45"/>
    <sheet name="Civil Society" sheetId="60" r:id="rId46"/>
    <sheet name="Voter Participation" sheetId="61" r:id="rId47"/>
    <sheet name="Voter prov" sheetId="62" r:id="rId48"/>
    <sheet name="Women legislative bodies" sheetId="63" r:id="rId49"/>
    <sheet name="Confident in happy future" sheetId="64" r:id="rId50"/>
    <sheet name="Race relations opinion" sheetId="65" r:id="rId51"/>
    <sheet name="Country direction" sheetId="66" r:id="rId52"/>
    <sheet name="Self description" sheetId="67" r:id="rId53"/>
    <sheet name="Pride in being SA" sheetId="68" r:id="rId54"/>
    <sheet name="Crime Victims " sheetId="47" r:id="rId55"/>
    <sheet name="Crime rate" sheetId="48" r:id="rId56"/>
    <sheet name="Charges to court" sheetId="49" state="hidden" r:id="rId57"/>
    <sheet name="Property crime" sheetId="50" r:id="rId58"/>
    <sheet name="Contact crime" sheetId="51" r:id="rId59"/>
    <sheet name="Serious robberies" sheetId="52" r:id="rId60"/>
    <sheet name="Drug-Related Crime" sheetId="53" r:id="rId61"/>
    <sheet name="Sexual offences" sheetId="54" r:id="rId62"/>
    <sheet name="Convictions" sheetId="55" r:id="rId63"/>
    <sheet name="Detainees" sheetId="56" r:id="rId64"/>
    <sheet name="Rehabilitation" sheetId="57" r:id="rId65"/>
    <sheet name="Parolees" sheetId="58" r:id="rId66"/>
    <sheet name="Road Accidents" sheetId="59" r:id="rId67"/>
    <sheet name="Peace Operations" sheetId="71" state="hidden" r:id="rId68"/>
    <sheet name="Development cooperation" sheetId="72" r:id="rId69"/>
    <sheet name="Tourism" sheetId="73" r:id="rId70"/>
    <sheet name="Missions" sheetId="74" r:id="rId71"/>
    <sheet name="International Agreements" sheetId="75" r:id="rId72"/>
    <sheet name="Tax Admin" sheetId="76" r:id="rId73"/>
    <sheet name="Qualified Audits" sheetId="77" r:id="rId74"/>
    <sheet name="Corruption" sheetId="78" r:id="rId75"/>
    <sheet name="Budget Process" sheetId="79" r:id="rId76"/>
    <sheet name="Public Opinion " sheetId="80" r:id="rId77"/>
    <sheet name="Doing business" sheetId="81" r:id="rId78"/>
    <sheet name="Gas Emission " sheetId="83" r:id="rId79"/>
    <sheet name="Air Quality" sheetId="86" r:id="rId80"/>
    <sheet name="Terrestrial BPI" sheetId="85" r:id="rId81"/>
    <sheet name="Marine PAs" sheetId="84"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AMO_UniqueIdentifier" hidden="1">"'96803818-9363-4ac2-8db8-841b60aa1c62'"</definedName>
    <definedName name="_msocom_4" localSheetId="33">TB!$N$18</definedName>
    <definedName name="OLE_LINK1" localSheetId="79">'Air Quality'!#REF!</definedName>
    <definedName name="OLE_LINK1" localSheetId="78">'Gas Emission '!#REF!</definedName>
    <definedName name="OLE_LINK1" localSheetId="81">'Marine PAs'!#REF!</definedName>
    <definedName name="OLE_LINK1" localSheetId="80">'Terrestrial BPI'!#REF!</definedName>
    <definedName name="_xlnm.Print_Area" localSheetId="79">'Air Quality'!$A$1:$S$48</definedName>
    <definedName name="_xlnm.Print_Area" localSheetId="32">'ART new TROA'!$A$1:$W$33</definedName>
    <definedName name="_xlnm.Print_Area" localSheetId="5">'B deficit '!$A$1:$AC$34</definedName>
    <definedName name="_xlnm.Print_Area" localSheetId="19">'BM  '!$A$1:$W$37</definedName>
    <definedName name="_xlnm.Print_Area" localSheetId="9">'Bondpoints Spread '!$A$1:$AA$32</definedName>
    <definedName name="_xlnm.Print_Area" localSheetId="75">'Budget Process'!$A$1:$AS$42</definedName>
    <definedName name="_xlnm.Print_Area" localSheetId="56">'Charges to court'!$A$1:$T$144</definedName>
    <definedName name="_xlnm.Print_Area" localSheetId="45">'Civil Society'!$A$1:$U$44</definedName>
    <definedName name="_xlnm.Print_Area" localSheetId="14">'Competitiveness '!$A$1:$S$132</definedName>
    <definedName name="_xlnm.Print_Area" localSheetId="49">'Confident in happy future'!$A$1:$AO$36</definedName>
    <definedName name="_xlnm.Print_Area" localSheetId="58">'Contact crime'!$A$1:$AC$42</definedName>
    <definedName name="_xlnm.Print_Area" localSheetId="62">Convictions!$A$1:$V$35</definedName>
    <definedName name="_xlnm.Print_Area" localSheetId="74">Corruption!$A$1:$Z$41</definedName>
    <definedName name="_xlnm.Print_Area" localSheetId="51">'Country direction'!$A$1:$P$35</definedName>
    <definedName name="_xlnm.Print_Area" localSheetId="55">'Crime rate'!$A$1:$AC$37</definedName>
    <definedName name="_xlnm.Print_Area" localSheetId="54">'Crime Victims '!$A$1:$U$60</definedName>
    <definedName name="_xlnm.Print_Area" localSheetId="18">'CWP '!$A$1:$R$23</definedName>
    <definedName name="_xlnm.Print_Area" localSheetId="63">Detainees!$A$1:$AC$74</definedName>
    <definedName name="_xlnm.Print_Area" localSheetId="68">'Development cooperation'!$A$1:$V$37</definedName>
    <definedName name="_xlnm.Print_Area" localSheetId="77">'Doing business'!$A$1:$AL$42</definedName>
    <definedName name="_xlnm.Print_Area" localSheetId="60">'Drug-Related Crime'!$A$1:$U$48</definedName>
    <definedName name="_xlnm.Print_Area" localSheetId="35">ECD!$A$1:$U$51</definedName>
    <definedName name="_xlnm.Print_Area" localSheetId="42">'Educational Perfomance  '!$A$1:$U$30</definedName>
    <definedName name="_xlnm.Print_Area" localSheetId="36">'Educator Learner ratio'!$A$1:$AD$47</definedName>
    <definedName name="_xlnm.Print_Area" localSheetId="15">'Employed  '!$A$1:$V$56</definedName>
    <definedName name="_xlnm.Print_Area" localSheetId="17">'EPWP '!$A$1:$R$45</definedName>
    <definedName name="_xlnm.Print_Area" localSheetId="13">'Foreign Trade '!$A$1:$AC$39</definedName>
    <definedName name="_xlnm.Print_Area" localSheetId="6">'G debt  '!$A$1:$AC$32</definedName>
    <definedName name="_xlnm.Print_Area" localSheetId="78">'Gas Emission '!$A$1:$T$46</definedName>
    <definedName name="_xlnm.Print_Area" localSheetId="1">'GDP '!$A$1:$AC$58</definedName>
    <definedName name="_xlnm.Print_Area" localSheetId="2">'GDP per Capita '!$A$1:$AD$61</definedName>
    <definedName name="_xlnm.Print_Area" localSheetId="37">'Gender parity index'!$A$1:$Z$60</definedName>
    <definedName name="_xlnm.Print_Area" localSheetId="4">'GFCF  '!$A$1:$AC$33</definedName>
    <definedName name="_xlnm.Print_Area" localSheetId="24">Grants!$A$1:$BC$55</definedName>
    <definedName name="_xlnm.Print_Area" localSheetId="31">'HIV Prevalance '!$A$1:$AA$45</definedName>
    <definedName name="_xlnm.Print_Area" localSheetId="11">'ICT '!$A$1:$W$42</definedName>
    <definedName name="_xlnm.Print_Area" localSheetId="29">Immunization!$A$1:$Y$48</definedName>
    <definedName name="_xlnm.Print_Area" localSheetId="21">Inequality!$A$1:$T$92</definedName>
    <definedName name="_xlnm.Print_Area" localSheetId="27">'Infant &amp; Child mortality'!$A$1:$Y$39</definedName>
    <definedName name="_xlnm.Print_Area" localSheetId="8">'Inflation  '!$A$1:$AE$41</definedName>
    <definedName name="_xlnm.Print_Area" localSheetId="7">'Interest  '!$A$1:$AD$41</definedName>
    <definedName name="_xlnm.Print_Area" localSheetId="71">'International Agreements'!$A$1:$X$40</definedName>
    <definedName name="_xlnm.Print_Area" localSheetId="26">'Life Expectancy '!$A$1:$W$54</definedName>
    <definedName name="_xlnm.Print_Area" localSheetId="40">'Literacy rate '!$A$1:$AB$48</definedName>
    <definedName name="_xlnm.Print_Area" localSheetId="20">'LSM '!$A$1:$AI$98</definedName>
    <definedName name="_xlnm.Print_Area" localSheetId="34">Malaria!$A$1:$AA$33</definedName>
    <definedName name="_xlnm.Print_Area" localSheetId="81">'Marine PAs'!$A$1:$P$48</definedName>
    <definedName name="_xlnm.Print_Area" localSheetId="30">'Martenal mortality'!$A$1:$X$36</definedName>
    <definedName name="_xlnm.Print_Area" localSheetId="39">'Mathematics pass rate'!$A$1:$AB$33</definedName>
    <definedName name="_xlnm.Print_Area" localSheetId="43">'Maths, science perf'!$A$1:$T$41</definedName>
    <definedName name="_xlnm.Print_Area" localSheetId="38">'Matric pass rate'!$A$1:$AF$48</definedName>
    <definedName name="_xlnm.Print_Area" localSheetId="70">Missions!$A$1:$U$51</definedName>
    <definedName name="_xlnm.Print_Area" localSheetId="3">'NFDI  '!$A$1:$AC$33</definedName>
    <definedName name="_xlnm.Print_Area" localSheetId="65">Parolees!$A$1:$AC$40</definedName>
    <definedName name="_xlnm.Print_Area" localSheetId="12">'Patents '!$A$1:$AA$61</definedName>
    <definedName name="_xlnm.Print_Area" localSheetId="67">'Peace Operations'!$A$1:$U$41</definedName>
    <definedName name="_xlnm.Print_Area" localSheetId="25">'People with disability '!$A$1:$AL$44</definedName>
    <definedName name="_xlnm.Print_Area" localSheetId="23">'Poverty Gap indices  '!$A$1:$Q$40</definedName>
    <definedName name="_xlnm.Print_Area" localSheetId="22">'Poverty Headcount'!$A$1:$U$36</definedName>
    <definedName name="_xlnm.Print_Area" localSheetId="53">'Pride in being SA'!$A$1:$AO$33</definedName>
    <definedName name="_xlnm.Print_Area" localSheetId="57">'Property crime'!$A$1:$AC$36</definedName>
    <definedName name="_xlnm.Print_Area" localSheetId="76">'Public Opinion '!$A$1:$AO$43</definedName>
    <definedName name="_xlnm.Print_Area" localSheetId="73">'Qualified Audits'!$A$1:$V$43</definedName>
    <definedName name="_xlnm.Print_Area" localSheetId="10">'R&amp;D  '!$A$1:$V$50</definedName>
    <definedName name="_xlnm.Print_Area" localSheetId="50">'Race relations opinion'!$A$1:$W$36</definedName>
    <definedName name="_xlnm.Print_Area" localSheetId="64">Rehabilitation!$A$1:$AB$45</definedName>
    <definedName name="_xlnm.Print_Area" localSheetId="66">'Road Accidents'!$A$1:$AC$37</definedName>
    <definedName name="_xlnm.Print_Area" localSheetId="52">'Self description'!$A$1:$Q$34</definedName>
    <definedName name="_xlnm.Print_Area" localSheetId="59">'Serious robberies'!$A$1:$AC$42</definedName>
    <definedName name="_xlnm.Print_Area" localSheetId="41">'SET Uni'!$A$1:$AC$45</definedName>
    <definedName name="_xlnm.Print_Area" localSheetId="61">'Sexual offences'!$A$1:$Y$48</definedName>
    <definedName name="_xlnm.Print_Area" localSheetId="44">'Skills and training'!$A$1:$T$40</definedName>
    <definedName name="_xlnm.Print_Area" localSheetId="28">Stunting!$A$1:$X$88</definedName>
    <definedName name="_xlnm.Print_Area" localSheetId="72">'Tax Admin'!$A$1:$AB$49</definedName>
    <definedName name="_xlnm.Print_Area" localSheetId="33">TB!$A$1:$AC$49</definedName>
    <definedName name="_xlnm.Print_Area" localSheetId="80">'Terrestrial BPI'!$A$1:$P$48</definedName>
    <definedName name="_xlnm.Print_Area" localSheetId="69">Tourism!$A$1:$V$58</definedName>
    <definedName name="_xlnm.Print_Area" localSheetId="16">'Unempl '!$A$1:$V$69</definedName>
    <definedName name="_xlnm.Print_Area" localSheetId="46">'Voter Participation'!$A$1:$AB$25</definedName>
    <definedName name="_xlnm.Print_Area" localSheetId="47">'Voter prov'!$A$1:$R$40</definedName>
    <definedName name="_xlnm.Print_Area" localSheetId="48">'Women legislative bodies'!$A$1:$AF$41</definedName>
    <definedName name="Z_AC293C0C_6A7E_4E08_8902_A017C77E0B74_.wvu.PrintArea" localSheetId="15" hidden="1">'Employed  '!$A$1:$J$54</definedName>
    <definedName name="Z_AC293C0C_6A7E_4E08_8902_A017C77E0B74_.wvu.PrintArea" localSheetId="16" hidden="1">'Unempl '!$A$1:$K$67</definedName>
    <definedName name="Z_C51F81C0_24A3_4F91_8877_BF313FC578AF_.wvu.PrintArea" localSheetId="15" hidden="1">'Employed  '!$A$1:$J$54</definedName>
    <definedName name="Z_C51F81C0_24A3_4F91_8877_BF313FC578AF_.wvu.PrintArea" localSheetId="16" hidden="1">'Unempl '!$A$1:$K$67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 i="90" l="1"/>
  <c r="F17" i="90"/>
  <c r="G17" i="90"/>
  <c r="H17" i="90"/>
  <c r="I17" i="90"/>
  <c r="E15" i="89"/>
  <c r="E16" i="89" s="1"/>
  <c r="F16" i="89" s="1"/>
  <c r="G16" i="89" s="1"/>
  <c r="H16" i="89" s="1"/>
  <c r="I16" i="89" s="1"/>
  <c r="J16" i="89" s="1"/>
  <c r="K16" i="89" s="1"/>
  <c r="L16" i="89" s="1"/>
  <c r="M16" i="89" s="1"/>
  <c r="N16" i="89" s="1"/>
  <c r="O16" i="89" s="1"/>
  <c r="P16" i="89" s="1"/>
  <c r="Q16" i="89" s="1"/>
  <c r="F15" i="89"/>
  <c r="G15" i="89"/>
  <c r="H15" i="89"/>
  <c r="I15" i="89"/>
  <c r="J15" i="89"/>
  <c r="K15" i="89"/>
  <c r="L15" i="89"/>
  <c r="M15" i="89"/>
  <c r="N15" i="89"/>
  <c r="O15" i="89"/>
  <c r="P15" i="89"/>
  <c r="Q15" i="89"/>
  <c r="E26" i="89"/>
  <c r="F26" i="89"/>
  <c r="G26" i="89"/>
  <c r="H26" i="89"/>
  <c r="E39" i="89"/>
  <c r="F39" i="89"/>
  <c r="G39" i="89"/>
  <c r="H39" i="89"/>
  <c r="E40" i="88"/>
  <c r="F40" i="88"/>
  <c r="G40" i="88"/>
  <c r="H40" i="88"/>
  <c r="I40" i="88"/>
  <c r="J40" i="88"/>
  <c r="K40" i="88"/>
  <c r="L40" i="88"/>
  <c r="M40" i="88"/>
  <c r="N40" i="88"/>
  <c r="O40" i="88"/>
  <c r="P40" i="88"/>
  <c r="Q40" i="88"/>
  <c r="R40" i="88"/>
  <c r="S40" i="88"/>
  <c r="C2" i="87"/>
  <c r="V54" i="84" l="1"/>
  <c r="V53" i="84"/>
  <c r="V52" i="84"/>
  <c r="N10" i="84"/>
  <c r="N9" i="84"/>
  <c r="N8" i="84"/>
  <c r="N7" i="84"/>
  <c r="Q33" i="81" l="1"/>
  <c r="Q30" i="81"/>
  <c r="Q28" i="81"/>
  <c r="AH75" i="80"/>
  <c r="AF75" i="80"/>
  <c r="AD75" i="80"/>
  <c r="AB75" i="80"/>
  <c r="Z75" i="80"/>
  <c r="X75" i="80"/>
  <c r="V75" i="80"/>
  <c r="U75" i="80"/>
  <c r="S75" i="80"/>
  <c r="Q75" i="80"/>
  <c r="O75" i="80"/>
  <c r="M75" i="80"/>
  <c r="K75" i="80"/>
  <c r="I75" i="80"/>
  <c r="G75" i="80"/>
  <c r="E75" i="80"/>
  <c r="AM10" i="80"/>
  <c r="AK10" i="80"/>
  <c r="AI10" i="80"/>
  <c r="AG10" i="80"/>
  <c r="AE10" i="80"/>
  <c r="AC10" i="80"/>
  <c r="AA10" i="80"/>
  <c r="Y10" i="80"/>
  <c r="W10" i="80"/>
  <c r="U10" i="80"/>
  <c r="S10" i="80"/>
  <c r="Q10" i="80"/>
  <c r="O10" i="80"/>
  <c r="M10" i="80"/>
  <c r="K10" i="80"/>
  <c r="I10" i="80"/>
  <c r="G10" i="80"/>
  <c r="E10" i="80"/>
  <c r="E6" i="80"/>
  <c r="U22" i="77"/>
  <c r="T22" i="77"/>
  <c r="S22" i="77"/>
  <c r="R22" i="77"/>
  <c r="Q22" i="77"/>
  <c r="P22" i="77"/>
  <c r="O22" i="77"/>
  <c r="N22" i="77"/>
  <c r="M22" i="77"/>
  <c r="L22" i="77"/>
  <c r="K22" i="77"/>
  <c r="J22" i="77"/>
  <c r="I22" i="77"/>
  <c r="H22" i="77"/>
  <c r="G22" i="77"/>
  <c r="F22" i="77"/>
  <c r="U18" i="77"/>
  <c r="Q18" i="77"/>
  <c r="P18" i="77"/>
  <c r="O18" i="77"/>
  <c r="N18" i="77"/>
  <c r="M18" i="77"/>
  <c r="L18" i="77"/>
  <c r="K18" i="77"/>
  <c r="J18" i="77"/>
  <c r="I18" i="77"/>
  <c r="H18" i="77"/>
  <c r="G18" i="77"/>
  <c r="F18" i="77"/>
  <c r="E18" i="77"/>
  <c r="U14" i="77"/>
  <c r="T14" i="77"/>
  <c r="S14" i="77"/>
  <c r="R14" i="77"/>
  <c r="Q14" i="77"/>
  <c r="P14" i="77"/>
  <c r="O14" i="77"/>
  <c r="N14" i="77"/>
  <c r="M14" i="77"/>
  <c r="L14" i="77"/>
  <c r="K14" i="77"/>
  <c r="J14" i="77"/>
  <c r="I14" i="77"/>
  <c r="H14" i="77"/>
  <c r="G14" i="77"/>
  <c r="F14" i="77"/>
  <c r="E14" i="77"/>
  <c r="U10" i="77"/>
  <c r="T10" i="77"/>
  <c r="S10" i="77"/>
  <c r="R10" i="77"/>
  <c r="Q10" i="77"/>
  <c r="P10" i="77"/>
  <c r="O10" i="77"/>
  <c r="N10" i="77"/>
  <c r="L10" i="77"/>
  <c r="K10" i="77"/>
  <c r="J10" i="77"/>
  <c r="I10" i="77"/>
  <c r="H10" i="77"/>
  <c r="G10" i="77"/>
  <c r="F10" i="77"/>
  <c r="E10" i="77"/>
  <c r="M9" i="77"/>
  <c r="M10" i="77" s="1"/>
  <c r="AA23" i="76"/>
  <c r="Z23" i="76"/>
  <c r="Y23" i="76"/>
  <c r="X23" i="76"/>
  <c r="W23" i="76"/>
  <c r="V23" i="76"/>
  <c r="U23" i="76"/>
  <c r="T23" i="76"/>
  <c r="S23" i="76"/>
  <c r="R23" i="76"/>
  <c r="Q23" i="76"/>
  <c r="P23" i="76"/>
  <c r="O23" i="76"/>
  <c r="N23" i="76"/>
  <c r="M23" i="76"/>
  <c r="L23" i="76"/>
  <c r="K23" i="76"/>
  <c r="J23" i="76"/>
  <c r="I23" i="76"/>
  <c r="H23" i="76"/>
  <c r="G23" i="76"/>
  <c r="W10" i="76"/>
  <c r="V10" i="76"/>
  <c r="U10" i="76"/>
  <c r="T10" i="76"/>
  <c r="S10" i="76"/>
  <c r="R10" i="76"/>
  <c r="Q10" i="76"/>
  <c r="P10" i="76"/>
  <c r="O10" i="76"/>
  <c r="N10" i="76"/>
  <c r="M10" i="76"/>
  <c r="L10" i="76"/>
  <c r="K10" i="76"/>
  <c r="J10" i="76"/>
  <c r="I10" i="76"/>
  <c r="H10" i="76"/>
  <c r="G10" i="76"/>
  <c r="F10" i="76"/>
  <c r="C2" i="75" l="1"/>
  <c r="T70" i="74"/>
  <c r="S70" i="74"/>
  <c r="Q70" i="74"/>
  <c r="O70" i="74"/>
  <c r="M70" i="74"/>
  <c r="L70" i="74"/>
  <c r="K70" i="74"/>
  <c r="J70" i="74"/>
  <c r="Q30" i="74"/>
  <c r="P30" i="74"/>
  <c r="O30" i="74"/>
  <c r="N30" i="74"/>
  <c r="L30" i="74"/>
  <c r="J30" i="74"/>
  <c r="I30" i="74"/>
  <c r="H30" i="74"/>
  <c r="G30" i="74"/>
  <c r="Q17" i="74"/>
  <c r="P17" i="74"/>
  <c r="O17" i="74"/>
  <c r="N17" i="74"/>
  <c r="R13" i="74"/>
  <c r="Q13" i="74"/>
  <c r="P13" i="74"/>
  <c r="O13" i="74"/>
  <c r="N13" i="74"/>
  <c r="P10" i="72"/>
  <c r="O10" i="72"/>
  <c r="N10" i="72"/>
  <c r="L10" i="72"/>
  <c r="K10" i="72"/>
  <c r="J10" i="72"/>
  <c r="I10" i="72"/>
  <c r="H10" i="72"/>
  <c r="G10" i="72"/>
  <c r="F10" i="72"/>
  <c r="E10" i="72"/>
  <c r="W32" i="71"/>
  <c r="V32" i="71"/>
  <c r="U32" i="71"/>
  <c r="T32" i="71"/>
  <c r="S32" i="71"/>
  <c r="Q32" i="71"/>
  <c r="P32" i="71"/>
  <c r="O32" i="71"/>
  <c r="N32" i="71"/>
  <c r="R31" i="71"/>
  <c r="R30" i="71"/>
  <c r="R29" i="71"/>
  <c r="R28" i="71"/>
  <c r="R32" i="71" s="1"/>
  <c r="AJ10" i="68" l="1"/>
  <c r="AF10" i="68"/>
  <c r="AB10" i="68"/>
  <c r="X10" i="68"/>
  <c r="T10" i="68"/>
  <c r="P10" i="68"/>
  <c r="L10" i="68"/>
  <c r="D9" i="68"/>
  <c r="E6" i="68"/>
  <c r="E6" i="66"/>
  <c r="AG62" i="65"/>
  <c r="AE62" i="65"/>
  <c r="AC62" i="65"/>
  <c r="AA62" i="65"/>
  <c r="Y62" i="65"/>
  <c r="W62" i="65"/>
  <c r="U62" i="65"/>
  <c r="S62" i="65"/>
  <c r="Q62" i="65"/>
  <c r="O62" i="65"/>
  <c r="M62" i="65"/>
  <c r="K62" i="65"/>
  <c r="I62" i="65"/>
  <c r="G62" i="65"/>
  <c r="E62" i="65"/>
  <c r="E7" i="65"/>
  <c r="AK10" i="64"/>
  <c r="AI10" i="64"/>
  <c r="AG10" i="64"/>
  <c r="AE10" i="64"/>
  <c r="AC10" i="64"/>
  <c r="AA10" i="64"/>
  <c r="Y10" i="64"/>
  <c r="W10" i="64"/>
  <c r="U10" i="64"/>
  <c r="S10" i="64"/>
  <c r="Q10" i="64"/>
  <c r="O10" i="64"/>
  <c r="M10" i="64"/>
  <c r="K10" i="64"/>
  <c r="I10" i="64"/>
  <c r="G10" i="64"/>
  <c r="E10" i="64"/>
  <c r="R21" i="63"/>
  <c r="Q21" i="63"/>
  <c r="S21" i="63" s="1"/>
  <c r="O21" i="63"/>
  <c r="N21" i="63"/>
  <c r="P21" i="63" s="1"/>
  <c r="L21" i="63"/>
  <c r="K21" i="63"/>
  <c r="I21" i="63"/>
  <c r="H21" i="63"/>
  <c r="F21" i="63"/>
  <c r="E21" i="63"/>
  <c r="G21" i="63" s="1"/>
  <c r="S20" i="63"/>
  <c r="P20" i="63"/>
  <c r="M20" i="63"/>
  <c r="J20" i="63"/>
  <c r="G20" i="63"/>
  <c r="S19" i="63"/>
  <c r="P19" i="63"/>
  <c r="M19" i="63"/>
  <c r="J19" i="63"/>
  <c r="G19" i="63"/>
  <c r="S18" i="63"/>
  <c r="P18" i="63"/>
  <c r="M18" i="63"/>
  <c r="J18" i="63"/>
  <c r="G18" i="63"/>
  <c r="S17" i="63"/>
  <c r="P17" i="63"/>
  <c r="M17" i="63"/>
  <c r="J17" i="63"/>
  <c r="G17" i="63"/>
  <c r="S16" i="63"/>
  <c r="P16" i="63"/>
  <c r="M16" i="63"/>
  <c r="J16" i="63"/>
  <c r="G16" i="63"/>
  <c r="S15" i="63"/>
  <c r="P15" i="63"/>
  <c r="M15" i="63"/>
  <c r="J15" i="63"/>
  <c r="G15" i="63"/>
  <c r="S14" i="63"/>
  <c r="P14" i="63"/>
  <c r="M14" i="63"/>
  <c r="J14" i="63"/>
  <c r="G14" i="63"/>
  <c r="S13" i="63"/>
  <c r="P13" i="63"/>
  <c r="M13" i="63"/>
  <c r="J13" i="63"/>
  <c r="G13" i="63"/>
  <c r="S12" i="63"/>
  <c r="P12" i="63"/>
  <c r="M12" i="63"/>
  <c r="J12" i="63"/>
  <c r="G12" i="63"/>
  <c r="S10" i="63"/>
  <c r="P10" i="63"/>
  <c r="M10" i="63"/>
  <c r="J10" i="63"/>
  <c r="G10" i="63"/>
  <c r="P34" i="62"/>
  <c r="O34" i="62"/>
  <c r="Q34" i="62" s="1"/>
  <c r="M34" i="62"/>
  <c r="N34" i="62" s="1"/>
  <c r="L34" i="62"/>
  <c r="K34" i="62"/>
  <c r="J34" i="62"/>
  <c r="I34" i="62"/>
  <c r="G34" i="62"/>
  <c r="H34" i="62" s="1"/>
  <c r="F34" i="62"/>
  <c r="Q33" i="62"/>
  <c r="N33" i="62"/>
  <c r="K33" i="62"/>
  <c r="H33" i="62"/>
  <c r="Q32" i="62"/>
  <c r="N32" i="62"/>
  <c r="K32" i="62"/>
  <c r="H32" i="62"/>
  <c r="Q31" i="62"/>
  <c r="N31" i="62"/>
  <c r="K31" i="62"/>
  <c r="H31" i="62"/>
  <c r="Q30" i="62"/>
  <c r="N30" i="62"/>
  <c r="K30" i="62"/>
  <c r="H30" i="62"/>
  <c r="Q29" i="62"/>
  <c r="N29" i="62"/>
  <c r="K29" i="62"/>
  <c r="H29" i="62"/>
  <c r="Q28" i="62"/>
  <c r="N28" i="62"/>
  <c r="K28" i="62"/>
  <c r="H28" i="62"/>
  <c r="Q27" i="62"/>
  <c r="N27" i="62"/>
  <c r="K27" i="62"/>
  <c r="H27" i="62"/>
  <c r="Q26" i="62"/>
  <c r="N26" i="62"/>
  <c r="K26" i="62"/>
  <c r="H26" i="62"/>
  <c r="Q25" i="62"/>
  <c r="N25" i="62"/>
  <c r="K25" i="62"/>
  <c r="H25" i="62"/>
  <c r="Q20" i="62"/>
  <c r="N20" i="62"/>
  <c r="K20" i="62"/>
  <c r="J20" i="62"/>
  <c r="I20" i="62"/>
  <c r="G20" i="62"/>
  <c r="H20" i="62" s="1"/>
  <c r="F20" i="62"/>
  <c r="Q18" i="62"/>
  <c r="N18" i="62"/>
  <c r="K18" i="62"/>
  <c r="H18" i="62"/>
  <c r="Q17" i="62"/>
  <c r="N17" i="62"/>
  <c r="K17" i="62"/>
  <c r="H17" i="62"/>
  <c r="Q16" i="62"/>
  <c r="N16" i="62"/>
  <c r="K16" i="62"/>
  <c r="H16" i="62"/>
  <c r="Q15" i="62"/>
  <c r="N15" i="62"/>
  <c r="K15" i="62"/>
  <c r="H15" i="62"/>
  <c r="Q14" i="62"/>
  <c r="N14" i="62"/>
  <c r="K14" i="62"/>
  <c r="H14" i="62"/>
  <c r="Q13" i="62"/>
  <c r="N13" i="62"/>
  <c r="K13" i="62"/>
  <c r="H13" i="62"/>
  <c r="Q12" i="62"/>
  <c r="N12" i="62"/>
  <c r="K12" i="62"/>
  <c r="H12" i="62"/>
  <c r="Q11" i="62"/>
  <c r="N11" i="62"/>
  <c r="K11" i="62"/>
  <c r="H11" i="62"/>
  <c r="Q10" i="62"/>
  <c r="N10" i="62"/>
  <c r="K10" i="62"/>
  <c r="H10" i="62"/>
  <c r="AA18" i="61"/>
  <c r="Y18" i="61"/>
  <c r="W18" i="61"/>
  <c r="AA17" i="61"/>
  <c r="Y17" i="61"/>
  <c r="W17" i="61"/>
  <c r="AA15" i="61"/>
  <c r="Y15" i="61"/>
  <c r="W15" i="61"/>
  <c r="U15" i="61"/>
  <c r="N15" i="61"/>
  <c r="L15" i="61"/>
  <c r="J15" i="61"/>
  <c r="H15" i="61"/>
  <c r="Y12" i="61"/>
  <c r="W12" i="61"/>
  <c r="U12" i="61"/>
  <c r="N12" i="61"/>
  <c r="L12" i="61"/>
  <c r="J12" i="61"/>
  <c r="H12" i="61"/>
  <c r="AA11" i="61"/>
  <c r="Y11" i="61"/>
  <c r="W11" i="61"/>
  <c r="U11" i="61"/>
  <c r="N11" i="61"/>
  <c r="L11" i="61"/>
  <c r="J11" i="61"/>
  <c r="H11" i="61"/>
  <c r="F11" i="61"/>
  <c r="AA9" i="61"/>
  <c r="Y9" i="61"/>
  <c r="W9" i="61"/>
  <c r="U9" i="61"/>
  <c r="N9" i="61"/>
  <c r="L9" i="61"/>
  <c r="J9" i="61"/>
  <c r="H9" i="61"/>
  <c r="J21" i="63" l="1"/>
  <c r="M21" i="63"/>
  <c r="AB12" i="59"/>
  <c r="AA12" i="59"/>
  <c r="Z12" i="59"/>
  <c r="Y12" i="59"/>
  <c r="X12" i="59"/>
  <c r="W12" i="59"/>
  <c r="V12" i="59"/>
  <c r="U12" i="59"/>
  <c r="T12" i="59"/>
  <c r="S12" i="59"/>
  <c r="R12" i="59"/>
  <c r="Q12" i="59"/>
  <c r="P12" i="59"/>
  <c r="O12" i="59"/>
  <c r="N12" i="59"/>
  <c r="M12" i="59"/>
  <c r="L12" i="59"/>
  <c r="K12" i="59"/>
  <c r="J12" i="59"/>
  <c r="I12" i="59"/>
  <c r="H12" i="59"/>
  <c r="G12" i="59"/>
  <c r="F12" i="59"/>
  <c r="E12" i="59"/>
  <c r="AB11" i="59"/>
  <c r="AA11" i="59"/>
  <c r="Z11" i="59"/>
  <c r="Y11" i="59"/>
  <c r="X11" i="59"/>
  <c r="W11" i="59"/>
  <c r="V11" i="59"/>
  <c r="U11" i="59"/>
  <c r="T11" i="59"/>
  <c r="S11" i="59"/>
  <c r="R11" i="59"/>
  <c r="Q11" i="59"/>
  <c r="P11" i="59"/>
  <c r="O11" i="59"/>
  <c r="N11" i="59"/>
  <c r="M11" i="59"/>
  <c r="L11" i="59"/>
  <c r="K11" i="59"/>
  <c r="J11" i="59"/>
  <c r="I11" i="59"/>
  <c r="H11" i="59"/>
  <c r="G11" i="59"/>
  <c r="F11" i="59"/>
  <c r="E11" i="59"/>
  <c r="AB10" i="59"/>
  <c r="AA10" i="59"/>
  <c r="Z10" i="59"/>
  <c r="Y10" i="59"/>
  <c r="X10" i="59"/>
  <c r="W10" i="59"/>
  <c r="V10" i="59"/>
  <c r="U10" i="59"/>
  <c r="T10" i="59"/>
  <c r="S10" i="59"/>
  <c r="R10" i="59"/>
  <c r="Q10" i="59"/>
  <c r="P10" i="59"/>
  <c r="O10" i="59"/>
  <c r="N10" i="59"/>
  <c r="M10" i="59"/>
  <c r="L10" i="59"/>
  <c r="K10" i="59"/>
  <c r="J10" i="59"/>
  <c r="I10" i="59"/>
  <c r="H10" i="59"/>
  <c r="G10" i="59"/>
  <c r="F10" i="59"/>
  <c r="E10" i="59"/>
  <c r="Z18" i="58"/>
  <c r="Y18" i="58"/>
  <c r="X18" i="58"/>
  <c r="W18" i="58"/>
  <c r="V18" i="58"/>
  <c r="U18" i="58"/>
  <c r="T18" i="58"/>
  <c r="S18" i="58"/>
  <c r="R18" i="58"/>
  <c r="Q18" i="58"/>
  <c r="P18" i="58"/>
  <c r="O18" i="58"/>
  <c r="N18" i="58"/>
  <c r="M18" i="58"/>
  <c r="L18" i="58"/>
  <c r="K18" i="58"/>
  <c r="J18" i="58"/>
  <c r="I18" i="58"/>
  <c r="H18" i="58"/>
  <c r="G18" i="58"/>
  <c r="F18" i="58"/>
  <c r="X11" i="58"/>
  <c r="W11" i="58"/>
  <c r="V11" i="58"/>
  <c r="U11" i="58"/>
  <c r="T11" i="58"/>
  <c r="S11" i="58"/>
  <c r="R11" i="58"/>
  <c r="Q11" i="58"/>
  <c r="P11" i="58"/>
  <c r="O11" i="58"/>
  <c r="N11" i="58"/>
  <c r="M11" i="58"/>
  <c r="L11" i="58"/>
  <c r="K11" i="58"/>
  <c r="J11" i="58"/>
  <c r="I11" i="58"/>
  <c r="H11" i="58"/>
  <c r="G11" i="58"/>
  <c r="F11" i="58"/>
  <c r="Z24" i="57"/>
  <c r="Y24" i="57"/>
  <c r="X24" i="57"/>
  <c r="U24" i="57"/>
  <c r="T24" i="57"/>
  <c r="S24" i="57"/>
  <c r="R24" i="57"/>
  <c r="Q24" i="57"/>
  <c r="P24" i="57"/>
  <c r="O24" i="57"/>
  <c r="N24" i="57"/>
  <c r="M24" i="57"/>
  <c r="L24" i="57"/>
  <c r="K24" i="57"/>
  <c r="J24" i="57"/>
  <c r="I24" i="57"/>
  <c r="H24" i="57"/>
  <c r="G24" i="57"/>
  <c r="F24" i="57"/>
  <c r="E24" i="57"/>
  <c r="AA18" i="57"/>
  <c r="Z18" i="57"/>
  <c r="Y18" i="57"/>
  <c r="X18" i="57"/>
  <c r="W18" i="57"/>
  <c r="V18" i="57"/>
  <c r="U18" i="57"/>
  <c r="T18" i="57"/>
  <c r="S18" i="57"/>
  <c r="R18" i="57"/>
  <c r="Q18" i="57"/>
  <c r="P18" i="57"/>
  <c r="O18" i="57"/>
  <c r="N18" i="57"/>
  <c r="M18" i="57"/>
  <c r="L18" i="57"/>
  <c r="K18" i="57"/>
  <c r="J18" i="57"/>
  <c r="I18" i="57"/>
  <c r="H18" i="57"/>
  <c r="G18" i="57"/>
  <c r="F18" i="57"/>
  <c r="E18" i="57"/>
  <c r="W10" i="57"/>
  <c r="V10" i="57"/>
  <c r="U10" i="57"/>
  <c r="T10" i="57"/>
  <c r="S10" i="57"/>
  <c r="R10" i="57"/>
  <c r="Q10" i="57"/>
  <c r="P10" i="57"/>
  <c r="O10" i="57"/>
  <c r="N10" i="57"/>
  <c r="M10" i="57"/>
  <c r="L10" i="57"/>
  <c r="K10" i="57"/>
  <c r="J10" i="57"/>
  <c r="I10" i="57"/>
  <c r="H10" i="57"/>
  <c r="G10" i="57"/>
  <c r="Y13" i="56"/>
  <c r="X13" i="56"/>
  <c r="W13" i="56"/>
  <c r="V13" i="56"/>
  <c r="U13" i="56"/>
  <c r="T13" i="56"/>
  <c r="S13" i="56"/>
  <c r="R13" i="56"/>
  <c r="Q13" i="56"/>
  <c r="P13" i="56"/>
  <c r="O13" i="56"/>
  <c r="N13" i="56"/>
  <c r="M13" i="56"/>
  <c r="L13" i="56"/>
  <c r="K13" i="56"/>
  <c r="J13" i="56"/>
  <c r="I13" i="56"/>
  <c r="H13" i="56"/>
  <c r="G13" i="56"/>
  <c r="F13" i="56"/>
  <c r="E13" i="56"/>
  <c r="U28" i="55"/>
  <c r="U27" i="55"/>
  <c r="U26" i="55"/>
  <c r="U25" i="55"/>
  <c r="T21" i="55"/>
  <c r="U21" i="55" s="1"/>
  <c r="S21" i="55"/>
  <c r="P21" i="55"/>
  <c r="M21" i="55"/>
  <c r="L21" i="55"/>
  <c r="K21" i="55"/>
  <c r="J21" i="55"/>
  <c r="I21" i="55"/>
  <c r="H21" i="55"/>
  <c r="G21" i="55"/>
  <c r="F21" i="55"/>
  <c r="E21" i="55"/>
  <c r="U20" i="55"/>
  <c r="L20" i="55"/>
  <c r="K20" i="55"/>
  <c r="J20" i="55"/>
  <c r="U19" i="55"/>
  <c r="U18" i="55"/>
  <c r="L18" i="55"/>
  <c r="K18" i="55"/>
  <c r="J18" i="55"/>
  <c r="I18" i="55"/>
  <c r="H18" i="55"/>
  <c r="G18" i="55"/>
  <c r="F18" i="55"/>
  <c r="E18" i="55"/>
  <c r="T17" i="55"/>
  <c r="S17" i="55"/>
  <c r="P17" i="55"/>
  <c r="M17" i="55"/>
  <c r="L17" i="55"/>
  <c r="K17" i="55"/>
  <c r="J17" i="55"/>
  <c r="I17" i="55"/>
  <c r="H17" i="55"/>
  <c r="G17" i="55"/>
  <c r="F17" i="55"/>
  <c r="E17" i="55"/>
  <c r="U16" i="55"/>
  <c r="U15" i="55"/>
  <c r="L15" i="55"/>
  <c r="K15" i="55"/>
  <c r="J15" i="55"/>
  <c r="J14" i="55" s="1"/>
  <c r="I15" i="55"/>
  <c r="I14" i="55" s="1"/>
  <c r="H15" i="55"/>
  <c r="H14" i="55" s="1"/>
  <c r="G15" i="55"/>
  <c r="G14" i="55" s="1"/>
  <c r="F15" i="55"/>
  <c r="F14" i="55" s="1"/>
  <c r="E15" i="55"/>
  <c r="E14" i="55" s="1"/>
  <c r="T14" i="55"/>
  <c r="S14" i="55"/>
  <c r="P14" i="55"/>
  <c r="O14" i="55"/>
  <c r="M14" i="55"/>
  <c r="L14" i="55"/>
  <c r="K14" i="55"/>
  <c r="T13" i="55"/>
  <c r="T12" i="55" s="1"/>
  <c r="S13" i="55"/>
  <c r="P13" i="55"/>
  <c r="M13" i="55"/>
  <c r="M12" i="55" s="1"/>
  <c r="L13" i="55"/>
  <c r="K13" i="55"/>
  <c r="K12" i="55" s="1"/>
  <c r="J13" i="55"/>
  <c r="I13" i="55"/>
  <c r="I12" i="55" s="1"/>
  <c r="H13" i="55"/>
  <c r="G13" i="55"/>
  <c r="G12" i="55" s="1"/>
  <c r="F13" i="55"/>
  <c r="E13" i="55"/>
  <c r="E12" i="55" s="1"/>
  <c r="P12" i="55"/>
  <c r="O12" i="55"/>
  <c r="N12" i="55"/>
  <c r="L10" i="55"/>
  <c r="K10" i="55"/>
  <c r="J10" i="55"/>
  <c r="I10" i="55"/>
  <c r="H10" i="55"/>
  <c r="G10" i="55"/>
  <c r="F10" i="55"/>
  <c r="E10" i="55"/>
  <c r="T9" i="55"/>
  <c r="U9" i="55" s="1"/>
  <c r="S9" i="55"/>
  <c r="P9" i="55"/>
  <c r="M9" i="55"/>
  <c r="L9" i="55"/>
  <c r="K9" i="55"/>
  <c r="J9" i="55"/>
  <c r="I9" i="55"/>
  <c r="H9" i="55"/>
  <c r="G9" i="55"/>
  <c r="F9" i="55"/>
  <c r="E9" i="55"/>
  <c r="N54" i="54"/>
  <c r="R44" i="54"/>
  <c r="Q44" i="54"/>
  <c r="P44" i="54"/>
  <c r="O44" i="54"/>
  <c r="N44" i="54"/>
  <c r="M44" i="54"/>
  <c r="L44" i="54"/>
  <c r="K44" i="54"/>
  <c r="J44" i="54"/>
  <c r="I44" i="54"/>
  <c r="H44" i="54"/>
  <c r="G44" i="54"/>
  <c r="F44" i="54"/>
  <c r="R43" i="54"/>
  <c r="Q43" i="54"/>
  <c r="P43" i="54"/>
  <c r="O43" i="54"/>
  <c r="N43" i="54"/>
  <c r="M43" i="54"/>
  <c r="L43" i="54"/>
  <c r="K43" i="54"/>
  <c r="J43" i="54"/>
  <c r="I43" i="54"/>
  <c r="H43" i="54"/>
  <c r="G43" i="54"/>
  <c r="F43" i="54"/>
  <c r="R42" i="54"/>
  <c r="Q42" i="54"/>
  <c r="P42" i="54"/>
  <c r="O42" i="54"/>
  <c r="N42" i="54"/>
  <c r="M42" i="54"/>
  <c r="L42" i="54"/>
  <c r="K42" i="54"/>
  <c r="J42" i="54"/>
  <c r="I42" i="54"/>
  <c r="H42" i="54"/>
  <c r="G42" i="54"/>
  <c r="F42" i="54"/>
  <c r="R41" i="54"/>
  <c r="Q41" i="54"/>
  <c r="P41" i="54"/>
  <c r="O41" i="54"/>
  <c r="N41" i="54"/>
  <c r="M41" i="54"/>
  <c r="L41" i="54"/>
  <c r="K41" i="54"/>
  <c r="J41" i="54"/>
  <c r="I41" i="54"/>
  <c r="H41" i="54"/>
  <c r="G41" i="54"/>
  <c r="F41" i="54"/>
  <c r="R40" i="54"/>
  <c r="Q40" i="54"/>
  <c r="P40" i="54"/>
  <c r="O40" i="54"/>
  <c r="N40" i="54"/>
  <c r="M40" i="54"/>
  <c r="L40" i="54"/>
  <c r="K40" i="54"/>
  <c r="J40" i="54"/>
  <c r="I40" i="54"/>
  <c r="H40" i="54"/>
  <c r="G40" i="54"/>
  <c r="F40" i="54"/>
  <c r="R39" i="54"/>
  <c r="Q39" i="54"/>
  <c r="P39" i="54"/>
  <c r="O39" i="54"/>
  <c r="N39" i="54"/>
  <c r="M39" i="54"/>
  <c r="L39" i="54"/>
  <c r="K39" i="54"/>
  <c r="J39" i="54"/>
  <c r="I39" i="54"/>
  <c r="H39" i="54"/>
  <c r="G39" i="54"/>
  <c r="F39" i="54"/>
  <c r="R38" i="54"/>
  <c r="Q38" i="54"/>
  <c r="P38" i="54"/>
  <c r="O38" i="54"/>
  <c r="N38" i="54"/>
  <c r="M38" i="54"/>
  <c r="L38" i="54"/>
  <c r="K38" i="54"/>
  <c r="J38" i="54"/>
  <c r="I38" i="54"/>
  <c r="H38" i="54"/>
  <c r="G38" i="54"/>
  <c r="F38" i="54"/>
  <c r="R37" i="54"/>
  <c r="Q37" i="54"/>
  <c r="P37" i="54"/>
  <c r="O37" i="54"/>
  <c r="N37" i="54"/>
  <c r="M37" i="54"/>
  <c r="L37" i="54"/>
  <c r="K37" i="54"/>
  <c r="J37" i="54"/>
  <c r="I37" i="54"/>
  <c r="H37" i="54"/>
  <c r="G37" i="54"/>
  <c r="F37" i="54"/>
  <c r="R36" i="54"/>
  <c r="Q36" i="54"/>
  <c r="P36" i="54"/>
  <c r="O36" i="54"/>
  <c r="N36" i="54"/>
  <c r="M36" i="54"/>
  <c r="L36" i="54"/>
  <c r="K36" i="54"/>
  <c r="J36" i="54"/>
  <c r="I36" i="54"/>
  <c r="H36" i="54"/>
  <c r="G36" i="54"/>
  <c r="F36" i="54"/>
  <c r="R35" i="54"/>
  <c r="Q35" i="54"/>
  <c r="P35" i="54"/>
  <c r="O35" i="54"/>
  <c r="N35" i="54"/>
  <c r="M35" i="54"/>
  <c r="L35" i="54"/>
  <c r="K35" i="54"/>
  <c r="J35" i="54"/>
  <c r="I35" i="54"/>
  <c r="H35" i="54"/>
  <c r="G35" i="54"/>
  <c r="F35" i="54"/>
  <c r="S31" i="54"/>
  <c r="R31" i="54"/>
  <c r="S30" i="54"/>
  <c r="R30" i="54"/>
  <c r="S29" i="54"/>
  <c r="R29" i="54"/>
  <c r="S28" i="54"/>
  <c r="R28" i="54"/>
  <c r="S27" i="54"/>
  <c r="R27" i="54"/>
  <c r="S26" i="54"/>
  <c r="R26" i="54"/>
  <c r="S25" i="54"/>
  <c r="R25" i="54"/>
  <c r="S24" i="54"/>
  <c r="R24" i="54"/>
  <c r="S23" i="54"/>
  <c r="R23" i="54"/>
  <c r="S22" i="54"/>
  <c r="R22" i="54"/>
  <c r="N54" i="53"/>
  <c r="P44" i="53"/>
  <c r="O44" i="53"/>
  <c r="N44" i="53"/>
  <c r="M44" i="53"/>
  <c r="L44" i="53"/>
  <c r="K44" i="53"/>
  <c r="J44" i="53"/>
  <c r="I44" i="53"/>
  <c r="H44" i="53"/>
  <c r="G44" i="53"/>
  <c r="R43" i="53"/>
  <c r="Q43" i="53"/>
  <c r="P43" i="53"/>
  <c r="O43" i="53"/>
  <c r="N43" i="53"/>
  <c r="M43" i="53"/>
  <c r="L43" i="53"/>
  <c r="K43" i="53"/>
  <c r="J43" i="53"/>
  <c r="I43" i="53"/>
  <c r="H43" i="53"/>
  <c r="G43" i="53"/>
  <c r="F43" i="53"/>
  <c r="R42" i="53"/>
  <c r="Q42" i="53"/>
  <c r="P42" i="53"/>
  <c r="O42" i="53"/>
  <c r="N42" i="53"/>
  <c r="M42" i="53"/>
  <c r="L42" i="53"/>
  <c r="K42" i="53"/>
  <c r="J42" i="53"/>
  <c r="I42" i="53"/>
  <c r="H42" i="53"/>
  <c r="G42" i="53"/>
  <c r="F42" i="53"/>
  <c r="R41" i="53"/>
  <c r="Q41" i="53"/>
  <c r="P41" i="53"/>
  <c r="O41" i="53"/>
  <c r="N41" i="53"/>
  <c r="M41" i="53"/>
  <c r="L41" i="53"/>
  <c r="K41" i="53"/>
  <c r="J41" i="53"/>
  <c r="I41" i="53"/>
  <c r="H41" i="53"/>
  <c r="G41" i="53"/>
  <c r="F41" i="53"/>
  <c r="R40" i="53"/>
  <c r="Q40" i="53"/>
  <c r="P40" i="53"/>
  <c r="O40" i="53"/>
  <c r="N40" i="53"/>
  <c r="M40" i="53"/>
  <c r="L40" i="53"/>
  <c r="K40" i="53"/>
  <c r="J40" i="53"/>
  <c r="I40" i="53"/>
  <c r="H40" i="53"/>
  <c r="G40" i="53"/>
  <c r="F40" i="53"/>
  <c r="R39" i="53"/>
  <c r="Q39" i="53"/>
  <c r="P39" i="53"/>
  <c r="O39" i="53"/>
  <c r="N39" i="53"/>
  <c r="M39" i="53"/>
  <c r="L39" i="53"/>
  <c r="K39" i="53"/>
  <c r="J39" i="53"/>
  <c r="I39" i="53"/>
  <c r="H39" i="53"/>
  <c r="G39" i="53"/>
  <c r="F39" i="53"/>
  <c r="R38" i="53"/>
  <c r="Q38" i="53"/>
  <c r="P38" i="53"/>
  <c r="O38" i="53"/>
  <c r="N38" i="53"/>
  <c r="M38" i="53"/>
  <c r="L38" i="53"/>
  <c r="K38" i="53"/>
  <c r="J38" i="53"/>
  <c r="I38" i="53"/>
  <c r="H38" i="53"/>
  <c r="G38" i="53"/>
  <c r="F38" i="53"/>
  <c r="R37" i="53"/>
  <c r="Q37" i="53"/>
  <c r="P37" i="53"/>
  <c r="O37" i="53"/>
  <c r="N37" i="53"/>
  <c r="M37" i="53"/>
  <c r="L37" i="53"/>
  <c r="K37" i="53"/>
  <c r="J37" i="53"/>
  <c r="I37" i="53"/>
  <c r="H37" i="53"/>
  <c r="G37" i="53"/>
  <c r="F37" i="53"/>
  <c r="R36" i="53"/>
  <c r="Q36" i="53"/>
  <c r="P36" i="53"/>
  <c r="O36" i="53"/>
  <c r="N36" i="53"/>
  <c r="M36" i="53"/>
  <c r="L36" i="53"/>
  <c r="K36" i="53"/>
  <c r="J36" i="53"/>
  <c r="I36" i="53"/>
  <c r="H36" i="53"/>
  <c r="G36" i="53"/>
  <c r="F36" i="53"/>
  <c r="R35" i="53"/>
  <c r="Q35" i="53"/>
  <c r="P35" i="53"/>
  <c r="O35" i="53"/>
  <c r="N35" i="53"/>
  <c r="M35" i="53"/>
  <c r="L35" i="53"/>
  <c r="K35" i="53"/>
  <c r="J35" i="53"/>
  <c r="I35" i="53"/>
  <c r="H35" i="53"/>
  <c r="G35" i="53"/>
  <c r="F35" i="53"/>
  <c r="R31" i="53"/>
  <c r="S30" i="53"/>
  <c r="R30" i="53"/>
  <c r="S29" i="53"/>
  <c r="R29" i="53"/>
  <c r="S28" i="53"/>
  <c r="R28" i="53"/>
  <c r="Q28" i="53"/>
  <c r="S27" i="53"/>
  <c r="R27" i="53"/>
  <c r="S26" i="53"/>
  <c r="R26" i="53"/>
  <c r="Q26" i="53"/>
  <c r="S25" i="53"/>
  <c r="R25" i="53"/>
  <c r="S24" i="53"/>
  <c r="R24" i="53"/>
  <c r="S23" i="53"/>
  <c r="R23" i="53"/>
  <c r="S22" i="53"/>
  <c r="R22" i="53"/>
  <c r="S19" i="53"/>
  <c r="R19" i="53"/>
  <c r="Q19" i="53"/>
  <c r="P19" i="53"/>
  <c r="O19" i="53"/>
  <c r="N19" i="53"/>
  <c r="M19" i="53"/>
  <c r="L19" i="53"/>
  <c r="K19" i="53"/>
  <c r="J19" i="53"/>
  <c r="I19" i="53"/>
  <c r="H19" i="53"/>
  <c r="G19" i="53"/>
  <c r="F19" i="53"/>
  <c r="S18" i="53"/>
  <c r="S31" i="53" s="1"/>
  <c r="R18" i="53"/>
  <c r="Q44" i="53" s="1"/>
  <c r="Q18" i="53"/>
  <c r="E18" i="53"/>
  <c r="F44" i="53" s="1"/>
  <c r="T17" i="53"/>
  <c r="T16" i="53"/>
  <c r="T15" i="53"/>
  <c r="T14" i="53"/>
  <c r="T13" i="53"/>
  <c r="T12" i="53"/>
  <c r="T11" i="53"/>
  <c r="T10" i="53"/>
  <c r="T9" i="53"/>
  <c r="R65" i="52"/>
  <c r="Q65" i="52"/>
  <c r="P65" i="52"/>
  <c r="O65" i="52"/>
  <c r="N65" i="52"/>
  <c r="M65" i="52"/>
  <c r="L65" i="52"/>
  <c r="K65" i="52"/>
  <c r="J65" i="52"/>
  <c r="I65" i="52"/>
  <c r="H65" i="52"/>
  <c r="G65" i="52"/>
  <c r="F65" i="52"/>
  <c r="R64" i="52"/>
  <c r="Q64" i="52"/>
  <c r="P64" i="52"/>
  <c r="O64" i="52"/>
  <c r="N64" i="52"/>
  <c r="M64" i="52"/>
  <c r="L64" i="52"/>
  <c r="K64" i="52"/>
  <c r="J64" i="52"/>
  <c r="I64" i="52"/>
  <c r="G64" i="52"/>
  <c r="F64" i="52"/>
  <c r="R63" i="52"/>
  <c r="Q63" i="52"/>
  <c r="P63" i="52"/>
  <c r="O63" i="52"/>
  <c r="N63" i="52"/>
  <c r="M63" i="52"/>
  <c r="L63" i="52"/>
  <c r="K63" i="52"/>
  <c r="J63" i="52"/>
  <c r="I63" i="52"/>
  <c r="H63" i="52"/>
  <c r="G63" i="52"/>
  <c r="F63" i="52"/>
  <c r="R62" i="52"/>
  <c r="Q62" i="52"/>
  <c r="P62" i="52"/>
  <c r="O62" i="52"/>
  <c r="N62" i="52"/>
  <c r="M62" i="52"/>
  <c r="L62" i="52"/>
  <c r="K62" i="52"/>
  <c r="J62" i="52"/>
  <c r="I62" i="52"/>
  <c r="H62" i="52"/>
  <c r="G62" i="52"/>
  <c r="F62" i="52"/>
  <c r="R61" i="52"/>
  <c r="Q61" i="52"/>
  <c r="P61" i="52"/>
  <c r="O61" i="52"/>
  <c r="N61" i="52"/>
  <c r="M61" i="52"/>
  <c r="L61" i="52"/>
  <c r="K61" i="52"/>
  <c r="J61" i="52"/>
  <c r="I61" i="52"/>
  <c r="H61" i="52"/>
  <c r="G61" i="52"/>
  <c r="F61" i="52"/>
  <c r="R60" i="52"/>
  <c r="Q60" i="52"/>
  <c r="P60" i="52"/>
  <c r="O60" i="52"/>
  <c r="N60" i="52"/>
  <c r="M60" i="52"/>
  <c r="L60" i="52"/>
  <c r="K60" i="52"/>
  <c r="J60" i="52"/>
  <c r="I60" i="52"/>
  <c r="H60" i="52"/>
  <c r="G60" i="52"/>
  <c r="F60" i="52"/>
  <c r="R59" i="52"/>
  <c r="Q59" i="52"/>
  <c r="P59" i="52"/>
  <c r="O59" i="52"/>
  <c r="N59" i="52"/>
  <c r="M59" i="52"/>
  <c r="L59" i="52"/>
  <c r="K59" i="52"/>
  <c r="J59" i="52"/>
  <c r="I59" i="52"/>
  <c r="H59" i="52"/>
  <c r="G59" i="52"/>
  <c r="F59" i="52"/>
  <c r="U14" i="52"/>
  <c r="U13" i="52"/>
  <c r="U12" i="52"/>
  <c r="U11" i="52"/>
  <c r="U10" i="52"/>
  <c r="U9" i="52"/>
  <c r="U8" i="52"/>
  <c r="C2" i="53"/>
  <c r="C2" i="54" s="1"/>
  <c r="Y16" i="51"/>
  <c r="X16" i="51"/>
  <c r="W16" i="51"/>
  <c r="V16" i="51"/>
  <c r="U16" i="51"/>
  <c r="T16" i="51"/>
  <c r="S16" i="51"/>
  <c r="R16" i="51"/>
  <c r="Q16" i="51"/>
  <c r="P16" i="51"/>
  <c r="O16" i="51"/>
  <c r="N16" i="51"/>
  <c r="AA15" i="51"/>
  <c r="AA14" i="51"/>
  <c r="Z14" i="51"/>
  <c r="AA13" i="51"/>
  <c r="Z13" i="51"/>
  <c r="Z16" i="51" s="1"/>
  <c r="AA12" i="51"/>
  <c r="AA11" i="51"/>
  <c r="AA10" i="51"/>
  <c r="AA9" i="51"/>
  <c r="Z54" i="50"/>
  <c r="Y54" i="50"/>
  <c r="X54" i="50"/>
  <c r="W54" i="50"/>
  <c r="V54" i="50"/>
  <c r="U54" i="50"/>
  <c r="T54" i="50"/>
  <c r="S54" i="50"/>
  <c r="R54" i="50"/>
  <c r="Q54" i="50"/>
  <c r="P54" i="50"/>
  <c r="O54" i="50"/>
  <c r="N54" i="50"/>
  <c r="M54" i="50"/>
  <c r="L54" i="50"/>
  <c r="K54" i="50"/>
  <c r="J54" i="50"/>
  <c r="I54" i="50"/>
  <c r="H54" i="50"/>
  <c r="G54" i="50"/>
  <c r="F54" i="50"/>
  <c r="E54" i="50"/>
  <c r="Z53" i="50"/>
  <c r="Y53" i="50"/>
  <c r="X53" i="50"/>
  <c r="W53" i="50"/>
  <c r="V53" i="50"/>
  <c r="U53" i="50"/>
  <c r="T53" i="50"/>
  <c r="S53" i="50"/>
  <c r="R53" i="50"/>
  <c r="Q53" i="50"/>
  <c r="P53" i="50"/>
  <c r="O53" i="50"/>
  <c r="N53" i="50"/>
  <c r="M53" i="50"/>
  <c r="L53" i="50"/>
  <c r="K53" i="50"/>
  <c r="J53" i="50"/>
  <c r="I53" i="50"/>
  <c r="H53" i="50"/>
  <c r="G53" i="50"/>
  <c r="F53" i="50"/>
  <c r="E53" i="50"/>
  <c r="Z52" i="50"/>
  <c r="Y52" i="50"/>
  <c r="X52" i="50"/>
  <c r="W52" i="50"/>
  <c r="V52" i="50"/>
  <c r="U52" i="50"/>
  <c r="T52" i="50"/>
  <c r="S52" i="50"/>
  <c r="R52" i="50"/>
  <c r="Q52" i="50"/>
  <c r="P52" i="50"/>
  <c r="O52" i="50"/>
  <c r="N52" i="50"/>
  <c r="M52" i="50"/>
  <c r="L52" i="50"/>
  <c r="K52" i="50"/>
  <c r="J52" i="50"/>
  <c r="I52" i="50"/>
  <c r="H52" i="50"/>
  <c r="G52" i="50"/>
  <c r="F52" i="50"/>
  <c r="E52" i="50"/>
  <c r="Z51" i="50"/>
  <c r="Y51" i="50"/>
  <c r="X51" i="50"/>
  <c r="W51" i="50"/>
  <c r="V51" i="50"/>
  <c r="U51" i="50"/>
  <c r="T51" i="50"/>
  <c r="S51" i="50"/>
  <c r="R51" i="50"/>
  <c r="Q51" i="50"/>
  <c r="P51" i="50"/>
  <c r="O51" i="50"/>
  <c r="N51" i="50"/>
  <c r="M51" i="50"/>
  <c r="L51" i="50"/>
  <c r="K51" i="50"/>
  <c r="J51" i="50"/>
  <c r="I51" i="50"/>
  <c r="H51" i="50"/>
  <c r="G51" i="50"/>
  <c r="F51" i="50"/>
  <c r="E51" i="50"/>
  <c r="Z50" i="50"/>
  <c r="Y50" i="50"/>
  <c r="X50" i="50"/>
  <c r="W50" i="50"/>
  <c r="V50" i="50"/>
  <c r="U50" i="50"/>
  <c r="T50" i="50"/>
  <c r="S50" i="50"/>
  <c r="R50" i="50"/>
  <c r="Q50" i="50"/>
  <c r="P50" i="50"/>
  <c r="O50" i="50"/>
  <c r="N50" i="50"/>
  <c r="M50" i="50"/>
  <c r="L50" i="50"/>
  <c r="K50" i="50"/>
  <c r="J50" i="50"/>
  <c r="I50" i="50"/>
  <c r="H50" i="50"/>
  <c r="G50" i="50"/>
  <c r="F50" i="50"/>
  <c r="E50" i="50"/>
  <c r="AB45" i="50"/>
  <c r="AB54" i="50" s="1"/>
  <c r="AA45" i="50"/>
  <c r="AA54" i="50" s="1"/>
  <c r="AB44" i="50"/>
  <c r="AB53" i="50" s="1"/>
  <c r="AA44" i="50"/>
  <c r="AA53" i="50" s="1"/>
  <c r="AB43" i="50"/>
  <c r="AB52" i="50" s="1"/>
  <c r="AA43" i="50"/>
  <c r="AA52" i="50" s="1"/>
  <c r="AB42" i="50"/>
  <c r="AB51" i="50" s="1"/>
  <c r="AA42" i="50"/>
  <c r="AA51" i="50" s="1"/>
  <c r="AB41" i="50"/>
  <c r="AB50" i="50" s="1"/>
  <c r="AA41" i="50"/>
  <c r="AA50" i="50" s="1"/>
  <c r="Z14" i="50"/>
  <c r="Y14" i="50"/>
  <c r="X14" i="50"/>
  <c r="W14" i="50"/>
  <c r="V14" i="50"/>
  <c r="U14" i="50"/>
  <c r="T14" i="50"/>
  <c r="S14" i="50"/>
  <c r="R14" i="50"/>
  <c r="Q14" i="50"/>
  <c r="P14" i="50"/>
  <c r="O14" i="50"/>
  <c r="AB13" i="50"/>
  <c r="AA13" i="50"/>
  <c r="AB12" i="50"/>
  <c r="AA12" i="50"/>
  <c r="AB11" i="50"/>
  <c r="AA11" i="50"/>
  <c r="AB10" i="50"/>
  <c r="AA10" i="50"/>
  <c r="AB9" i="50"/>
  <c r="AB14" i="50" s="1"/>
  <c r="AA9" i="50"/>
  <c r="K165" i="49"/>
  <c r="J165" i="49"/>
  <c r="I165" i="49"/>
  <c r="H165" i="49"/>
  <c r="G165" i="49"/>
  <c r="F165" i="49"/>
  <c r="E165" i="49"/>
  <c r="BA157" i="49"/>
  <c r="AZ157" i="49"/>
  <c r="AY157" i="49"/>
  <c r="AX157" i="49"/>
  <c r="AW157" i="49"/>
  <c r="AV157" i="49"/>
  <c r="AU157" i="49"/>
  <c r="AT157" i="49"/>
  <c r="AS157" i="49"/>
  <c r="AR157" i="49"/>
  <c r="AQ157" i="49"/>
  <c r="AP157" i="49"/>
  <c r="AO157" i="49"/>
  <c r="AN157" i="49"/>
  <c r="AM157" i="49"/>
  <c r="AL157" i="49"/>
  <c r="AK157" i="49"/>
  <c r="AJ157" i="49"/>
  <c r="AI157" i="49"/>
  <c r="AH157" i="49"/>
  <c r="AG157" i="49"/>
  <c r="AF157" i="49"/>
  <c r="AE157" i="49"/>
  <c r="AD157" i="49"/>
  <c r="AC157" i="49"/>
  <c r="AB157" i="49"/>
  <c r="AA157" i="49"/>
  <c r="Z157" i="49"/>
  <c r="Y157" i="49"/>
  <c r="X157" i="49"/>
  <c r="W157" i="49"/>
  <c r="V157" i="49"/>
  <c r="U157" i="49"/>
  <c r="T157" i="49"/>
  <c r="S157" i="49"/>
  <c r="R157" i="49"/>
  <c r="Q157" i="49"/>
  <c r="P157" i="49"/>
  <c r="O157" i="49"/>
  <c r="N157" i="49"/>
  <c r="M157" i="49"/>
  <c r="L157" i="49"/>
  <c r="BO153" i="49"/>
  <c r="BO157" i="49" s="1"/>
  <c r="BN153" i="49"/>
  <c r="BN157" i="49" s="1"/>
  <c r="BM153" i="49"/>
  <c r="BM157" i="49" s="1"/>
  <c r="BL153" i="49"/>
  <c r="BL157" i="49" s="1"/>
  <c r="BK153" i="49"/>
  <c r="BK157" i="49" s="1"/>
  <c r="BJ153" i="49"/>
  <c r="BJ157" i="49" s="1"/>
  <c r="BI153" i="49"/>
  <c r="BI157" i="49" s="1"/>
  <c r="BH153" i="49"/>
  <c r="BH157" i="49" s="1"/>
  <c r="BG153" i="49"/>
  <c r="BG157" i="49" s="1"/>
  <c r="BF153" i="49"/>
  <c r="BF157" i="49" s="1"/>
  <c r="BE153" i="49"/>
  <c r="BE157" i="49" s="1"/>
  <c r="BD153" i="49"/>
  <c r="BD157" i="49" s="1"/>
  <c r="BC153" i="49"/>
  <c r="BC157" i="49" s="1"/>
  <c r="BB153" i="49"/>
  <c r="BB157" i="49" s="1"/>
  <c r="G134" i="49"/>
  <c r="G133" i="49"/>
  <c r="G131" i="49"/>
  <c r="G130" i="49"/>
  <c r="G129" i="49"/>
  <c r="G128" i="49"/>
  <c r="G124" i="49"/>
  <c r="G123" i="49"/>
  <c r="G122" i="49"/>
  <c r="G121" i="49"/>
  <c r="G120" i="49"/>
  <c r="G117" i="49"/>
  <c r="G116" i="49"/>
  <c r="G115" i="49"/>
  <c r="G114" i="49"/>
  <c r="G111" i="49"/>
  <c r="G110" i="49"/>
  <c r="G109" i="49"/>
  <c r="G108" i="49"/>
  <c r="G107" i="49"/>
  <c r="G104" i="49"/>
  <c r="G103" i="49"/>
  <c r="G102" i="49"/>
  <c r="G101" i="49"/>
  <c r="K82" i="49"/>
  <c r="G82" i="49"/>
  <c r="G81" i="49"/>
  <c r="K81" i="49" s="1"/>
  <c r="K80" i="49"/>
  <c r="G80" i="49"/>
  <c r="G79" i="49"/>
  <c r="K79" i="49" s="1"/>
  <c r="K78" i="49"/>
  <c r="G78" i="49"/>
  <c r="G77" i="49"/>
  <c r="K77" i="49" s="1"/>
  <c r="K76" i="49"/>
  <c r="G76" i="49"/>
  <c r="G74" i="49"/>
  <c r="K74" i="49" s="1"/>
  <c r="K73" i="49"/>
  <c r="G73" i="49"/>
  <c r="G72" i="49"/>
  <c r="K72" i="49" s="1"/>
  <c r="K71" i="49"/>
  <c r="G71" i="49"/>
  <c r="G70" i="49"/>
  <c r="K70" i="49" s="1"/>
  <c r="K69" i="49"/>
  <c r="G69" i="49"/>
  <c r="G68" i="49"/>
  <c r="K68" i="49" s="1"/>
  <c r="K66" i="49"/>
  <c r="K65" i="49"/>
  <c r="K64" i="49"/>
  <c r="K63" i="49"/>
  <c r="K62" i="49"/>
  <c r="K61" i="49"/>
  <c r="K60" i="49"/>
  <c r="K58" i="49"/>
  <c r="K57" i="49"/>
  <c r="K56" i="49"/>
  <c r="K55" i="49"/>
  <c r="K54" i="49"/>
  <c r="K53" i="49"/>
  <c r="K51" i="49"/>
  <c r="K50" i="49"/>
  <c r="K49" i="49"/>
  <c r="K48" i="49"/>
  <c r="K47" i="49"/>
  <c r="K46" i="49"/>
  <c r="K44" i="49"/>
  <c r="K43" i="49"/>
  <c r="K42" i="49"/>
  <c r="K41" i="49"/>
  <c r="K40" i="49"/>
  <c r="K39" i="49"/>
  <c r="K37" i="49"/>
  <c r="K36" i="49"/>
  <c r="K35" i="49"/>
  <c r="K34" i="49"/>
  <c r="K33" i="49"/>
  <c r="K32" i="49"/>
  <c r="K30" i="49"/>
  <c r="K29" i="49"/>
  <c r="K28" i="49"/>
  <c r="K27" i="49"/>
  <c r="K26" i="49"/>
  <c r="K25" i="49"/>
  <c r="K23" i="49"/>
  <c r="K22" i="49"/>
  <c r="K21" i="49"/>
  <c r="K20" i="49"/>
  <c r="K19" i="49"/>
  <c r="K18" i="49"/>
  <c r="K16" i="49"/>
  <c r="K15" i="49"/>
  <c r="K14" i="49"/>
  <c r="K13" i="49"/>
  <c r="K12" i="49"/>
  <c r="K11" i="49"/>
  <c r="C2" i="49"/>
  <c r="Z55" i="48"/>
  <c r="X55" i="48"/>
  <c r="W55" i="48"/>
  <c r="V55" i="48"/>
  <c r="U55" i="48"/>
  <c r="T55" i="48"/>
  <c r="S55" i="48"/>
  <c r="R55" i="48"/>
  <c r="Q55" i="48"/>
  <c r="P55" i="48"/>
  <c r="O55" i="48"/>
  <c r="N55" i="48"/>
  <c r="M55" i="48"/>
  <c r="L55" i="48"/>
  <c r="K55" i="48"/>
  <c r="J55" i="48"/>
  <c r="I55" i="48"/>
  <c r="H55" i="48"/>
  <c r="G55" i="48"/>
  <c r="F55" i="48"/>
  <c r="E55" i="48"/>
  <c r="AA54" i="48"/>
  <c r="Z54" i="48"/>
  <c r="Y54" i="48"/>
  <c r="X54" i="48"/>
  <c r="W54" i="48"/>
  <c r="V54" i="48"/>
  <c r="U54" i="48"/>
  <c r="T54" i="48"/>
  <c r="S54" i="48"/>
  <c r="R54" i="48"/>
  <c r="Q54" i="48"/>
  <c r="P54" i="48"/>
  <c r="O54" i="48"/>
  <c r="N54" i="48"/>
  <c r="M54" i="48"/>
  <c r="L54" i="48"/>
  <c r="K54" i="48"/>
  <c r="J54" i="48"/>
  <c r="I54" i="48"/>
  <c r="H54" i="48"/>
  <c r="G54" i="48"/>
  <c r="F54" i="48"/>
  <c r="E54" i="48"/>
  <c r="Z53" i="48"/>
  <c r="Y53" i="48"/>
  <c r="X53" i="48"/>
  <c r="W53" i="48"/>
  <c r="V53" i="48"/>
  <c r="U53" i="48"/>
  <c r="T53" i="48"/>
  <c r="S53" i="48"/>
  <c r="R53" i="48"/>
  <c r="Q53" i="48"/>
  <c r="P53" i="48"/>
  <c r="O53" i="48"/>
  <c r="N53" i="48"/>
  <c r="M53" i="48"/>
  <c r="L53" i="48"/>
  <c r="K53" i="48"/>
  <c r="J53" i="48"/>
  <c r="I53" i="48"/>
  <c r="H53" i="48"/>
  <c r="G53" i="48"/>
  <c r="F53" i="48"/>
  <c r="E53" i="48"/>
  <c r="AA52" i="48"/>
  <c r="Z52" i="48"/>
  <c r="Y52" i="48"/>
  <c r="X52" i="48"/>
  <c r="W52" i="48"/>
  <c r="V52" i="48"/>
  <c r="U52" i="48"/>
  <c r="T52" i="48"/>
  <c r="S52" i="48"/>
  <c r="R52" i="48"/>
  <c r="Q52" i="48"/>
  <c r="P52" i="48"/>
  <c r="O52" i="48"/>
  <c r="N52" i="48"/>
  <c r="M52" i="48"/>
  <c r="L52" i="48"/>
  <c r="K52" i="48"/>
  <c r="J52" i="48"/>
  <c r="I52" i="48"/>
  <c r="H52" i="48"/>
  <c r="G52" i="48"/>
  <c r="F52" i="48"/>
  <c r="E52" i="48"/>
  <c r="AB51" i="48"/>
  <c r="Z51" i="48"/>
  <c r="Y51" i="48"/>
  <c r="X51" i="48"/>
  <c r="W51" i="48"/>
  <c r="V51" i="48"/>
  <c r="U51" i="48"/>
  <c r="T51" i="48"/>
  <c r="S51" i="48"/>
  <c r="R51" i="48"/>
  <c r="Q51" i="48"/>
  <c r="P51" i="48"/>
  <c r="O51" i="48"/>
  <c r="N51" i="48"/>
  <c r="M51" i="48"/>
  <c r="L51" i="48"/>
  <c r="K51" i="48"/>
  <c r="J51" i="48"/>
  <c r="I51" i="48"/>
  <c r="H51" i="48"/>
  <c r="G51" i="48"/>
  <c r="F51" i="48"/>
  <c r="E51" i="48"/>
  <c r="AB46" i="48"/>
  <c r="AB54" i="48" s="1"/>
  <c r="AA46" i="48"/>
  <c r="AB45" i="48"/>
  <c r="AB53" i="48" s="1"/>
  <c r="AA45" i="48"/>
  <c r="AA53" i="48" s="1"/>
  <c r="AB44" i="48"/>
  <c r="AB52" i="48" s="1"/>
  <c r="AB43" i="48"/>
  <c r="AA43" i="48"/>
  <c r="AA51" i="48" s="1"/>
  <c r="Z12" i="48"/>
  <c r="Y12" i="48"/>
  <c r="AB11" i="48"/>
  <c r="AA11" i="48"/>
  <c r="AB10" i="48"/>
  <c r="AA10" i="48"/>
  <c r="AB9" i="48"/>
  <c r="AB8" i="48"/>
  <c r="AA8" i="48"/>
  <c r="C2" i="48"/>
  <c r="C2" i="50" s="1"/>
  <c r="C2" i="51" s="1"/>
  <c r="H12" i="55" l="1"/>
  <c r="L12" i="55"/>
  <c r="U14" i="55"/>
  <c r="F12" i="55"/>
  <c r="J12" i="55"/>
  <c r="S12" i="55"/>
  <c r="U12" i="55" s="1"/>
  <c r="U17" i="55"/>
  <c r="AA16" i="51"/>
  <c r="AA14" i="50"/>
  <c r="Y55" i="48"/>
  <c r="AB12" i="48"/>
  <c r="AA12" i="48"/>
  <c r="U13" i="55"/>
  <c r="AB47" i="48"/>
  <c r="AB55" i="48" s="1"/>
  <c r="R44" i="53"/>
  <c r="AA47" i="48"/>
  <c r="AA55" i="48" s="1"/>
  <c r="T18" i="53"/>
  <c r="T142" i="46" l="1"/>
  <c r="S142" i="46"/>
  <c r="R142" i="46"/>
  <c r="Q142" i="46"/>
  <c r="P142" i="46"/>
  <c r="O142" i="46"/>
  <c r="N142" i="46"/>
  <c r="M142" i="46"/>
  <c r="L142" i="46"/>
  <c r="K142" i="46"/>
  <c r="J142" i="46"/>
  <c r="I142" i="46"/>
  <c r="H142" i="46"/>
  <c r="G142" i="46"/>
  <c r="F142" i="46"/>
  <c r="E142" i="46"/>
  <c r="D142" i="46"/>
  <c r="AD108" i="45"/>
  <c r="AD93" i="45"/>
  <c r="AD79" i="45"/>
  <c r="Z63" i="45"/>
  <c r="Y63" i="45"/>
  <c r="X63" i="45"/>
  <c r="W63" i="45"/>
  <c r="V63" i="45"/>
  <c r="U63" i="45"/>
  <c r="T63" i="45"/>
  <c r="S63" i="45"/>
  <c r="R63" i="45"/>
  <c r="Q63" i="45"/>
  <c r="P63" i="45"/>
  <c r="O63" i="45"/>
  <c r="N63" i="45"/>
  <c r="M63" i="45"/>
  <c r="L63" i="45"/>
  <c r="K63" i="45"/>
  <c r="J63" i="45"/>
  <c r="I63" i="45"/>
  <c r="H63" i="45"/>
  <c r="G63" i="45"/>
  <c r="F63" i="45"/>
  <c r="E63" i="45"/>
  <c r="D63" i="45"/>
  <c r="C63" i="45"/>
  <c r="AB59" i="45"/>
  <c r="AC59" i="45" s="1"/>
  <c r="AA59" i="45"/>
  <c r="AB58" i="45"/>
  <c r="AC58" i="45" s="1"/>
  <c r="AA58" i="45"/>
  <c r="AB57" i="45"/>
  <c r="AA57" i="45"/>
  <c r="AB56" i="45"/>
  <c r="AA56" i="45"/>
  <c r="Z48" i="45"/>
  <c r="Y48" i="45"/>
  <c r="X48" i="45"/>
  <c r="W48" i="45"/>
  <c r="V48" i="45"/>
  <c r="U48" i="45"/>
  <c r="T48" i="45"/>
  <c r="S48" i="45"/>
  <c r="R48" i="45"/>
  <c r="Q48" i="45"/>
  <c r="P48" i="45"/>
  <c r="O48" i="45"/>
  <c r="N48" i="45"/>
  <c r="M48" i="45"/>
  <c r="L48" i="45"/>
  <c r="K48" i="45"/>
  <c r="J48" i="45"/>
  <c r="I48" i="45"/>
  <c r="H48" i="45"/>
  <c r="G48" i="45"/>
  <c r="F48" i="45"/>
  <c r="E48" i="45"/>
  <c r="D48" i="45"/>
  <c r="C48" i="45"/>
  <c r="AC47" i="45"/>
  <c r="AC46" i="45"/>
  <c r="AB44" i="45"/>
  <c r="AC44" i="45" s="1"/>
  <c r="AA44" i="45"/>
  <c r="AB43" i="45"/>
  <c r="AC43" i="45" s="1"/>
  <c r="AA43" i="45"/>
  <c r="AB42" i="45"/>
  <c r="AA42" i="45"/>
  <c r="AB41" i="45"/>
  <c r="AC41" i="45" s="1"/>
  <c r="AA41" i="45"/>
  <c r="Z11" i="45"/>
  <c r="Y11" i="45"/>
  <c r="Q11" i="43"/>
  <c r="P11" i="43"/>
  <c r="O11" i="43"/>
  <c r="N11" i="43"/>
  <c r="M11" i="43"/>
  <c r="L11" i="43"/>
  <c r="K11" i="43"/>
  <c r="J11" i="43"/>
  <c r="I11" i="43"/>
  <c r="H11" i="43"/>
  <c r="G11" i="43"/>
  <c r="F11" i="43"/>
  <c r="E11" i="43"/>
  <c r="C2" i="43"/>
  <c r="C2" i="44" s="1"/>
  <c r="C2" i="45" s="1"/>
  <c r="C11" i="41"/>
  <c r="C2" i="40"/>
  <c r="C2" i="41" s="1"/>
  <c r="D9" i="39"/>
  <c r="X59" i="38"/>
  <c r="W59" i="38"/>
  <c r="V59" i="38"/>
  <c r="U59" i="38"/>
  <c r="T59" i="38"/>
  <c r="S59" i="38"/>
  <c r="R59" i="38"/>
  <c r="Q59" i="38"/>
  <c r="P59" i="38"/>
  <c r="O59" i="38"/>
  <c r="N59" i="38"/>
  <c r="M59" i="38"/>
  <c r="L59" i="38"/>
  <c r="K59" i="38"/>
  <c r="J59" i="38"/>
  <c r="I59" i="38"/>
  <c r="H59" i="38"/>
  <c r="X58" i="38"/>
  <c r="W58" i="38"/>
  <c r="V58" i="38"/>
  <c r="U58" i="38"/>
  <c r="T58" i="38"/>
  <c r="S58" i="38"/>
  <c r="R58" i="38"/>
  <c r="Q58" i="38"/>
  <c r="P58" i="38"/>
  <c r="O58" i="38"/>
  <c r="N58" i="38"/>
  <c r="M58" i="38"/>
  <c r="L58" i="38"/>
  <c r="K58" i="38"/>
  <c r="J58" i="38"/>
  <c r="I58" i="38"/>
  <c r="H58" i="38"/>
  <c r="AC57" i="45" l="1"/>
  <c r="AA48" i="45"/>
  <c r="AB63" i="45"/>
  <c r="AC63" i="45" s="1"/>
  <c r="AC42" i="45"/>
  <c r="AA63" i="45"/>
  <c r="AB48" i="45"/>
  <c r="AC48" i="45" s="1"/>
  <c r="AC56" i="45"/>
  <c r="AK38" i="36"/>
  <c r="AH38" i="36"/>
  <c r="AE38" i="36"/>
  <c r="AB38" i="36"/>
  <c r="Y38" i="36"/>
  <c r="V38" i="36"/>
  <c r="S38" i="36"/>
  <c r="AK37" i="36"/>
  <c r="AH37" i="36"/>
  <c r="AE37" i="36"/>
  <c r="AB37" i="36"/>
  <c r="X37" i="36"/>
  <c r="Y37" i="36" s="1"/>
  <c r="V37" i="36"/>
  <c r="S37" i="36"/>
  <c r="V30" i="36"/>
  <c r="U30" i="36"/>
  <c r="T30" i="36"/>
  <c r="S30" i="36"/>
  <c r="R30" i="36"/>
  <c r="Q30" i="36"/>
  <c r="P30" i="36"/>
  <c r="O30" i="36"/>
  <c r="N30" i="36"/>
  <c r="M30" i="36"/>
  <c r="L30" i="36"/>
  <c r="K30" i="36"/>
  <c r="X29" i="36"/>
  <c r="X30" i="36" s="1"/>
  <c r="W29" i="36"/>
  <c r="W30" i="36" s="1"/>
  <c r="X19" i="36"/>
  <c r="W19" i="36"/>
  <c r="V19" i="36"/>
  <c r="U19" i="36"/>
  <c r="T19" i="36"/>
  <c r="S19" i="36"/>
  <c r="R19" i="36"/>
  <c r="Q19" i="36"/>
  <c r="P19" i="36"/>
  <c r="O19" i="36"/>
  <c r="N19" i="36"/>
  <c r="M19" i="36"/>
  <c r="L19" i="36"/>
  <c r="K19" i="36"/>
  <c r="J19" i="36"/>
  <c r="I19" i="36"/>
  <c r="H19" i="36"/>
  <c r="G19" i="36"/>
  <c r="F19" i="36"/>
  <c r="E19" i="36"/>
  <c r="Z18" i="36"/>
  <c r="Z19" i="36" s="1"/>
  <c r="Y18" i="36"/>
  <c r="Y19" i="36" s="1"/>
  <c r="S11" i="36"/>
  <c r="S10" i="36"/>
  <c r="T17" i="35"/>
  <c r="Z16" i="35"/>
  <c r="Z17" i="35" s="1"/>
  <c r="Y16" i="35"/>
  <c r="Y17" i="35" s="1"/>
  <c r="X16" i="35"/>
  <c r="X17" i="35" s="1"/>
  <c r="W16" i="35"/>
  <c r="V16" i="35"/>
  <c r="V17" i="35" s="1"/>
  <c r="U16" i="35"/>
  <c r="U17" i="35" s="1"/>
  <c r="T16" i="35"/>
  <c r="S16" i="35"/>
  <c r="R16" i="35"/>
  <c r="R17" i="35" s="1"/>
  <c r="Q16" i="35"/>
  <c r="Q17" i="35" s="1"/>
  <c r="P16" i="35"/>
  <c r="P17" i="35" s="1"/>
  <c r="O16" i="35"/>
  <c r="N16" i="35"/>
  <c r="N17" i="35" s="1"/>
  <c r="M16" i="35"/>
  <c r="M17" i="35" s="1"/>
  <c r="L16" i="35"/>
  <c r="L17" i="35" s="1"/>
  <c r="K16" i="35"/>
  <c r="J16" i="35"/>
  <c r="J17" i="35" s="1"/>
  <c r="I16" i="35"/>
  <c r="I17" i="35" s="1"/>
  <c r="H16" i="35"/>
  <c r="H17" i="35" s="1"/>
  <c r="G16" i="35"/>
  <c r="F16" i="35"/>
  <c r="F17" i="35" s="1"/>
  <c r="E16" i="35"/>
  <c r="X93" i="31"/>
  <c r="W93" i="31"/>
  <c r="V93" i="31"/>
  <c r="U93" i="31"/>
  <c r="T93" i="31"/>
  <c r="S93" i="31"/>
  <c r="R93" i="31"/>
  <c r="Q93" i="31"/>
  <c r="P93" i="31"/>
  <c r="O93" i="31"/>
  <c r="N93" i="31"/>
  <c r="M93" i="31"/>
  <c r="L93" i="31"/>
  <c r="K93" i="31"/>
  <c r="J93" i="31"/>
  <c r="I93" i="31"/>
  <c r="H93" i="31"/>
  <c r="G93" i="31"/>
  <c r="F93" i="31"/>
  <c r="E93" i="31"/>
  <c r="X78" i="31"/>
  <c r="W78" i="31"/>
  <c r="V78" i="31"/>
  <c r="U78" i="31"/>
  <c r="T78" i="31"/>
  <c r="S78" i="31"/>
  <c r="R78" i="31"/>
  <c r="Q78" i="31"/>
  <c r="P78" i="31"/>
  <c r="O78" i="31"/>
  <c r="N78" i="31"/>
  <c r="M78" i="31"/>
  <c r="L78" i="31"/>
  <c r="K78" i="31"/>
  <c r="J78" i="31"/>
  <c r="I78" i="31"/>
  <c r="H78" i="31"/>
  <c r="G78" i="31"/>
  <c r="F78" i="31"/>
  <c r="E78" i="31"/>
  <c r="AH21" i="31"/>
  <c r="AG21" i="31"/>
  <c r="AF21" i="31"/>
  <c r="AE21" i="31"/>
  <c r="AD21" i="31"/>
  <c r="AC21" i="31"/>
  <c r="AB21" i="31"/>
  <c r="AA21" i="31"/>
  <c r="Z21" i="31"/>
  <c r="Y21" i="31"/>
  <c r="X21" i="31"/>
  <c r="W21" i="31"/>
  <c r="V21" i="31"/>
  <c r="U21" i="31"/>
  <c r="T21" i="31"/>
  <c r="S21" i="31"/>
  <c r="R21" i="31"/>
  <c r="Q21" i="31"/>
  <c r="P21" i="31"/>
  <c r="O21" i="31"/>
  <c r="N21" i="31"/>
  <c r="M21" i="31"/>
  <c r="L21" i="31"/>
  <c r="K21" i="31"/>
  <c r="J21" i="31"/>
  <c r="I21" i="31"/>
  <c r="H21" i="31"/>
  <c r="G21" i="31"/>
  <c r="F21" i="31"/>
  <c r="E21"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AH12" i="31"/>
  <c r="AG12" i="31"/>
  <c r="AF12" i="31"/>
  <c r="AE12" i="31"/>
  <c r="AD12" i="31"/>
  <c r="AC12" i="31"/>
  <c r="AB12" i="31"/>
  <c r="AA12" i="31"/>
  <c r="Z12" i="31"/>
  <c r="Y12" i="31"/>
  <c r="X12" i="31"/>
  <c r="W12" i="31"/>
  <c r="V12" i="31"/>
  <c r="U12" i="31"/>
  <c r="T12" i="31"/>
  <c r="S12" i="31"/>
  <c r="R12" i="31"/>
  <c r="Q12" i="31"/>
  <c r="P12" i="31"/>
  <c r="O12" i="31"/>
  <c r="N12" i="31"/>
  <c r="M12" i="31"/>
  <c r="L12" i="31"/>
  <c r="K12" i="31"/>
  <c r="J12" i="31"/>
  <c r="I12" i="31"/>
  <c r="H12" i="31"/>
  <c r="G12" i="31"/>
  <c r="F12" i="31"/>
  <c r="E12" i="31"/>
  <c r="G17" i="35" l="1"/>
  <c r="K17" i="35"/>
  <c r="O17" i="35"/>
  <c r="S17" i="35"/>
  <c r="W17" i="35"/>
  <c r="P33" i="27"/>
  <c r="M33" i="27"/>
  <c r="J33" i="27"/>
  <c r="G33" i="27"/>
  <c r="P32" i="27"/>
  <c r="M32" i="27"/>
  <c r="J32" i="27"/>
  <c r="G32" i="27"/>
  <c r="P31" i="27"/>
  <c r="M31" i="27"/>
  <c r="J31" i="27"/>
  <c r="G31" i="27"/>
  <c r="L34" i="26"/>
  <c r="K34" i="26"/>
  <c r="L33" i="26"/>
  <c r="K33" i="26"/>
  <c r="L32" i="26"/>
  <c r="K32" i="26"/>
  <c r="L31" i="26"/>
  <c r="K31" i="26"/>
  <c r="L30" i="26"/>
  <c r="K30" i="26"/>
  <c r="L29" i="26"/>
  <c r="K29" i="26"/>
  <c r="L28" i="26"/>
  <c r="K28" i="26"/>
  <c r="L27" i="26"/>
  <c r="K27" i="26"/>
  <c r="L26" i="26"/>
  <c r="K26" i="26"/>
  <c r="AB19" i="24"/>
  <c r="AA19" i="24"/>
  <c r="Z19" i="24"/>
  <c r="Y19" i="24"/>
  <c r="X19" i="24"/>
  <c r="C2" i="24"/>
  <c r="C2" i="25" s="1"/>
  <c r="C2" i="26" s="1"/>
  <c r="U26" i="23"/>
  <c r="K26" i="23"/>
  <c r="F26" i="23"/>
  <c r="U25" i="23"/>
  <c r="K25" i="23"/>
  <c r="F25" i="23"/>
  <c r="U24" i="23"/>
  <c r="K24" i="23"/>
  <c r="F24" i="23"/>
  <c r="U23" i="23"/>
  <c r="K23" i="23"/>
  <c r="F23" i="23"/>
  <c r="U22" i="23"/>
  <c r="K22" i="23"/>
  <c r="F22" i="23"/>
  <c r="U21" i="23"/>
  <c r="K21" i="23"/>
  <c r="F21" i="23"/>
  <c r="U20" i="23"/>
  <c r="K20" i="23"/>
  <c r="F20" i="23"/>
  <c r="U19" i="23"/>
  <c r="K19" i="23"/>
  <c r="F19" i="23"/>
  <c r="U18" i="23"/>
  <c r="K18" i="23"/>
  <c r="F18" i="23"/>
  <c r="U17" i="23"/>
  <c r="K17" i="23"/>
  <c r="F17" i="23"/>
  <c r="I13" i="23"/>
  <c r="H13" i="23"/>
  <c r="G13" i="23"/>
  <c r="E13" i="23"/>
  <c r="E7" i="22"/>
  <c r="AE25" i="21"/>
  <c r="AB25" i="21"/>
  <c r="U25" i="21"/>
  <c r="T25" i="21"/>
  <c r="P25" i="21"/>
  <c r="L25" i="21"/>
  <c r="K25" i="21"/>
  <c r="M25" i="21" s="1"/>
  <c r="I25" i="21"/>
  <c r="H25" i="21"/>
  <c r="F25" i="21"/>
  <c r="E25" i="21"/>
  <c r="AE24" i="21"/>
  <c r="AB24" i="21"/>
  <c r="P24" i="21"/>
  <c r="M24" i="21"/>
  <c r="J24" i="21"/>
  <c r="G24" i="21"/>
  <c r="AE23" i="21"/>
  <c r="AB23" i="21"/>
  <c r="P23" i="21"/>
  <c r="M23" i="21"/>
  <c r="J23" i="21"/>
  <c r="G23" i="21"/>
  <c r="AE22" i="21"/>
  <c r="AB22" i="21"/>
  <c r="P22" i="21"/>
  <c r="M22" i="21"/>
  <c r="J22" i="21"/>
  <c r="G22" i="21"/>
  <c r="AE21" i="21"/>
  <c r="AB21" i="21"/>
  <c r="P21" i="21"/>
  <c r="M21" i="21"/>
  <c r="J21" i="21"/>
  <c r="G21" i="21"/>
  <c r="AE20" i="21"/>
  <c r="AB20" i="21"/>
  <c r="P20" i="21"/>
  <c r="M20" i="21"/>
  <c r="J20" i="21"/>
  <c r="G20" i="21"/>
  <c r="AE19" i="21"/>
  <c r="AB19" i="21"/>
  <c r="P19" i="21"/>
  <c r="M19" i="21"/>
  <c r="J19" i="21"/>
  <c r="G19" i="21"/>
  <c r="AE18" i="21"/>
  <c r="AB18" i="21"/>
  <c r="P18" i="21"/>
  <c r="M18" i="21"/>
  <c r="J18" i="21"/>
  <c r="G18" i="21"/>
  <c r="AE17" i="21"/>
  <c r="AB17" i="21"/>
  <c r="P17" i="21"/>
  <c r="M17" i="21"/>
  <c r="J17" i="21"/>
  <c r="G17" i="21"/>
  <c r="AE16" i="21"/>
  <c r="AB16" i="21"/>
  <c r="P16" i="21"/>
  <c r="M16" i="21"/>
  <c r="J16" i="21"/>
  <c r="G16" i="21"/>
  <c r="E6" i="21"/>
  <c r="AA24" i="19"/>
  <c r="AB23" i="19" s="1"/>
  <c r="Y24" i="19"/>
  <c r="Z22" i="19" s="1"/>
  <c r="W24" i="19"/>
  <c r="AC24" i="19" s="1"/>
  <c r="R24" i="19"/>
  <c r="P24" i="19"/>
  <c r="Q22" i="19" s="1"/>
  <c r="N24" i="19"/>
  <c r="K24" i="19"/>
  <c r="AC23" i="19"/>
  <c r="Z23" i="19"/>
  <c r="T23" i="19"/>
  <c r="S23" i="19"/>
  <c r="Q23" i="19"/>
  <c r="O23" i="19"/>
  <c r="K23" i="19"/>
  <c r="J23" i="19"/>
  <c r="H23" i="19"/>
  <c r="F23" i="19"/>
  <c r="AC22" i="19"/>
  <c r="T22" i="19"/>
  <c r="S22" i="19"/>
  <c r="O22" i="19"/>
  <c r="K22" i="19"/>
  <c r="J22" i="19"/>
  <c r="H22" i="19"/>
  <c r="F22" i="19"/>
  <c r="AC21" i="19"/>
  <c r="Z21" i="19"/>
  <c r="T21" i="19"/>
  <c r="S21" i="19"/>
  <c r="Q21" i="19"/>
  <c r="O21" i="19"/>
  <c r="K21" i="19"/>
  <c r="J21" i="19"/>
  <c r="H21" i="19"/>
  <c r="F21" i="19"/>
  <c r="AC20" i="19"/>
  <c r="T20" i="19"/>
  <c r="S20" i="19"/>
  <c r="O20" i="19"/>
  <c r="K20" i="19"/>
  <c r="J20" i="19"/>
  <c r="H20" i="19"/>
  <c r="F20" i="19"/>
  <c r="AC19" i="19"/>
  <c r="Z19" i="19"/>
  <c r="T19" i="19"/>
  <c r="S19" i="19"/>
  <c r="Q19" i="19"/>
  <c r="O19" i="19"/>
  <c r="K19" i="19"/>
  <c r="J19" i="19"/>
  <c r="H19" i="19"/>
  <c r="F19" i="19"/>
  <c r="AC18" i="19"/>
  <c r="T18" i="19"/>
  <c r="S18" i="19"/>
  <c r="O18" i="19"/>
  <c r="K18" i="19"/>
  <c r="J18" i="19"/>
  <c r="H18" i="19"/>
  <c r="F18" i="19"/>
  <c r="AC17" i="19"/>
  <c r="Z17" i="19"/>
  <c r="T17" i="19"/>
  <c r="S17" i="19"/>
  <c r="Q17" i="19"/>
  <c r="O17" i="19"/>
  <c r="K17" i="19"/>
  <c r="J17" i="19"/>
  <c r="H17" i="19"/>
  <c r="F17" i="19"/>
  <c r="AC16" i="19"/>
  <c r="T16" i="19"/>
  <c r="S16" i="19"/>
  <c r="O16" i="19"/>
  <c r="K16" i="19"/>
  <c r="J16" i="19"/>
  <c r="H16" i="19"/>
  <c r="F16" i="19"/>
  <c r="AC15" i="19"/>
  <c r="Z15" i="19"/>
  <c r="T15" i="19"/>
  <c r="S15" i="19"/>
  <c r="S24" i="19" s="1"/>
  <c r="Q15" i="19"/>
  <c r="O15" i="19"/>
  <c r="O24" i="19" s="1"/>
  <c r="K15" i="19"/>
  <c r="J15" i="19"/>
  <c r="H15" i="19"/>
  <c r="H24" i="19" s="1"/>
  <c r="F15" i="19"/>
  <c r="F24" i="19" s="1"/>
  <c r="W10" i="19"/>
  <c r="V10" i="19"/>
  <c r="T10" i="19"/>
  <c r="R10" i="19"/>
  <c r="P10" i="19"/>
  <c r="O10" i="19"/>
  <c r="N10" i="19"/>
  <c r="M10" i="19"/>
  <c r="L10" i="19"/>
  <c r="K10" i="19"/>
  <c r="J10" i="19"/>
  <c r="I10" i="19"/>
  <c r="H10" i="19"/>
  <c r="G10" i="19"/>
  <c r="F10" i="19"/>
  <c r="E10" i="19"/>
  <c r="C2" i="19"/>
  <c r="C2" i="20" s="1"/>
  <c r="C2" i="21" s="1"/>
  <c r="C2" i="22" s="1"/>
  <c r="G25" i="21" l="1"/>
  <c r="J24" i="19"/>
  <c r="Z16" i="19"/>
  <c r="Z18" i="19"/>
  <c r="Z24" i="19" s="1"/>
  <c r="Z20" i="19"/>
  <c r="Q16" i="19"/>
  <c r="Q24" i="19" s="1"/>
  <c r="Q18" i="19"/>
  <c r="Q20" i="19"/>
  <c r="T24" i="19"/>
  <c r="X15" i="19"/>
  <c r="X16" i="19"/>
  <c r="X17" i="19"/>
  <c r="X18" i="19"/>
  <c r="X19" i="19"/>
  <c r="X20" i="19"/>
  <c r="X21" i="19"/>
  <c r="X22" i="19"/>
  <c r="X23" i="19"/>
  <c r="AB15" i="19"/>
  <c r="AB16" i="19"/>
  <c r="AB17" i="19"/>
  <c r="AB18" i="19"/>
  <c r="AB19" i="19"/>
  <c r="AB20" i="19"/>
  <c r="AB21" i="19"/>
  <c r="AB22" i="19"/>
  <c r="AB24" i="19" l="1"/>
  <c r="X24" i="19"/>
  <c r="R49" i="17" l="1"/>
  <c r="Q49" i="17"/>
  <c r="P49" i="17"/>
  <c r="O49" i="17"/>
  <c r="N49" i="17"/>
  <c r="M49" i="17"/>
  <c r="L49" i="17"/>
  <c r="K49" i="17"/>
  <c r="J49" i="17"/>
  <c r="I49" i="17"/>
  <c r="H49" i="17"/>
  <c r="G49" i="17"/>
  <c r="R48" i="17"/>
  <c r="Q48" i="17"/>
  <c r="P48" i="17"/>
  <c r="O48" i="17"/>
  <c r="N48" i="17"/>
  <c r="M48" i="17"/>
  <c r="L48" i="17"/>
  <c r="K48" i="17"/>
  <c r="J48" i="17"/>
  <c r="I48" i="17"/>
  <c r="H48" i="17"/>
  <c r="G48" i="17"/>
  <c r="R10" i="17"/>
  <c r="Q10" i="17"/>
  <c r="P10" i="17"/>
  <c r="O10" i="17"/>
  <c r="N10" i="17"/>
  <c r="M10" i="17"/>
  <c r="L10" i="17"/>
  <c r="K10" i="17"/>
  <c r="J10" i="17"/>
  <c r="I10" i="17"/>
  <c r="H10" i="17"/>
  <c r="G10" i="17"/>
  <c r="R9" i="17"/>
  <c r="Q9" i="17"/>
  <c r="P9" i="17"/>
  <c r="O9" i="17"/>
  <c r="N9" i="17"/>
  <c r="M9" i="17"/>
  <c r="L9" i="17"/>
  <c r="K9" i="17"/>
  <c r="J9" i="17"/>
  <c r="I9" i="17"/>
  <c r="H9" i="17"/>
  <c r="G9" i="17"/>
  <c r="C2" i="16"/>
  <c r="DA132" i="15"/>
  <c r="CZ132" i="15"/>
  <c r="CY132" i="15"/>
  <c r="CX132" i="15"/>
  <c r="CW132" i="15"/>
  <c r="CV132" i="15"/>
  <c r="CU132" i="15"/>
  <c r="CT132" i="15"/>
  <c r="CS132" i="15"/>
  <c r="CR132" i="15"/>
  <c r="CQ132" i="15"/>
  <c r="CP132" i="15"/>
  <c r="CO132" i="15"/>
  <c r="CN132" i="15"/>
  <c r="CM132" i="15"/>
  <c r="CL132" i="15"/>
  <c r="CK132" i="15"/>
  <c r="CJ132" i="15"/>
  <c r="CI132" i="15"/>
  <c r="CH132" i="15"/>
  <c r="B41" i="15"/>
  <c r="Q29" i="14"/>
  <c r="P29" i="14"/>
  <c r="O29" i="14"/>
  <c r="N29" i="14"/>
  <c r="M29" i="14"/>
  <c r="L29" i="14"/>
  <c r="K29" i="14"/>
  <c r="J29" i="14"/>
  <c r="I29" i="14"/>
  <c r="H29" i="14"/>
  <c r="G29" i="14"/>
  <c r="F29" i="14"/>
  <c r="E29" i="14"/>
  <c r="C2" i="14"/>
  <c r="Y64" i="12"/>
  <c r="W64" i="12"/>
  <c r="U64" i="12"/>
  <c r="T64" i="12"/>
  <c r="S64" i="12"/>
  <c r="Q64" i="12"/>
  <c r="P64" i="12"/>
  <c r="N64" i="12"/>
  <c r="J64" i="12"/>
  <c r="F64" i="12"/>
  <c r="C2" i="12"/>
  <c r="O41" i="11"/>
  <c r="AX35" i="11"/>
  <c r="AT35" i="11"/>
  <c r="AP35" i="11"/>
  <c r="AL35" i="11"/>
  <c r="C2" i="11"/>
  <c r="C2" i="10"/>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BY49" i="9"/>
  <c r="BU49" i="9"/>
  <c r="BQ49" i="9"/>
  <c r="BM49" i="9"/>
  <c r="BI49" i="9"/>
  <c r="BE49" i="9"/>
  <c r="BA49" i="9"/>
  <c r="AW49" i="9"/>
  <c r="AS49" i="9"/>
  <c r="AO49" i="9"/>
  <c r="AK49" i="9"/>
  <c r="AG49" i="9"/>
  <c r="AC49" i="9"/>
  <c r="Y49" i="9"/>
  <c r="U49" i="9"/>
  <c r="Q49" i="9"/>
  <c r="M49" i="9"/>
  <c r="I49" i="9"/>
  <c r="E49" i="9"/>
  <c r="CF46" i="9"/>
  <c r="CE46" i="9"/>
  <c r="CD46" i="9"/>
  <c r="CC46" i="9"/>
  <c r="CB46" i="9"/>
  <c r="CA46" i="9"/>
  <c r="BZ46" i="9"/>
  <c r="BY46" i="9"/>
  <c r="BX46" i="9"/>
  <c r="BW46" i="9"/>
  <c r="BV46" i="9"/>
  <c r="BU46" i="9"/>
  <c r="BT46" i="9"/>
  <c r="BS46" i="9"/>
  <c r="BR46" i="9"/>
  <c r="BQ46" i="9"/>
  <c r="BP46" i="9"/>
  <c r="BO46" i="9"/>
  <c r="BN46" i="9"/>
  <c r="BM46"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BM42" i="9"/>
  <c r="C2" i="9"/>
  <c r="C2" i="8"/>
  <c r="C2" i="7"/>
  <c r="D34" i="6"/>
  <c r="C2" i="6"/>
  <c r="AB37" i="5"/>
  <c r="AA37" i="5"/>
  <c r="Z37" i="5"/>
  <c r="Y37" i="5"/>
  <c r="X37" i="5"/>
  <c r="W37" i="5"/>
  <c r="V37" i="5"/>
  <c r="U37" i="5"/>
  <c r="T37" i="5"/>
  <c r="S37" i="5"/>
  <c r="R37" i="5"/>
  <c r="Q37" i="5"/>
  <c r="P37" i="5"/>
  <c r="O37" i="5"/>
  <c r="N37" i="5"/>
  <c r="M37" i="5"/>
  <c r="L37" i="5"/>
  <c r="K37" i="5"/>
  <c r="J37" i="5"/>
  <c r="I37" i="5"/>
  <c r="H37" i="5"/>
  <c r="G37" i="5"/>
  <c r="F37" i="5"/>
  <c r="E37" i="5"/>
  <c r="F6" i="5"/>
  <c r="C2" i="5"/>
  <c r="C2" i="4"/>
  <c r="B61" i="3"/>
  <c r="Y10" i="3"/>
  <c r="C2" i="3"/>
  <c r="E48" i="9" l="1"/>
  <c r="M48" i="9"/>
  <c r="U48" i="9"/>
  <c r="AC48" i="9"/>
  <c r="AK48" i="9"/>
  <c r="AO48" i="9"/>
  <c r="AW48" i="9"/>
  <c r="BA48" i="9"/>
  <c r="BE48" i="9"/>
  <c r="BI48" i="9"/>
  <c r="BM48" i="9"/>
  <c r="BQ48" i="9"/>
  <c r="BY48" i="9"/>
  <c r="I48" i="9"/>
  <c r="Q48" i="9"/>
  <c r="Y48" i="9"/>
  <c r="AG48" i="9"/>
  <c r="AS48" i="9"/>
  <c r="BU48" i="9"/>
</calcChain>
</file>

<file path=xl/comments1.xml><?xml version="1.0" encoding="utf-8"?>
<comments xmlns="http://schemas.openxmlformats.org/spreadsheetml/2006/main">
  <authors>
    <author>Pheladi Sibanyoni</author>
  </authors>
  <commentList>
    <comment ref="D149" authorId="0" shapeId="0">
      <text>
        <r>
          <rPr>
            <b/>
            <sz val="9"/>
            <color indexed="81"/>
            <rFont val="Tahoma"/>
            <family val="2"/>
          </rPr>
          <t>Pheladi Sibanyoni:</t>
        </r>
        <r>
          <rPr>
            <sz val="9"/>
            <color indexed="81"/>
            <rFont val="Tahoma"/>
            <family val="2"/>
          </rPr>
          <t xml:space="preserve">
We have removed SAPS data on crime and charges referred to court: Ind 69</t>
        </r>
      </text>
    </comment>
  </commentList>
</comments>
</file>

<file path=xl/sharedStrings.xml><?xml version="1.0" encoding="utf-8"?>
<sst xmlns="http://schemas.openxmlformats.org/spreadsheetml/2006/main" count="7400" uniqueCount="1878">
  <si>
    <r>
      <t>Indicator</t>
    </r>
    <r>
      <rPr>
        <sz val="10"/>
        <rFont val="Arial"/>
        <family val="2"/>
      </rPr>
      <t xml:space="preserve">     </t>
    </r>
  </si>
  <si>
    <t>Work opportunities created by the community works Programme</t>
  </si>
  <si>
    <r>
      <t>Category</t>
    </r>
    <r>
      <rPr>
        <sz val="10"/>
        <rFont val="Arial"/>
        <family val="2"/>
      </rPr>
      <t xml:space="preserve">     </t>
    </r>
  </si>
  <si>
    <t>Employment</t>
  </si>
  <si>
    <t>Goal</t>
  </si>
  <si>
    <t>Data</t>
  </si>
  <si>
    <t>Table</t>
  </si>
  <si>
    <t>Number of opportunities created per province</t>
  </si>
  <si>
    <t>2009/10</t>
  </si>
  <si>
    <t>2010/11</t>
  </si>
  <si>
    <t>2011/12</t>
  </si>
  <si>
    <t>2012/13</t>
  </si>
  <si>
    <t>2013/14</t>
  </si>
  <si>
    <t>2014/15</t>
  </si>
  <si>
    <t>2015/16</t>
  </si>
  <si>
    <t>2016/17</t>
  </si>
  <si>
    <t xml:space="preserve">% of
 youth
</t>
  </si>
  <si>
    <t xml:space="preserve">% of 
women
</t>
  </si>
  <si>
    <t>% of people 
with
disabilities</t>
  </si>
  <si>
    <t>Eastern Cape</t>
  </si>
  <si>
    <t>Free State</t>
  </si>
  <si>
    <t>Gauteng</t>
  </si>
  <si>
    <t>KwaZulu-Natal</t>
  </si>
  <si>
    <t>Limpopo</t>
  </si>
  <si>
    <t>Mpumalanga</t>
  </si>
  <si>
    <t>North West</t>
  </si>
  <si>
    <t>Northern Cape</t>
  </si>
  <si>
    <t>Western Cape</t>
  </si>
  <si>
    <t>South Africa</t>
  </si>
  <si>
    <t>Data format</t>
  </si>
  <si>
    <t>Number of work opportunities created</t>
  </si>
  <si>
    <t>Data source</t>
  </si>
  <si>
    <t>Definition</t>
  </si>
  <si>
    <t xml:space="preserve">A work opprtunity is paid work created for an individual for any period of time. The same individual can be employed on different projects and each period of employment will be counted as a work opportunity. </t>
  </si>
  <si>
    <t>Data note</t>
  </si>
  <si>
    <t>Figures do not add up due to double counting, for instance a participant could be a woman with special needs (disabilities). Additional up-to-date data disaggregated by province available on the Excel version on the DPME website: www.thepresidency-dpme.gov.za</t>
  </si>
  <si>
    <t xml:space="preserve">Gross Domestic Product (GDP) growth </t>
  </si>
  <si>
    <t>Current growth</t>
  </si>
  <si>
    <t>GDP growth of 5 percent per year</t>
  </si>
  <si>
    <t>Trend analysis</t>
  </si>
  <si>
    <t>Table 1</t>
  </si>
  <si>
    <t>GDP GROWTH (Year on Year) South Africa</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</si>
  <si>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</si>
  <si>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</si>
  <si>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</si>
  <si>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</si>
  <si>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</si>
  <si>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</si>
  <si>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</si>
  <si>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</si>
  <si>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</si>
  <si>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</si>
  <si>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</si>
  <si>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</si>
  <si>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</si>
  <si>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</si>
  <si>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</si>
  <si>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</si>
  <si>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</si>
  <si>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</si>
  <si>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</si>
  <si>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</si>
  <si>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</si>
  <si>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</si>
  <si>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</si>
  <si>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</si>
  <si>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GDP growth (%)</t>
  </si>
  <si>
    <t>Table 2</t>
  </si>
  <si>
    <t>GDP Growth ( Year on Year) Other countries</t>
  </si>
  <si>
    <t>%</t>
  </si>
  <si>
    <t>Country</t>
  </si>
  <si>
    <t>Argentina</t>
  </si>
  <si>
    <t>Australia</t>
  </si>
  <si>
    <t>Botswana</t>
  </si>
  <si>
    <t>Brazil</t>
  </si>
  <si>
    <t>Canada</t>
  </si>
  <si>
    <t>Chile</t>
  </si>
  <si>
    <t>Colombia</t>
  </si>
  <si>
    <t>Ghana</t>
  </si>
  <si>
    <t>Iceland</t>
  </si>
  <si>
    <t>India</t>
  </si>
  <si>
    <t>Indonsia</t>
  </si>
  <si>
    <t>Kenya</t>
  </si>
  <si>
    <t>Korea, Republic</t>
  </si>
  <si>
    <t>Malaysia</t>
  </si>
  <si>
    <t>Mexico</t>
  </si>
  <si>
    <t>Poland</t>
  </si>
  <si>
    <t>Portugal</t>
  </si>
  <si>
    <t>Slovak Rep</t>
  </si>
  <si>
    <t>Spain</t>
  </si>
  <si>
    <t>Graph</t>
  </si>
  <si>
    <t xml:space="preserve">                                                                                                               </t>
  </si>
  <si>
    <t>Percentage change in GDP</t>
  </si>
  <si>
    <t xml:space="preserve">GDP is the market value of all final goods and services produced within a country in a given period of time. Real GDP is the nominal GDP adjusted for inflation </t>
  </si>
  <si>
    <t>1. Statistics South Africa GDP data.
2. World Bank Development Indicators, www.worldbank.org</t>
  </si>
  <si>
    <t>Data Note</t>
  </si>
  <si>
    <t>M</t>
  </si>
  <si>
    <t>J</t>
  </si>
  <si>
    <t>S</t>
  </si>
  <si>
    <t>D</t>
  </si>
  <si>
    <r>
      <t>Indicator</t>
    </r>
    <r>
      <rPr>
        <sz val="10"/>
        <color indexed="10"/>
        <rFont val="Arial"/>
        <family val="2"/>
      </rPr>
      <t xml:space="preserve">     </t>
    </r>
  </si>
  <si>
    <t>Real per capita GDP growth</t>
  </si>
  <si>
    <r>
      <t>Category</t>
    </r>
    <r>
      <rPr>
        <sz val="10"/>
        <color indexed="10"/>
        <rFont val="Arial"/>
        <family val="2"/>
      </rPr>
      <t xml:space="preserve">     </t>
    </r>
  </si>
  <si>
    <t xml:space="preserve">Real per capita GDP growth </t>
  </si>
  <si>
    <t>Per Capita GDP (%)</t>
  </si>
  <si>
    <t>Annual GDP per capita at 2010 constant prices: percentage change</t>
  </si>
  <si>
    <t>GDP divided by population</t>
  </si>
  <si>
    <t>South African Reserve Bank (SARB) Quarterly Bulletins based on Statistics South Africa</t>
  </si>
  <si>
    <t>The quarterly data series is used  to update the graph, while the table uses annual data</t>
  </si>
  <si>
    <t>Net Foreign Direct Investment (Net FDI)</t>
  </si>
  <si>
    <t>Sustainable growth</t>
  </si>
  <si>
    <t>To increase Foreign Direct Investment in South Africa</t>
  </si>
  <si>
    <t xml:space="preserve">Table </t>
  </si>
  <si>
    <t>R'bn</t>
  </si>
  <si>
    <t>FDI</t>
  </si>
  <si>
    <t>Annual data: display only year, not month</t>
  </si>
  <si>
    <t xml:space="preserve">Ashraf: we need to have the same data in dollar terms </t>
  </si>
  <si>
    <t>Annual figures in rand billions</t>
  </si>
  <si>
    <t xml:space="preserve">Net Foreign Direct Investment is long-term direct investment by foreigners in the economy </t>
  </si>
  <si>
    <t>South African Reserve Bank (SARB) Quarterly Bulletins, data supplied by National Treasury</t>
  </si>
  <si>
    <t xml:space="preserve">Gross fixed capital formation </t>
  </si>
  <si>
    <t>Gross Fixed Capital Formation</t>
  </si>
  <si>
    <t>GFCF (%)</t>
  </si>
  <si>
    <t>GFCF Quarterly at annualised rate as a percentage of GDP</t>
  </si>
  <si>
    <t>Gross fixed capital formation is total fixed investment by private companies and individuals, SoEs and government, including depreciation.</t>
  </si>
  <si>
    <t>South African Reserve Bank (SARB) quarterly bulletins.</t>
  </si>
  <si>
    <t>Budget surplus or deficit before borrowing (Main budget surplus or deficit before borrowing)</t>
  </si>
  <si>
    <t>Economic governance</t>
  </si>
  <si>
    <t>Fiscal policy adjustments to reduce the budget deficit</t>
  </si>
  <si>
    <t>Budget Surplus or Deficit before borrowing as percentage of GDP</t>
  </si>
  <si>
    <t>1993/94</t>
  </si>
  <si>
    <t>1994/95</t>
  </si>
  <si>
    <t>1995/96</t>
  </si>
  <si>
    <t>1996/97</t>
  </si>
  <si>
    <t>1997/98</t>
  </si>
  <si>
    <t>1998/99</t>
  </si>
  <si>
    <t>1999/00</t>
  </si>
  <si>
    <t>2000/01</t>
  </si>
  <si>
    <t>2001/02</t>
  </si>
  <si>
    <t>2002/03</t>
  </si>
  <si>
    <t>2003/04</t>
  </si>
  <si>
    <t>2004/05</t>
  </si>
  <si>
    <t>2005/06</t>
  </si>
  <si>
    <t>2006/07</t>
  </si>
  <si>
    <t>2007/08</t>
  </si>
  <si>
    <t>2008/09</t>
  </si>
  <si>
    <t>Budget Deficit</t>
  </si>
  <si>
    <t>Budget deficit/surplus as a percentage of GDP</t>
  </si>
  <si>
    <t>Budget surplus or deficit before borrowing (the difference between total government revenue and expenditure) as percentage of GDP.</t>
  </si>
  <si>
    <t>National Treasury, Medium Term Budget Policy Statement, Budget Review and National Treasury Budget Vote debate</t>
  </si>
  <si>
    <t>Government debt</t>
  </si>
  <si>
    <t>Consolidation to stabilise and reduce government’s debt-to-GDP ratio</t>
  </si>
  <si>
    <t>Net Government debt as a percentage of GDP</t>
  </si>
  <si>
    <t>Net Government Debt</t>
  </si>
  <si>
    <t>Gross government debt as percentage of GDP</t>
  </si>
  <si>
    <t>Net loan debt is gross loan debt minus National Revenue Fund (NRF) bank balances. It is calculated with due account of the bank balances of the NRF (balances of government's accounts with the SARB and the tax and loans accounts with commercial banks). Forward estimates of foreign debt are based on National Treasury's exchange rate projections, which are based on fiscal years startingfrom 1 April every year.</t>
  </si>
  <si>
    <t>National Treasury</t>
  </si>
  <si>
    <t xml:space="preserve">Data note </t>
  </si>
  <si>
    <t>Additional data is available on Excel version on the DPME website: www.thepresidency-dpme.gov.za</t>
  </si>
  <si>
    <t>Interest rates: real and nominal</t>
  </si>
  <si>
    <t>Macroeconomic stability</t>
  </si>
  <si>
    <t>Lower real interest rate that promotes the sustainability of growth and employment creation</t>
  </si>
  <si>
    <t>Interest Rates (prime)</t>
  </si>
  <si>
    <t>Real Interest</t>
  </si>
  <si>
    <t>Nominal Interest</t>
  </si>
  <si>
    <t>Interest Rates (repo)</t>
  </si>
  <si>
    <t xml:space="preserve">                                                                                                                                                                                                                                     </t>
  </si>
  <si>
    <t>`</t>
  </si>
  <si>
    <t>Rate</t>
  </si>
  <si>
    <t>Nominal interest rate is prime overdraft rate; Real interest rate is prime less Consumer Price Inflation (CPI) rate.</t>
  </si>
  <si>
    <t xml:space="preserve">South African Reserve Bank (SARB).  </t>
  </si>
  <si>
    <t>Real interest rates calculated in the past using CPI as the deflator (See indicator 8: Inflation Measures). Additional quarterly data is available on Excel version on the DPME website: www.thepresidency-dpme.gov.za</t>
  </si>
  <si>
    <t>Real interest</t>
  </si>
  <si>
    <t>Nominal interest</t>
  </si>
  <si>
    <t>Average Interest</t>
  </si>
  <si>
    <t xml:space="preserve">Average Nominal </t>
  </si>
  <si>
    <t>Real</t>
  </si>
  <si>
    <t>Nom</t>
  </si>
  <si>
    <t>CPI</t>
  </si>
  <si>
    <t>Consumer Price Index (CPI)</t>
  </si>
  <si>
    <t xml:space="preserve">Consumer price Inflation should be between 3 percent and 6 percent </t>
  </si>
  <si>
    <t>Consumer Price Index</t>
  </si>
  <si>
    <t>Average</t>
  </si>
  <si>
    <t>CPI Rate</t>
  </si>
  <si>
    <t>CPI is the rise in prices of a typical basket of goods, as measured by Stats SA. The currently targeted inflation is the headline CPI for all urban areas.</t>
  </si>
  <si>
    <t>Statistics South Africa's CPI and CPIX data.</t>
  </si>
  <si>
    <t>Annual data series is used for bringing the graph up to date while the table presents annual data. CPIX was used between 2000 and 2009 as a measure of inflation. CPI was not the target measure of inflation prior to 2009. Additional annual data is available on Excel version on the DPME website: www.thepresidency-dpme.gov.za</t>
  </si>
  <si>
    <t xml:space="preserve">CPI </t>
  </si>
  <si>
    <t>Bond points spread</t>
  </si>
  <si>
    <t>South Africa should pay as small a premium as possible on its bonds issue</t>
  </si>
  <si>
    <t>Bond Point Spread</t>
  </si>
  <si>
    <t>Bond Points Spread</t>
  </si>
  <si>
    <t xml:space="preserve">Rate </t>
  </si>
  <si>
    <t>Bond points spread is the measurement of risk between developed and developing economy in terms of difference paid for borrowing.</t>
  </si>
  <si>
    <t>JP Morgan Emerging Market Bond Index, South African data via Bloomberg (JPSSGSAF index).</t>
  </si>
  <si>
    <t>The quarterly data series is used for the graph, while the table presents annual data. Additional quarterly data is available on Excel version on the DPME website: www.thepresidency-dpme.gov.za</t>
  </si>
  <si>
    <t>Bond point spread</t>
  </si>
  <si>
    <t>Expenditure on Research and Development (R&amp;D)</t>
  </si>
  <si>
    <t>Future competitiveness</t>
  </si>
  <si>
    <t xml:space="preserve">Expenditure on Research and Development as percentage of GDP </t>
  </si>
  <si>
    <t>R' thousands</t>
  </si>
  <si>
    <t>1991/92</t>
  </si>
  <si>
    <t>Business enterprise</t>
  </si>
  <si>
    <t>Government</t>
  </si>
  <si>
    <t>Higher education</t>
  </si>
  <si>
    <t>Not-for-profit</t>
  </si>
  <si>
    <t>Science councils</t>
  </si>
  <si>
    <t xml:space="preserve">Gross Expenditure on R&amp;D </t>
  </si>
  <si>
    <t>% of GDP</t>
  </si>
  <si>
    <t>Total researchers (headcount)</t>
  </si>
  <si>
    <r>
      <t xml:space="preserve">Total researchers (FTE) </t>
    </r>
    <r>
      <rPr>
        <vertAlign val="superscript"/>
        <sz val="10"/>
        <rFont val="Arial"/>
        <family val="2"/>
      </rPr>
      <t>b</t>
    </r>
  </si>
  <si>
    <r>
      <t>Total researchers per 1000 total employment (FTE)</t>
    </r>
    <r>
      <rPr>
        <vertAlign val="superscript"/>
        <sz val="10"/>
        <rFont val="Arial"/>
        <family val="2"/>
      </rPr>
      <t>c</t>
    </r>
  </si>
  <si>
    <t>Amount of private and public funds spent on research and experimental development. R&amp;D expenditure for the government sector for the years 1993/94 and 1997/98 includes science councils. R&amp;D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</si>
  <si>
    <t>Information and communication technology</t>
  </si>
  <si>
    <t>Infrastructure</t>
  </si>
  <si>
    <t>Telephone, Cellular, Internet and Broadband subscribers</t>
  </si>
  <si>
    <t>Mobile cellular subscriptions</t>
  </si>
  <si>
    <t>Mobile cellular subscriptions (per 100 people)</t>
  </si>
  <si>
    <t>Telephone lines</t>
  </si>
  <si>
    <t>Telephone lines (per 100 people)</t>
  </si>
  <si>
    <t>Fixed broadband Internet subscribers</t>
  </si>
  <si>
    <t>Fixed broadband Internet subscribers (per 100 people)</t>
  </si>
  <si>
    <t>Secure Internet servers</t>
  </si>
  <si>
    <t>Secure Internet servers (per 1 million people)</t>
  </si>
  <si>
    <t>Internet users (per 100 people)</t>
  </si>
  <si>
    <t>Network readiness index</t>
  </si>
  <si>
    <t>Rank</t>
  </si>
  <si>
    <t xml:space="preserve">Table 3
</t>
  </si>
  <si>
    <t>HOUSEHOLDS OWNING VARIOUS HOUSEHOLD  ICT GOODS</t>
  </si>
  <si>
    <t>Cellphone</t>
  </si>
  <si>
    <t>Radio</t>
  </si>
  <si>
    <t>Computer</t>
  </si>
  <si>
    <t>Television</t>
  </si>
  <si>
    <t>Landline telephone</t>
  </si>
  <si>
    <t>Table 3.1</t>
  </si>
  <si>
    <t>Number, ration, Index</t>
  </si>
  <si>
    <r>
      <t xml:space="preserve">Mobile cellular telephone subscriptions </t>
    </r>
    <r>
      <rPr>
        <sz val="10"/>
        <rFont val="Arial"/>
        <family val="2"/>
      </rPr>
      <t>are subscriptions to a public mobile telephone service using cellular technology, which provide access to the public switched telephone network. Post-paid and prepaid subscriptions are included.</t>
    </r>
    <r>
      <rPr>
        <u/>
        <sz val="10"/>
        <rFont val="Arial"/>
        <family val="2"/>
      </rPr>
      <t xml:space="preserve">
Telephone lines are </t>
    </r>
    <r>
      <rPr>
        <sz val="10"/>
        <rFont val="Arial"/>
        <family val="2"/>
      </rPr>
      <t>fixed telephone lines that connect a subscriber's terminal equipment to the public switched telephone network and that have a port on a telephone exchange. Integrated services digital network channels ands fixed wireless subscribers are included.</t>
    </r>
    <r>
      <rPr>
        <u/>
        <sz val="10"/>
        <rFont val="Arial"/>
        <family val="2"/>
      </rPr>
      <t xml:space="preserve">
Fixed broadband Internet subscribers </t>
    </r>
    <r>
      <rPr>
        <sz val="10"/>
        <rFont val="Arial"/>
        <family val="2"/>
      </rPr>
      <t>are the number of broadband subscribers with a digital subscriber line, cable modem, or other high-speed technology.</t>
    </r>
    <r>
      <rPr>
        <u/>
        <sz val="10"/>
        <rFont val="Arial"/>
        <family val="2"/>
      </rPr>
      <t xml:space="preserve">
Secure servers </t>
    </r>
    <r>
      <rPr>
        <sz val="10"/>
        <rFont val="Arial"/>
        <family val="2"/>
      </rPr>
      <t>are servers using encryption technology in Internet transactions.</t>
    </r>
    <r>
      <rPr>
        <u/>
        <sz val="10"/>
        <rFont val="Arial"/>
        <family val="2"/>
      </rPr>
      <t xml:space="preserve">
Internet users </t>
    </r>
    <r>
      <rPr>
        <sz val="10"/>
        <rFont val="Arial"/>
        <family val="2"/>
      </rPr>
      <t>are people with access to the worldwide network. The network readiness index details an economics' performance in each of the 54 indicators that are organized by pillars. These indicators are measured on a scale of one to seven (where one corresponds to the worst and seven correspond to best outcomes). In terms of country ranking, a rank of one represents strong performance in network readiness while a ranking of 144 represents weak performance.</t>
    </r>
    <r>
      <rPr>
        <u/>
        <sz val="10"/>
        <rFont val="Arial"/>
        <family val="2"/>
      </rPr>
      <t xml:space="preserve">
</t>
    </r>
  </si>
  <si>
    <t>Table 1) The  World Telecommunication/ICT Indicators Database . www.itu.int/en/ITU-D/Statistics
Table 2) World Economic Forum (www.weforum.org) [PDF] The Global Information Technology Report 2015 
http://data.worldbank.org/indicator/IT.NET.SECR.P6?locations=ZA
Table 3) Census 2011 Statistical release P0301.4 Page 62</t>
  </si>
  <si>
    <t>"The Network Readiness Index : The countries are ranked out of a total of 144 countries
Numbers for subscribers rounded off to the nearest
For 2013 the countries were ranked out of a total of 144 countries"            
Additional data on the network readiness index and households owning various ICT goods is available in Excel version on the DPME website: www.thepresidency-dpme.gov.za</t>
  </si>
  <si>
    <t xml:space="preserve">Patents </t>
  </si>
  <si>
    <t>To improve the competitiveness of South Africa's economy</t>
  </si>
  <si>
    <t xml:space="preserve">South African Patent Office Statistics </t>
  </si>
  <si>
    <t>New Applications</t>
  </si>
  <si>
    <t>Certificates</t>
  </si>
  <si>
    <t>Renewals</t>
  </si>
  <si>
    <t>Patent Cooperation Treaty</t>
  </si>
  <si>
    <t>South African Patents granted by other patent offices</t>
  </si>
  <si>
    <t>United States of America</t>
  </si>
  <si>
    <t>European Patent Office</t>
  </si>
  <si>
    <t>China</t>
  </si>
  <si>
    <t>United Kingdom</t>
  </si>
  <si>
    <t>New Zealand</t>
  </si>
  <si>
    <t>Singapore</t>
  </si>
  <si>
    <t>Russian Federation</t>
  </si>
  <si>
    <t>Republic of Korea</t>
  </si>
  <si>
    <t>Japan</t>
  </si>
  <si>
    <t>Others</t>
  </si>
  <si>
    <t>Total</t>
  </si>
  <si>
    <t>Table 3</t>
  </si>
  <si>
    <t>Patents applicants by top fields of technology  (1998 to 2014)</t>
  </si>
  <si>
    <t>1997 to 2012</t>
  </si>
  <si>
    <t>2000 to 2014</t>
  </si>
  <si>
    <t>2001 to 2015</t>
  </si>
  <si>
    <t>2002 to 2016</t>
  </si>
  <si>
    <t>Field of Technology</t>
  </si>
  <si>
    <t>Share</t>
  </si>
  <si>
    <t>Civil engineering</t>
  </si>
  <si>
    <t>Materials, metallurgy</t>
  </si>
  <si>
    <t xml:space="preserve">Basic materials chemistry </t>
  </si>
  <si>
    <t>Chemical engineering</t>
  </si>
  <si>
    <t>Medical technology</t>
  </si>
  <si>
    <t>Handling</t>
  </si>
  <si>
    <t>Furniture, games</t>
  </si>
  <si>
    <t>Other special machines</t>
  </si>
  <si>
    <t>Transport</t>
  </si>
  <si>
    <t>Electrical machinery, apparatus, energy</t>
  </si>
  <si>
    <t>Table 4</t>
  </si>
  <si>
    <t>National patents grants</t>
  </si>
  <si>
    <t>Resident</t>
  </si>
  <si>
    <t>1,010</t>
  </si>
  <si>
    <t>Non-Resident</t>
  </si>
  <si>
    <t>6,663</t>
  </si>
  <si>
    <t>6,179</t>
  </si>
  <si>
    <t>2,497</t>
  </si>
  <si>
    <t>1,858</t>
  </si>
  <si>
    <t>4,167</t>
  </si>
  <si>
    <t>4,835</t>
  </si>
  <si>
    <t>4,509</t>
  </si>
  <si>
    <t>4,729</t>
  </si>
  <si>
    <t>5,520</t>
  </si>
  <si>
    <t>4,282</t>
  </si>
  <si>
    <t>4,620</t>
  </si>
  <si>
    <t>4,046</t>
  </si>
  <si>
    <t>Abroad</t>
  </si>
  <si>
    <t>Numbers</t>
  </si>
  <si>
    <t xml:space="preserve">A Patent is a set of exclusive rights granted by a state (national government) to an inventor or their assignee for a limited period of time in exchange for a public disclosure of an invention). The statistics are based on data collected from IP offices or extracted from the PATSTAT (Patent Statistics) database (for statistics by field of technology). Data might be missing for some years and offices or may be incomplete for some origins. A resident filing refers to an application filed in the country by its own resident; whereas a non-resident filing refers to the one filed by a foreign applicant. An abroad filing refers to an application filed by this country's resident at a foreign office. </t>
  </si>
  <si>
    <t>Companies and Intellectual Property Registration Office (CIPRO); 
Table 2, 3 and 4: WIPO (World Intellectual Property Organisation) statistics database, 2014. (http://www.wipo.int/ipstats/en/statistics/patents/index.html).</t>
  </si>
  <si>
    <t>The statistics are based on data collected from IP offices or extracted from the Worldwide Patent Statistical (PATSTAT) Database (for statistics by field of technology). Data might be missing for some years and offices or may be incomplete for some origins. Where an office provides total filings without breaking them down into resident and non-resident filings, WIPO divides the total count using the historical share of resident filings at that office. Additional data is available on Excel version on the DPME website: www.thepresidency-dpme.gov.za</t>
  </si>
  <si>
    <t>Balance of payments</t>
  </si>
  <si>
    <t>Competitiveness</t>
  </si>
  <si>
    <t>To increase the ratio of exports to GDP</t>
  </si>
  <si>
    <t>Exports, Imports, Trade balance and balance on current account</t>
  </si>
  <si>
    <t xml:space="preserve">Imports </t>
  </si>
  <si>
    <t>Exports</t>
  </si>
  <si>
    <t>Trade balance</t>
  </si>
  <si>
    <t xml:space="preserve">Balance on current account </t>
  </si>
  <si>
    <t>Percentage of GDP</t>
  </si>
  <si>
    <t>Trade balance refers to: Merchandise exports plus Net gold exports minus Merchandise imports (free on board)
Balance on current account refers to: Trade balance + net income payments + net service payments + current transfers.
Exports refers to: The quantity or value of all that is exported from a country
Imports refers to: The quantity or value of all that is imported into a country</t>
  </si>
  <si>
    <t>South African Reserve Bank (SARB) Quarterly Bulletins. Data supplied by National Treasury</t>
  </si>
  <si>
    <t>Trade balance is calculated by adding merchandise exports to net gold exports and then subtracting merchandise imports. The quarterly data is used for the graph to bring it up to date, while the table provides the annual data up to December of each year. Additional quarterly data is available on Excel version on the DPME website: www.thepresidencydpme.gov.za</t>
  </si>
  <si>
    <t>Exports (constant 2000 prices) R'billions</t>
  </si>
  <si>
    <t xml:space="preserve">Ratio of exports to GDP </t>
  </si>
  <si>
    <t>Volume of Trade (2000=base)</t>
  </si>
  <si>
    <t>Exports (excluding gold)</t>
  </si>
  <si>
    <t>Gold exports</t>
  </si>
  <si>
    <t>Exports (including gold)</t>
  </si>
  <si>
    <t>Imports</t>
  </si>
  <si>
    <t>Net services receipts</t>
  </si>
  <si>
    <t>Net income receipts</t>
  </si>
  <si>
    <t>Current account (excluding SACU payments)</t>
  </si>
  <si>
    <t>SACU payments</t>
  </si>
  <si>
    <t>Current account (including SACU payments)</t>
  </si>
  <si>
    <t>Ratio of exports to GDP (%)</t>
  </si>
  <si>
    <t>Trade balance to GDP ratio</t>
  </si>
  <si>
    <t>ZAR/US$</t>
  </si>
  <si>
    <t xml:space="preserve"> </t>
  </si>
  <si>
    <t xml:space="preserve">   </t>
  </si>
  <si>
    <t xml:space="preserve">Merchandise Imports (% of GDP) </t>
  </si>
  <si>
    <t xml:space="preserve">Merchandise Exports (% of GDP) </t>
  </si>
  <si>
    <t>Balance on current account  (% GDP)</t>
  </si>
  <si>
    <t>South Africa's Competitiveness Outlook</t>
  </si>
  <si>
    <t>To promote the international competitiveness of South Africa's economy</t>
  </si>
  <si>
    <t>Global Competitiveness - WEF</t>
  </si>
  <si>
    <t>2017/18</t>
  </si>
  <si>
    <t>Estonia</t>
  </si>
  <si>
    <t>Lithuania</t>
  </si>
  <si>
    <t>Slovakia</t>
  </si>
  <si>
    <t>Latvia</t>
  </si>
  <si>
    <t>Hungary</t>
  </si>
  <si>
    <t>Mauritius</t>
  </si>
  <si>
    <t>Romania</t>
  </si>
  <si>
    <t>No. of Countries</t>
  </si>
  <si>
    <t>Global Competitiveness - IMD</t>
  </si>
  <si>
    <t>Overall rankings</t>
  </si>
  <si>
    <t>no data</t>
  </si>
  <si>
    <t>Slovakia ( Republic)</t>
  </si>
  <si>
    <t xml:space="preserve">South Africa </t>
  </si>
  <si>
    <t>Ranking by category : South Africa only</t>
  </si>
  <si>
    <t>Economic performance</t>
  </si>
  <si>
    <t>Government efficiency</t>
  </si>
  <si>
    <t>Business efficiency</t>
  </si>
  <si>
    <t>Normalised data of the selected economic group - Upper Middle Income Economies</t>
  </si>
  <si>
    <t>In its Global Competitiveness Index WEF defines competitiveness as a set of institutions, policies, and factors that determine the level of productivity of a country. Data format is based on normalised data of the selected economic group - Upper Middle Income Economies. The World Competitiveness Yearbook ranks and analyses the ability of nations to create and maintain an environment in which enterprises can compete. The lower the rank the more competitive.</t>
  </si>
  <si>
    <t xml:space="preserve">The Global Competitiveness Reports 2006-2014; World Economic Forum (WEF).www.weforum.org/reports; International Institute for Management Development (IMD) (www.imd.ch), Switzerland; Productivity Institute South Africa. </t>
  </si>
  <si>
    <t>Global Competitiveness Index - Sub indexes and Pillars</t>
  </si>
  <si>
    <t>2007-2008 Global Rank</t>
  </si>
  <si>
    <t>2006-2007 Global Rank</t>
  </si>
  <si>
    <t>2005-2006 Global Rank</t>
  </si>
  <si>
    <t>NO</t>
  </si>
  <si>
    <t>Sub Index</t>
  </si>
  <si>
    <t>Score</t>
  </si>
  <si>
    <t>SA's Competitiveness Outlook - WEF</t>
  </si>
  <si>
    <t>First Sub Index</t>
  </si>
  <si>
    <t>1. Basic Requirements</t>
  </si>
  <si>
    <t>Pillars</t>
  </si>
  <si>
    <t>1.1. Institutions</t>
  </si>
  <si>
    <t>1.2. Infrastructure</t>
  </si>
  <si>
    <t>1.3. Macroeconomic Stability</t>
  </si>
  <si>
    <t>1.4. Health and Primary Education</t>
  </si>
  <si>
    <t>Second Sub Index</t>
  </si>
  <si>
    <t>2. Efficiency Enhancers</t>
  </si>
  <si>
    <t>2.1. Higher Education and Training</t>
  </si>
  <si>
    <t>2.2. Goods Market Efficiency</t>
  </si>
  <si>
    <t>2.3. Labour Market Efficiency</t>
  </si>
  <si>
    <t>2.4. Financial Market and Sophistication</t>
  </si>
  <si>
    <t>2.5. Technological Readiness</t>
  </si>
  <si>
    <t>2.6. Market Size</t>
  </si>
  <si>
    <t>Third Index</t>
  </si>
  <si>
    <t>3. Innovation and Sophistication Factors</t>
  </si>
  <si>
    <t>3.1. Business Sophistication</t>
  </si>
  <si>
    <t>3.2. Innovation</t>
  </si>
  <si>
    <t>2008 Global Rank</t>
  </si>
  <si>
    <t>2007 Global Rank</t>
  </si>
  <si>
    <t xml:space="preserve">SA's Competitiveness Outlook - IMD </t>
  </si>
  <si>
    <t>Black and Female Managers</t>
  </si>
  <si>
    <t>Empowerment</t>
  </si>
  <si>
    <t xml:space="preserve">To broadly reflect the demographic composition of the country in the management of companies and organisations </t>
  </si>
  <si>
    <t>Percentage of top and senior managers who are black</t>
  </si>
  <si>
    <t>Top managers</t>
  </si>
  <si>
    <t>Senior Managers</t>
  </si>
  <si>
    <t>Percentage of top and senior managers who are female</t>
  </si>
  <si>
    <t>Top Managers</t>
  </si>
  <si>
    <t>Percentage</t>
  </si>
  <si>
    <t>Black managers include Africans, Coloureds and Indians, but data does not include male and female foreign nationals.</t>
  </si>
  <si>
    <t>For odd years (2001, 2003, 2005, 2007, 2009 ,2011, 2013) data is based on large companies only
For even years (2002, 2004, 2006, 2008, 2010, 2012, 2014, 2016) data is based on all companies (large and small)
Employers with 150 or more employees ( large employers) are required to submit reports annually and employers with less than 150 employees ( small employers) are expected to submit reports every two years to the Department of Labour
Data does not include male and female foreign nationals</t>
  </si>
  <si>
    <t>Department of Labour, Commission on Employment Equity (CEE) Annual Report 2015 - 2016, Appendix A Table on number of employees (including employess with disabilities)</t>
  </si>
  <si>
    <t>Top and Senior managers who are black</t>
  </si>
  <si>
    <t>Black Top managers</t>
  </si>
  <si>
    <t>Black Senior Managers</t>
  </si>
  <si>
    <t>Female Top Managers</t>
  </si>
  <si>
    <t>Female Senior Managers</t>
  </si>
  <si>
    <t>Early childhood development</t>
  </si>
  <si>
    <t>Education</t>
  </si>
  <si>
    <t>All boys and girls have access to quality early childhood development by 2030</t>
  </si>
  <si>
    <t>Children attending ECD facilities</t>
  </si>
  <si>
    <t>0-4 year olds</t>
  </si>
  <si>
    <t>3-5 year olds</t>
  </si>
  <si>
    <t>5 year olds</t>
  </si>
  <si>
    <t xml:space="preserve">6 year olds </t>
  </si>
  <si>
    <t>Apparent intake rate</t>
  </si>
  <si>
    <t>3-5 year olds attending ECD facilities and Apparent intake rate for 2009 and 2010</t>
  </si>
  <si>
    <t>ECD attendance</t>
  </si>
  <si>
    <t>Apparent intake rate (AIR)</t>
  </si>
  <si>
    <t>Rate, percentage</t>
  </si>
  <si>
    <t xml:space="preserve">Early Childhood Development (ECD) programme comprises of a set of activities which are meant to provide stimulation and learning appropriate to children’s developmental needs, including children with a disability, chronic illness and other special needs. 
Apparent Intake Rate (AIR) is defined as the total number of new entrants in the first grade of primary education, regardless of age, expressed as a percentage of the population at the official primary school-entrance age (United Nations Educational, Scientific and
Cultural Organisation(UNESCO)Institute of Statistics 2010). Apparent Intake Rate indicates the general level of access to primary education. It also indicates the capacity of the education system to provide access to grade 1 for the official school-entrance age population. </t>
  </si>
  <si>
    <t>Department of basic education, calculations are based on Stats SA's General Household Survey (GHS).</t>
  </si>
  <si>
    <t xml:space="preserve">AIR is calculated by diving the number of new entrants in grade 1 irrespective of age by the population of official school-entrance age and then multiplied by 100. Goal statement adopted from Sustainable Development Goal </t>
  </si>
  <si>
    <t xml:space="preserve">learner - educator  ratio in public ordinary schools </t>
  </si>
  <si>
    <t>To reduce learner-educator ratios in line with relevant international standards</t>
  </si>
  <si>
    <t>Learner: Educator Ratio in Public Ordinary Schools</t>
  </si>
  <si>
    <t>Educator</t>
  </si>
  <si>
    <t>Learners</t>
  </si>
  <si>
    <t>Learner: Educator Ratio</t>
  </si>
  <si>
    <t>Learner: Educator Ratio in Public Ordinary Schools by province (2015)</t>
  </si>
  <si>
    <t>Learner: Educator Ratio in Public Ordinary Schools by province (2016)</t>
  </si>
  <si>
    <t>Learner: Educator Ratio in Public Ordinary Schools by province (2017)</t>
  </si>
  <si>
    <t>As % of National Total</t>
  </si>
  <si>
    <t>Educators</t>
  </si>
  <si>
    <t>Schools</t>
  </si>
  <si>
    <t>National</t>
  </si>
  <si>
    <t>Ratio</t>
  </si>
  <si>
    <t xml:space="preserve">The average number of learners per teacher in a given school year based on headcounts for both learners and teachers in public ordinary schools and independent schools that are subsidised by the Department of Basic Education (DBE).  The number of teachers includes both those that are paid by DBE and SGBs. </t>
  </si>
  <si>
    <t>1999 data from Department of Education (DoE) (undated) Education Statistics 1999 at a Glance; February 2000 data from DoE Statistics at a glance 2000; 2001 data from DoE (2003), Education Statistics at a Glance in 2001; 2002-2005 data from Education Statistics in SA at a Glance(2005), published November 2006 with data originally sources from 2001-2005 SNAP Survey; 2006 data from DoE , 2006 School Realties, October, 2007 data from DoE. 2008 data from DoE , School Realties. 2009, 2010, 2012, 2013, 2014,2015  data from DBE.</t>
  </si>
  <si>
    <t xml:space="preserve">The data are from the survey conducted on the 10th school day. Approximately 99.7% of functional ordinary schools submitted the survey forms, and imputation was done to establish a data set of 100%. </t>
  </si>
  <si>
    <t>Enrolment rates: Gross Enrolment Ratio (GER), Gender Parity Index (GPI)</t>
  </si>
  <si>
    <t>To ensure that all girls and boys have access to quality education by 2030</t>
  </si>
  <si>
    <t>GER and GPI for Basic Education</t>
  </si>
  <si>
    <t xml:space="preserve">Primary   </t>
  </si>
  <si>
    <t>Primary GER of female learners</t>
  </si>
  <si>
    <t>Primary GER of male learners</t>
  </si>
  <si>
    <t>Primary GPI</t>
  </si>
  <si>
    <t>Secondary</t>
  </si>
  <si>
    <t>Secondary GER of female learners</t>
  </si>
  <si>
    <t>Secondary GER of male learners</t>
  </si>
  <si>
    <t>Secondary GPI</t>
  </si>
  <si>
    <t>Total for basic education</t>
  </si>
  <si>
    <t>Total GER of female learners</t>
  </si>
  <si>
    <t>Total GER of male learners</t>
  </si>
  <si>
    <t>Overall GPI</t>
  </si>
  <si>
    <t>GER and GPI for Higher Education</t>
  </si>
  <si>
    <t>Higher Education</t>
  </si>
  <si>
    <t>Total GER for female learners</t>
  </si>
  <si>
    <t>22.6</t>
  </si>
  <si>
    <t>Total GER for male learners</t>
  </si>
  <si>
    <t>15.9</t>
  </si>
  <si>
    <t>Higher Education GPI</t>
  </si>
  <si>
    <t>Index</t>
  </si>
  <si>
    <t>Gross Enrolment Rate (GER) is the total learner per education level divided by population of corresponding official age in the education level. GPI is the ratio of GER for female learners to the GER of male learners regardless of age, in public and independent ordinary schools for given year. GPI ratio measures the progress towards gender parity in education participation / learning opportunities available for females in relation to those available to males. A GPI equal to 1 indicates parity between females and males. A value less than 1 indicates disparity in favour of men, while a GPI greater than 1 indicates disparity in favour of females.</t>
  </si>
  <si>
    <t xml:space="preserve">Table 1: Education statistics in South Africa at a Glance (2006), published February 2008, with data originally sourced from 2001 -  2006 SNAP surveys (conducted on the 10th school day), School Realities publications 2005 to 2014 Department of Basic Education.
Table 2: Department of Higher Education and Training's (DHET) Higher Education Management Information System (HEMIS) database.
</t>
  </si>
  <si>
    <t xml:space="preserve">The data on the GER (primary and sec) have been distorted in 2010 owing to changes in the way Stats SA has calculated its 2010 population estimates. Hence changes to the trend line.Goal statement adopted from Sustainable Development Goal </t>
  </si>
  <si>
    <t>GPI ratio measures the progress towards gender parity in education participation / learning opportunities available for women in relation to those available to men.</t>
  </si>
  <si>
    <t>A GPI equal to 1 indicates parity between females and males. A value less than 1 indicates disparity in favour of men.</t>
  </si>
  <si>
    <t>A GPI greater than 1 indicates disparity in favour of females.</t>
  </si>
  <si>
    <t>GROSS ENROLMENT RATIO  (GER) for public institutions of higher learning</t>
  </si>
  <si>
    <t>Race</t>
  </si>
  <si>
    <t>Gender</t>
  </si>
  <si>
    <t>African/Black</t>
  </si>
  <si>
    <t>Male</t>
  </si>
  <si>
    <t>Female</t>
  </si>
  <si>
    <t>Coulored</t>
  </si>
  <si>
    <t>Indian/Asian</t>
  </si>
  <si>
    <t>White</t>
  </si>
  <si>
    <t>Both</t>
  </si>
  <si>
    <t>National Senior Certificate Examination Pass Rate</t>
  </si>
  <si>
    <t>To improve the number of learners eligible for bachelors programme to 300 000 by 2024</t>
  </si>
  <si>
    <t>Number Wrote</t>
  </si>
  <si>
    <t>Number Passed</t>
  </si>
  <si>
    <t>Bachelor passes</t>
  </si>
  <si>
    <t>Pass rate</t>
  </si>
  <si>
    <t>National Senior Certificate Examination pass rate 
per province</t>
  </si>
  <si>
    <t>Province</t>
  </si>
  <si>
    <t>Total Wrote</t>
  </si>
  <si>
    <t>Number of learners, Percentage</t>
  </si>
  <si>
    <t>Number of learners who passed the senior certificate examination as a percentage of those that wrote the examinations</t>
  </si>
  <si>
    <t>Department of Basic Education</t>
  </si>
  <si>
    <t>Goal statement adopted from the National Development Plan</t>
  </si>
  <si>
    <t>To increase the number of National Senior Certificate passes with mathematics and Physical science to 450 000 by 2030</t>
  </si>
  <si>
    <t>Mathematics passes</t>
  </si>
  <si>
    <t>Achieved at 50% and above</t>
  </si>
  <si>
    <t>Physical Science passes</t>
  </si>
  <si>
    <t>Total number of matriculants who passed Mathematics on the higher grade and standard grade. Total number of matriculants who passed Mathematics and Mathematics Literacy. Total number of matriculants who passed Physical Science.</t>
  </si>
  <si>
    <t>Adult literacy rate</t>
  </si>
  <si>
    <t>To ensure that all youth and a substantial proportion of adults achieve numeracy and literacy by 2030</t>
  </si>
  <si>
    <t>Literacy</t>
  </si>
  <si>
    <t>Total literacy - GHS</t>
  </si>
  <si>
    <t>Total literacy - OHS</t>
  </si>
  <si>
    <t>Female literacy - GHS</t>
  </si>
  <si>
    <t>Female literacy - OHS</t>
  </si>
  <si>
    <t>Illiteracy</t>
  </si>
  <si>
    <t>Literacy rate- Census</t>
  </si>
  <si>
    <t>Total literacy</t>
  </si>
  <si>
    <t>Statistics SA's various October Household Surveys (OHS) and General Household Surveys (GHS) 2002-2015, Census 1996, 2001 and 2011</t>
  </si>
  <si>
    <t>Goal statement adopted from the sustainable Development Goals</t>
  </si>
  <si>
    <t xml:space="preserve">Total literacy </t>
  </si>
  <si>
    <t xml:space="preserve">Female literacy </t>
  </si>
  <si>
    <t>Illeteracy</t>
  </si>
  <si>
    <t>Graduating Science Engeneering and Technology (SET) students</t>
  </si>
  <si>
    <t>Increase the graduation rates to more than 25 percent by 2030</t>
  </si>
  <si>
    <t>Total Enrolment</t>
  </si>
  <si>
    <t> 760 889</t>
  </si>
  <si>
    <t> 422 402</t>
  </si>
  <si>
    <t>Total number of graduates</t>
  </si>
  <si>
    <t> 338 481</t>
  </si>
  <si>
    <t>Total number of SET graduates</t>
  </si>
  <si>
    <t>Unreported gender</t>
  </si>
  <si>
    <t xml:space="preserve"> -   </t>
  </si>
  <si>
    <t> 6</t>
  </si>
  <si>
    <t>SET as % of total graduates</t>
  </si>
  <si>
    <t> 74 845</t>
  </si>
  <si>
    <t> 51 773</t>
  </si>
  <si>
    <t> 760889.00</t>
  </si>
  <si>
    <t> 126618</t>
  </si>
  <si>
    <t xml:space="preserve">Number of Engineering Sciences ( excuding Technology) graduates </t>
  </si>
  <si>
    <t xml:space="preserve">Annual targets </t>
  </si>
  <si>
    <t xml:space="preserve">The number of graduates have also been increasing but at a lower rate than the enrollemnt. </t>
  </si>
  <si>
    <t>Numbers, Percentage</t>
  </si>
  <si>
    <t>Percentage of university graduates with degrees in SET (Science Engineering and Technology). SET refers to the following fields of study: Agricultural Studies, Computer and Information Technology, Engineering, Health and related Sciences, Consumer Science, Life and Physical Science, Mathematics, Statistics and Military Science.</t>
  </si>
  <si>
    <t>Department of Education, Higher Education Management Information System (HEMIS)</t>
  </si>
  <si>
    <t>Educational Performance below high school</t>
  </si>
  <si>
    <t>To improve performance of learners in basic education</t>
  </si>
  <si>
    <t xml:space="preserve">Table 1      Performance of learners per province </t>
  </si>
  <si>
    <t>SACMEQ II</t>
  </si>
  <si>
    <t>SACMEQ III</t>
  </si>
  <si>
    <t>SACMEQ IV</t>
  </si>
  <si>
    <t>Reading</t>
  </si>
  <si>
    <t>Mathematics</t>
  </si>
  <si>
    <t>Mean</t>
  </si>
  <si>
    <t>SE</t>
  </si>
  <si>
    <t xml:space="preserve">Mean, Standard Error </t>
  </si>
  <si>
    <t xml:space="preserve">SACMEQ- Southern and Eastern African Consortium for Monitoring Educational Quality </t>
  </si>
  <si>
    <t xml:space="preserve">Table 1) SACMEQ II and III Project results (2005 to 2010): Pupil achievement levels in reading and mathematics,website - www.SACMEQ.org
</t>
  </si>
  <si>
    <t>Language Achievement</t>
  </si>
  <si>
    <t>Mathematics Achievement</t>
  </si>
  <si>
    <t>Not Achieved</t>
  </si>
  <si>
    <t>Province (%)</t>
  </si>
  <si>
    <t>Outstanding</t>
  </si>
  <si>
    <t>Achieved</t>
  </si>
  <si>
    <t>Partly Achieved</t>
  </si>
  <si>
    <t xml:space="preserve">Table 1 </t>
  </si>
  <si>
    <t xml:space="preserve">Educational Performance ff Grade 6 students 2004 </t>
  </si>
  <si>
    <t xml:space="preserve">Table 2 </t>
  </si>
  <si>
    <t xml:space="preserve">Overall Grade 3 Literacy and Numeracy Achievement </t>
  </si>
  <si>
    <t>Literacy Achievement</t>
  </si>
  <si>
    <t>Numeracy Achievement</t>
  </si>
  <si>
    <t xml:space="preserve">Mathematics and Science achievement   </t>
  </si>
  <si>
    <t>To increase the percentage of potential students for SET disciplines</t>
  </si>
  <si>
    <t xml:space="preserve">International students achievements in Maths and Science Average Scale score </t>
  </si>
  <si>
    <t>Science</t>
  </si>
  <si>
    <t>Maths</t>
  </si>
  <si>
    <t xml:space="preserve">Country </t>
  </si>
  <si>
    <t>Indonesia</t>
  </si>
  <si>
    <t>435 (4.5)</t>
  </si>
  <si>
    <t>420 (4.1)</t>
  </si>
  <si>
    <t>406 (4.5)</t>
  </si>
  <si>
    <t>403 (4.9)</t>
  </si>
  <si>
    <t>411 (4.8)</t>
  </si>
  <si>
    <t>386 (4.3)</t>
  </si>
  <si>
    <t>Tunisia</t>
  </si>
  <si>
    <t>420 (3.7)</t>
  </si>
  <si>
    <t>413 (2.9)</t>
  </si>
  <si>
    <t>439 (2.5)</t>
  </si>
  <si>
    <t>448 (2.4)</t>
  </si>
  <si>
    <t>410 (2.2)</t>
  </si>
  <si>
    <t>425 (2.8)</t>
  </si>
  <si>
    <t>430 (3.4)</t>
  </si>
  <si>
    <t>404 (2.1)</t>
  </si>
  <si>
    <t>461 (2.5)</t>
  </si>
  <si>
    <t>454(3,1)</t>
  </si>
  <si>
    <t>392 (4.4)</t>
  </si>
  <si>
    <t>387 (3.3)</t>
  </si>
  <si>
    <t>416 (2.6)</t>
  </si>
  <si>
    <t>427(3,2)</t>
  </si>
  <si>
    <t>Phillippines</t>
  </si>
  <si>
    <t>345 (7.5)</t>
  </si>
  <si>
    <t>377 (5.8)</t>
  </si>
  <si>
    <t>345 (6.0)</t>
  </si>
  <si>
    <t>378 (5.2)</t>
  </si>
  <si>
    <t>243 (7,8)</t>
  </si>
  <si>
    <t>244 (6,7)</t>
  </si>
  <si>
    <t>332 (3,7)</t>
  </si>
  <si>
    <t>358(5,6)</t>
  </si>
  <si>
    <t>275 (6,8)</t>
  </si>
  <si>
    <t>264 (5,5)</t>
  </si>
  <si>
    <t>352 (2,5)</t>
  </si>
  <si>
    <t>372(4,5)</t>
  </si>
  <si>
    <r>
      <t xml:space="preserve">Trends in South African Mathematics and Science achievement: 1995 to </t>
    </r>
    <r>
      <rPr>
        <b/>
        <sz val="8"/>
        <color theme="1"/>
        <rFont val="Arial"/>
        <family val="2"/>
      </rPr>
      <t>2016</t>
    </r>
  </si>
  <si>
    <t>Grade 8</t>
  </si>
  <si>
    <t>Grade 9</t>
  </si>
  <si>
    <t>276 (6,7)</t>
  </si>
  <si>
    <t>260 (7,9)</t>
  </si>
  <si>
    <t>285 (4,2)</t>
  </si>
  <si>
    <t>268 (5,5)</t>
  </si>
  <si>
    <t>Average Science and Maths scale by province (2015 and 2016)</t>
  </si>
  <si>
    <t>change in achievement</t>
  </si>
  <si>
    <t>+</t>
  </si>
  <si>
    <t>Kwazulu Natal</t>
  </si>
  <si>
    <t>-</t>
  </si>
  <si>
    <t>TIMMS was administered to Grade 8 in 1999, administered to Grades 8 and 9 in 2002 and 2011. For 2011 the HSRC conducted the study in 285 schools among 11 969 learners. Additional data disaggregated by province is available in the Excel version on the DPME website: www.thepresidency-dpme.gov.za</t>
  </si>
  <si>
    <t xml:space="preserve">International mathematics and Science achievement and South Africa's performance in relation to the other participating countries
</t>
  </si>
  <si>
    <t>Skills and training</t>
  </si>
  <si>
    <t>To produce 30 000 artisans per year by 2030</t>
  </si>
  <si>
    <t>National Vocational Certification NC(V)</t>
  </si>
  <si>
    <t>Report 191 (N1-N6)</t>
  </si>
  <si>
    <t>Occupational Qualifications</t>
  </si>
  <si>
    <t>Other</t>
  </si>
  <si>
    <t>Artisan learner registration</t>
  </si>
  <si>
    <t>Artisan learner completion</t>
  </si>
  <si>
    <t>Completion rate</t>
  </si>
  <si>
    <t>AET level 1-3</t>
  </si>
  <si>
    <t>AET level 4</t>
  </si>
  <si>
    <t>Occupational programmes</t>
  </si>
  <si>
    <t>Entered</t>
  </si>
  <si>
    <t>Completed</t>
  </si>
  <si>
    <t>Learnerships</t>
  </si>
  <si>
    <t>Workers</t>
  </si>
  <si>
    <t>37 428 </t>
  </si>
  <si>
    <t>23 688 </t>
  </si>
  <si>
    <t>63% </t>
  </si>
  <si>
    <t>Unemployed</t>
  </si>
  <si>
    <t>64 019 </t>
  </si>
  <si>
    <t>34 392 </t>
  </si>
  <si>
    <t>54% </t>
  </si>
  <si>
    <t>Internships</t>
  </si>
  <si>
    <t>17 216 </t>
  </si>
  <si>
    <t>6 777 </t>
  </si>
  <si>
    <t>39% </t>
  </si>
  <si>
    <t>Numbers, percentage</t>
  </si>
  <si>
    <t>Headcount enrolment refers to an enrolment of a student whereby a student is counted as a unit, regardless of the course load he/she is carrying. Learnerships: A learning programme that leads to an occupational qualification or part qualification and includes an appreciates Internships: refers to the structured work experience component of an occupational qualification registered by the Quality Council for Trades and Occupations (QCTO). Worker: An individual who has entered into or works under a contract of service or a training contract with an employer (whether by way of manual labour, clerical work or otherwise, and whether the contract is expressed or implied, and whether the contract is oral or in writing).</t>
  </si>
  <si>
    <t>Table1) Department of Higher Education and Training's Management Information Support. Table 2, 3: Department of Higher education and Training's Indlela and SETA admin systems</t>
  </si>
  <si>
    <t>Actual emissions</t>
  </si>
  <si>
    <t>Climate Change Response Policy (2011). National GHG Emissions Trajectory Range White Paper on the National Climate Change Response. Government Gazette No. 334695, Notice No. 757 of 19 October 2011, Government printer, Pretoria). Department of Environmental Affairs; Defining South Africa’s Peak, Plateau and Decline Greenhouse Gas Emission Trajectory. Department of Environmental Affairs, Pretoria; Actual emission data: National Greenhouse Gas Inventory (http://unfccc.int/national_reports/non-annex_i_natcom/reporting_on_climate_change/items/8722.php)</t>
  </si>
  <si>
    <t>Total MPA: % of Continental Mainland EEZ</t>
  </si>
  <si>
    <t>Full Protection: % of Continental Mainland EEZ</t>
  </si>
  <si>
    <t>Partial Protection: % of Continental Mainland EEZ</t>
  </si>
  <si>
    <t>The South African Protected Areas Database (SAPAD) operated and maintained by the Department of Environmental Affairs (see http://egis.environment.gov.za/sapad.aspx?m=64) and the Marine Conservation Institute's MPAtlas (see http://www.mpatlas.org/region/nation/ZAF/)</t>
  </si>
  <si>
    <t>The Terrestrial Biodiversity Protection Index is a biodiversity related indicator that measures how extensive South Africa’s protected areas are, and how well they represent our ecosystem types.</t>
  </si>
  <si>
    <t>Living Standards Measure (LSM)</t>
  </si>
  <si>
    <t>Poverty and inequality</t>
  </si>
  <si>
    <t>Reducing inequalities.</t>
  </si>
  <si>
    <t>Living Standards Measure</t>
  </si>
  <si>
    <t>no (000)</t>
  </si>
  <si>
    <t>imputed avg monthly income</t>
  </si>
  <si>
    <t>imputed avg monthly household income</t>
  </si>
  <si>
    <t>LSM 1</t>
  </si>
  <si>
    <t>LSM 2</t>
  </si>
  <si>
    <t>LSM 3</t>
  </si>
  <si>
    <t>LSM 4</t>
  </si>
  <si>
    <t>LSM 5</t>
  </si>
  <si>
    <t>LSM 6</t>
  </si>
  <si>
    <t>LSM 7</t>
  </si>
  <si>
    <t>LSM 8</t>
  </si>
  <si>
    <t>LSM 9</t>
  </si>
  <si>
    <t>LSM 10</t>
  </si>
  <si>
    <t>Living Standards Measure by province (2011)</t>
  </si>
  <si>
    <t>Gauteng Province</t>
  </si>
  <si>
    <t>KwaZulu Natal</t>
  </si>
  <si>
    <t>no
 (000)</t>
  </si>
  <si>
    <t>no 
(000)</t>
  </si>
  <si>
    <t>Living Standards Measure by province (2012)</t>
  </si>
  <si>
    <t>Living Standards Measure by province (2013)</t>
  </si>
  <si>
    <t>Living Standards Measure by province (2014)</t>
  </si>
  <si>
    <t>LSM 8-10</t>
  </si>
  <si>
    <t>Living Standards Measure by province (2015)</t>
  </si>
  <si>
    <t>Number</t>
  </si>
  <si>
    <t>LSM provides a segmentation of the South African market according to living standards using criteria such as degree of urbanisation and ownership of cars and major appliances.</t>
  </si>
  <si>
    <t>South African Advertising Research Foundation (SAARF).</t>
  </si>
  <si>
    <t>Inequality measures</t>
  </si>
  <si>
    <t>To reduce income inequality to 0.6 by 2030</t>
  </si>
  <si>
    <t>NIDS</t>
  </si>
  <si>
    <t>Gini coefficient</t>
  </si>
  <si>
    <t xml:space="preserve"> Income</t>
  </si>
  <si>
    <t>African</t>
  </si>
  <si>
    <t>Asian</t>
  </si>
  <si>
    <t>Coloured</t>
  </si>
  <si>
    <t xml:space="preserve"> Expenditure</t>
  </si>
  <si>
    <t>Theil (0)</t>
  </si>
  <si>
    <t>Within-Race</t>
  </si>
  <si>
    <t>Expenditure</t>
  </si>
  <si>
    <t>Between-Share</t>
  </si>
  <si>
    <t>Income</t>
  </si>
  <si>
    <t>Between-Race</t>
  </si>
  <si>
    <t>Theil (1)</t>
  </si>
  <si>
    <t>Gini Coefficient by province</t>
  </si>
  <si>
    <t xml:space="preserve">Province </t>
  </si>
  <si>
    <t xml:space="preserve">Gauteng </t>
  </si>
  <si>
    <t>StatsSA</t>
  </si>
  <si>
    <t>Gini (per capita income)</t>
  </si>
  <si>
    <t>Gini (per capita expenditure)</t>
  </si>
  <si>
    <t xml:space="preserve">Gini coefficient: It measures the inequality as a proportion of its theoretical maximum. The Gini coefficient can range from 0 (no inequality) to 1 (complete inequality).  NIDS - National Income Dynamics Study. LCS - Living conditions survey. IES - Income and Expenditure survey                 </t>
  </si>
  <si>
    <t xml:space="preserve">Table 1 and Table 2:  Data for 2008 and 2010's calculations are based on NIDS wave 1 and wave 2 data respectively.
Table 3 and Table 4:Gini coefficient Calculations  for 2000 and 2005 and 2010 are based on IES data, 2009 calculations based on 2008/09 LCS data. </t>
  </si>
  <si>
    <t>Notes on calculations</t>
  </si>
  <si>
    <t>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PPP Dollar poverty lines of $1.25/day and $2/day correspond to monthly poverty lines of R191 and R305 in constant 2011 rands respectively.
For the LCS and IES expenditure does not include taxes while income encompasses wages, social grants and salaries at constant 2011 prices</t>
  </si>
  <si>
    <t>Poverty headcount index</t>
  </si>
  <si>
    <t xml:space="preserve">Eliminate income poverty </t>
  </si>
  <si>
    <t>Poverty Headcount Index</t>
  </si>
  <si>
    <t>Percentage of the population that is UBPL poor</t>
  </si>
  <si>
    <t>Number of UBPL poor persons (in millions)</t>
  </si>
  <si>
    <t>Percentage of the population that is LBPL poor</t>
  </si>
  <si>
    <t>Number of LBPL poor persons (in millions)</t>
  </si>
  <si>
    <t>Percentage of the population living in extreme poverty (below FPL)</t>
  </si>
  <si>
    <t>Number of extremely poor persons (in millions)</t>
  </si>
  <si>
    <t>Percentage.</t>
  </si>
  <si>
    <t xml:space="preserve">Poverty headcount index is the share of the population whose in-kind consumption is below the upper bound poverty line; that is, the share of the population that cannot meet its basic needs (this is also referred to as P0).
</t>
  </si>
  <si>
    <t>Poverty trends in South Africa: An examination of absolute poverty between 2006 and 2015/ Statistics South Africa, 2017.</t>
  </si>
  <si>
    <t>Notes on calculation</t>
  </si>
  <si>
    <t xml:space="preserve">The upper bound poverty line was used to determine the poverty headcount index. Cost of goods (food, clothing, etc.) and services (taxi fare, electricity, etc.), as well as consumption patterns are key drivers in the design of the poverty lines. The prices of goods and services are expected to change over time, though in different ways and at different rates. With time, changes in the cost of living affect purchasing power or value implied by poverty lines. To maintain integrity in the absolute poverty lines, two types of updates are required. These include adjustments by means of inflation index (updating happens annually based on CPI data) or construction of new lines (done once every five years based on new household expenditure data collected through an IES or LCS). </t>
  </si>
  <si>
    <t>POVERTY HEADCOUNT INDEX</t>
  </si>
  <si>
    <t>Poverty gap analysis: Poverty Gap Index (P1) and Squared Poverty Gap Index (P2)</t>
  </si>
  <si>
    <t>To reduce the poverty gap and the severity of poverty</t>
  </si>
  <si>
    <t>P1: Poverty Gap</t>
  </si>
  <si>
    <t xml:space="preserve">P2: Severity of poverty </t>
  </si>
  <si>
    <t xml:space="preserve">Total </t>
  </si>
  <si>
    <t xml:space="preserve">Percentage. </t>
  </si>
  <si>
    <t xml:space="preserve">Depth of poverty (P1) is based on how far below the poverty line the average income, i.e. how deep their poverty is. This provides the mean distance of the population from the poverty line relative to the poverty line. Severity of poverty (P2) is based on the square of the gap between the poverty line and the incomes of the poor, thus it gives great weight to those who are most deeply in poverty. This takes into account not only the distance separating the population from the poverty line (the poverty gap), but also the inequality among the poor. That is, a higher weight is placed on those households/individuals who are further away from the poverty line. </t>
  </si>
  <si>
    <t xml:space="preserve">Household expenditure surveys used, like the Income and Expenditure Survey (IES) And Living Conditions Survey (LCS). 
</t>
  </si>
  <si>
    <t>Social-assistance support</t>
  </si>
  <si>
    <t xml:space="preserve">Improve access to social secutiy including social-assistance </t>
  </si>
  <si>
    <t>Social assistance grants recipients</t>
  </si>
  <si>
    <t>Grant type</t>
  </si>
  <si>
    <t>Old Age Grant</t>
  </si>
  <si>
    <t>War Veterans Grant</t>
  </si>
  <si>
    <t>Disability Grant</t>
  </si>
  <si>
    <t>Grant in Aid</t>
  </si>
  <si>
    <t>Foster Child Grant</t>
  </si>
  <si>
    <t>Child Dependency Grant</t>
  </si>
  <si>
    <t>Child Support Grant</t>
  </si>
  <si>
    <t>Growth Rate</t>
  </si>
  <si>
    <t>Social assistance grants recipients per province, 31 March 2012</t>
  </si>
  <si>
    <t>Social assistance grants recipients per province, 31 March 2013</t>
  </si>
  <si>
    <t>Social assistance grants recipients per province, 31 March 2014</t>
  </si>
  <si>
    <t>Social assistance grants recipients per province, 31 March 2015</t>
  </si>
  <si>
    <t>Social grants per province, 31 March 2016</t>
  </si>
  <si>
    <t>Mpuma-langa</t>
  </si>
  <si>
    <t>North-West</t>
  </si>
  <si>
    <t>Old age</t>
  </si>
  <si>
    <t>War Veteran</t>
  </si>
  <si>
    <t>Permanent disability</t>
  </si>
  <si>
    <t>Temporary disability</t>
  </si>
  <si>
    <t>Grant-in-aid</t>
  </si>
  <si>
    <t>Total 2006/07</t>
  </si>
  <si>
    <t>Total 2007/08</t>
  </si>
  <si>
    <t>Total 2008/09</t>
  </si>
  <si>
    <t>Total 2009/10</t>
  </si>
  <si>
    <t>Total 2010/11</t>
  </si>
  <si>
    <t>Total 2011/12</t>
  </si>
  <si>
    <t>Total 2012/13</t>
  </si>
  <si>
    <t>Total 2013/14</t>
  </si>
  <si>
    <t>Total 2014/15 (31 August 2014)</t>
  </si>
  <si>
    <t>Total 2014/15 (30 September 2014)</t>
  </si>
  <si>
    <t>Social assistance grant expenditure</t>
  </si>
  <si>
    <t xml:space="preserve">
2013/14 </t>
  </si>
  <si>
    <t xml:space="preserve">
2014/15</t>
  </si>
  <si>
    <t xml:space="preserve">
2015/16</t>
  </si>
  <si>
    <t>Expenditure (R million)</t>
  </si>
  <si>
    <t>Number of recipients, Rand in million, Percentage of GDP</t>
  </si>
  <si>
    <t>Total number of recipients of social-assistance grants as recorded for each financial year.</t>
  </si>
  <si>
    <t xml:space="preserve">Table 1 and Table 2: South African Social Security Agency's (SASSA) Social Security Pension System (Socpen),  
Table 3: National Treasury's Budget Review 2012-2018
</t>
  </si>
  <si>
    <t>The total figures do not include Grant-in-Aid it is an additional type of grant awarded to persons who might already be receiving other forms of grants such as Old age grants, Disability or War veteran's grants as a result of being unable to care for themselves. Grant-in-Aid may create duplicates in terms of head counts. Disability Grant Total consists of Temporary Disability Grant (which is a  disability grant that is awarded  for a period no less than 6 months and not more than 12 months) and Permanent disability grant (which is a disability grant that is awarded for a period longer than 12 months). Additional data disaggregated by province available on the Excel version on the DPME website: www.thepresidency-dpme.gov.za</t>
  </si>
  <si>
    <t>People with disabilities</t>
  </si>
  <si>
    <t>Empowerment and equity</t>
  </si>
  <si>
    <t>To implement inclusive education and mainstreaming disability in South Africa</t>
  </si>
  <si>
    <t xml:space="preserve"> Statistics South Africa data on people with diabilities</t>
  </si>
  <si>
    <t>Census 1996</t>
  </si>
  <si>
    <t>Census 2001</t>
  </si>
  <si>
    <t>Community Survey 2007</t>
  </si>
  <si>
    <t>Census 2011</t>
  </si>
  <si>
    <t>% of total population</t>
  </si>
  <si>
    <t>SASSA data on Disability Grant Beneficiaries</t>
  </si>
  <si>
    <t>1996/07</t>
  </si>
  <si>
    <t>1997/08</t>
  </si>
  <si>
    <t>1998/09</t>
  </si>
  <si>
    <t>2007/08*</t>
  </si>
  <si>
    <t>Number of Care Dependency Grant Beneficiaries</t>
  </si>
  <si>
    <t>Number of Disability Grant Beneficiaries</t>
  </si>
  <si>
    <t>Total Number of Disabled Beneficiaries</t>
  </si>
  <si>
    <t>Disability grant beneficiaries as a % of total social grant beneficiaries</t>
  </si>
  <si>
    <t>Total social grant beneficiaries</t>
  </si>
  <si>
    <t>Department of Education data on Special Schools  Matric Pass Rate</t>
  </si>
  <si>
    <t>In special schools</t>
  </si>
  <si>
    <t>Number of Learners who wrote Matric in Special Schools</t>
  </si>
  <si>
    <t>Number of Learners who passed without endorsement</t>
  </si>
  <si>
    <t>Learners who received a Conditional Pass</t>
  </si>
  <si>
    <t>Learners Passed with Endorsement</t>
  </si>
  <si>
    <t>Total Pass</t>
  </si>
  <si>
    <t>Department of Labour data on Employees with disabilities</t>
  </si>
  <si>
    <t>Top Management</t>
  </si>
  <si>
    <t>Senior Management</t>
  </si>
  <si>
    <t>Number of disabled population, Percentage</t>
  </si>
  <si>
    <t>Grants include Disability grant, Old age grant, War veteran grant, Care Dep, Child support, Foster care grant and does not include Grant-in-aid. The current definition of disability is "the loss or elimination of opportunities to take part in the life of the community, equitably with others that is encountered by persons having physical, sensory, psychological,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t>
  </si>
  <si>
    <r>
      <t xml:space="preserve">Table 1: Statistics South Africa, Census 1996,2001, 2011; Community Survey 2007
Table 2: South African Social Security Agency(SASSA)
Table 3: Department of Basic Education: National Senior Certificate, 2015 technical report. </t>
    </r>
    <r>
      <rPr>
        <sz val="10"/>
        <color indexed="10"/>
        <rFont val="Arial"/>
        <family val="2"/>
      </rPr>
      <t xml:space="preserve">
</t>
    </r>
    <r>
      <rPr>
        <sz val="10"/>
        <rFont val="Arial"/>
        <family val="2"/>
      </rPr>
      <t>Table 4: Department of Labour, Commission for Employment Equity(CEE) annual report verious</t>
    </r>
  </si>
  <si>
    <t>The current definition of disability is "the loss or elimination of opportunities to take part in the life of the community, equitably with others that is encountered by persons having physical, sensory, phsycological,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
Census 2011 has approached the asking of question on diability in a different manner. The traditional question of " Do you have any serious disablity that prevents your full participation in life activities?" The term difficulty instead of difficulty seemed to be more acceptable among people with impairments, as a result of changes in approach the 2011 Census cannot be comparable with other Censuses. Additional data on number of people with disabilities as well as number of employees with disabilities available on the Excel version on the DPME website: www.thepresidency-dpme.gov.za</t>
  </si>
  <si>
    <t>Life Expectancy (LE)</t>
  </si>
  <si>
    <t>Health</t>
  </si>
  <si>
    <t>A long and healthy life for all South Africans</t>
  </si>
  <si>
    <t>Target</t>
  </si>
  <si>
    <t xml:space="preserve">NDP 2030 target: Average male and female life expectancy at birth increased to 70 years </t>
  </si>
  <si>
    <t>Life Expectancy</t>
  </si>
  <si>
    <t>LE male  StatsSA</t>
  </si>
  <si>
    <t>LE female  StatsSA</t>
  </si>
  <si>
    <t>LE combined  StatsSA</t>
  </si>
  <si>
    <t>LE male RMS</t>
  </si>
  <si>
    <t>LE female RMS</t>
  </si>
  <si>
    <t>LE combined  RMS</t>
  </si>
  <si>
    <t>Average LE for 2001-2005, 2006-2010, 2011-2015,2016-2021 periods by province</t>
  </si>
  <si>
    <t>male</t>
  </si>
  <si>
    <t>female</t>
  </si>
  <si>
    <t>2001-2006</t>
  </si>
  <si>
    <t>2006-2011</t>
  </si>
  <si>
    <t>2011-2016</t>
  </si>
  <si>
    <t>2016-2021</t>
  </si>
  <si>
    <t>Life expectancy: The number of years a new-born infant would live if prevailing patterns of age-specific mortality rates at the time of birth were to stay the same throughout the child's life</t>
  </si>
  <si>
    <t>1,2,3) Life Expectancy Statistics South Africa - Mid Year Population Estimates 2018</t>
  </si>
  <si>
    <t>4,5,6) Rapid Mortality Surveillance (RMS) Report 2015;  2016.</t>
  </si>
  <si>
    <t>NDP 2030 goal: Reduce under-five mortality from 56 to below 30 per 1 000 live births</t>
  </si>
  <si>
    <t>Infant (under one year) and under 5 deaths per 1000 live births - Stats SA estimates</t>
  </si>
  <si>
    <t>Infant mortality rate (IMR)</t>
  </si>
  <si>
    <t>Under 5 mortality</t>
  </si>
  <si>
    <t xml:space="preserve">Health Systems Trust </t>
  </si>
  <si>
    <t>Infant mortality (under one year)</t>
  </si>
  <si>
    <t>Child mortality (under five years)</t>
  </si>
  <si>
    <t>Medical Research Council</t>
  </si>
  <si>
    <t>Dept of Health</t>
  </si>
  <si>
    <t xml:space="preserve">RMS </t>
  </si>
  <si>
    <t>Note that Statistics South Africa applies the country-specific UN Model Life table for South Africa in Spectrum</t>
  </si>
  <si>
    <t>Under 5 mortality rate (U5MR)</t>
  </si>
  <si>
    <t>Severe acute malnutrition under five years</t>
  </si>
  <si>
    <t xml:space="preserve">Target </t>
  </si>
  <si>
    <t>To reduce infant and under-five child morbidity and mortality</t>
  </si>
  <si>
    <t>Severe acute Malnutrition under Five years - new ambulatory</t>
  </si>
  <si>
    <t>number</t>
  </si>
  <si>
    <t xml:space="preserve">Stunting (%) </t>
  </si>
  <si>
    <t xml:space="preserve"> age 6-71 months</t>
  </si>
  <si>
    <t>age 1-9 years</t>
  </si>
  <si>
    <t xml:space="preserve"> age 12-71 months</t>
  </si>
  <si>
    <t xml:space="preserve"> under 5 years</t>
  </si>
  <si>
    <t xml:space="preserve"> age 1-9 years</t>
  </si>
  <si>
    <t xml:space="preserve"> NYRBS</t>
  </si>
  <si>
    <t>NYRBS Grade 11</t>
  </si>
  <si>
    <t xml:space="preserve"> NYRBS Grade 8</t>
  </si>
  <si>
    <t xml:space="preserve"> NYRBS female</t>
  </si>
  <si>
    <t xml:space="preserve"> NYRBS male</t>
  </si>
  <si>
    <t xml:space="preserve"> under 15 years</t>
  </si>
  <si>
    <t xml:space="preserve">Malnutrition under five years old </t>
  </si>
  <si>
    <t>HAZ&lt;= -3</t>
  </si>
  <si>
    <t>HAZ&lt;=-2</t>
  </si>
  <si>
    <t>HAZ&lt;=-1</t>
  </si>
  <si>
    <t>WAZ&lt;=-3</t>
  </si>
  <si>
    <t>WAZ&lt;=-2</t>
  </si>
  <si>
    <t>WAZ&lt;=-1</t>
  </si>
  <si>
    <t>WHZ&lt;=-3</t>
  </si>
  <si>
    <t>WHZ&lt;=-2</t>
  </si>
  <si>
    <t>WHZ&lt;=-1</t>
  </si>
  <si>
    <t>na</t>
  </si>
  <si>
    <r>
      <t xml:space="preserve">Severe acute malnutrition is defined by a very low weight for height (below -3z scores of the median WHO growth standards), by visible serve wasting, or by the presence of nutritional oedema. </t>
    </r>
    <r>
      <rPr>
        <sz val="10"/>
        <color theme="0"/>
        <rFont val="Arial"/>
        <family val="2"/>
      </rPr>
      <t>New ambulatory
Z score Height-for-age (HAZ): HAZ&lt;= -3 = severely stunted; HAZ&lt;=-2 = stunted
Z score Weight-for-age (WAZ): WAZ&lt;=-3 = severely underweight; WAZ&lt;=-2 = underweight
Z score Weight-for Height (WHZ): WHZ&lt;=-3 = severely wasted; WHZ&lt;=-2 = wasted                                                                                                                                                                                         Stunting: Proportion of children with height for age under 2 standard deviations from the norm (reference population median).</t>
    </r>
    <r>
      <rPr>
        <sz val="10"/>
        <rFont val="Arial"/>
        <family val="2"/>
      </rPr>
      <t xml:space="preserve">
</t>
    </r>
  </si>
  <si>
    <r>
      <t xml:space="preserve">National Department of Health: District Health Information System (DHIS)
Statistics South Africa: South Africa Demographic and Health Survey: Key Indicator Report 2016
</t>
    </r>
    <r>
      <rPr>
        <sz val="10"/>
        <color theme="0"/>
        <rFont val="Arial"/>
        <family val="2"/>
      </rPr>
      <t>2)  Labadarios D, editor. The National Food Consumption Survey (NFCS): Children aged 1-9 years, South Africa, 1999. Pretoria: National Department of Health; 2010.
3)Labadarios D, Swart R, Maunder EMW, Kruger HS, Gericke GJ, Kuzwayo PMN, Ntsie PR, Steyn NP, Schloss I, Dhansay MA, Jooste PL, Dannhauser A , Nel JH, Molefe D, Kotze TJvW. The National Food Consumption Survey- Fortifi cation Baseline (NFCS-FB-I): South Africa, 2005. Directorate: Nutrition, Department of Health. Pretoria. 2007 
4) Labadarios D. (editor), Steyn NP, Mauner E, MacIntyre U, Swart R, Gericke G, Huskisson J, Dannhauser A, Vorster HH, Nesamvuni AE.  The National Food Consumption Survey (NFCS): children aged 1-9 years, South Africa, 1999. Pretoria: Department of Health, 2000. www.sahealthinfo.org/nutrition/nfcs/chapter4. Accessed December 7, 2005
5) Labadarios, D., Van Middelkoop, A. (Eds.). 1995. The South African Vitamin A Consultative Group (SAVACG). Children aged 6 to 71 months in South Africa, 1994: Their anthropometric, vitamin A, iron and immunisation coverage status. Isando: SAVACG
6)  Labadarios D, editor. The National Food Consumption Survey (NFCS): Children aged 1-9 years, South Africa, 1999. Pretoria: National Department of Health; 2010.</t>
    </r>
    <r>
      <rPr>
        <sz val="10"/>
        <rFont val="Arial"/>
        <family val="2"/>
      </rPr>
      <t xml:space="preserve">
</t>
    </r>
  </si>
  <si>
    <t>The underweight for age rate is all children that are underweight for age per 1000 children in the target population. A child is underweight for age if below the third centile but equal to or over 60% of Estimated Weight for Age (EWA) on the Road-to-Health chart (below 60% is severe malnutrition). Note that 'Not gaining weight under 5 years' is a more sensitive indicator of nutrition problems. On the Road-to-health card the most important issue to track is whether the child is increasing in weight. Children occupy the full spectrum of weights and if a child on the fiftieth percentile is not gaining weight this is as important for that child as for a child on the fifth percentile that also loses weight. The child on the fiftieth percentile has to go a lot further to reach the third percentile but all along the way the child is at increased risk of disease and infection.  Thus ‘Not gaining weight under 5 years’ allows early detection and intervention before the child become underweight or severely malnourished.</t>
  </si>
  <si>
    <t>Immunisation coverage</t>
  </si>
  <si>
    <t>NDP 2030 goal: Reduce maternal, infant and child mortality</t>
  </si>
  <si>
    <t xml:space="preserve">Immunisation coverage </t>
  </si>
  <si>
    <t>Immunisation Coverage</t>
  </si>
  <si>
    <t>Immunisation coverage per province</t>
  </si>
  <si>
    <t>Percentage of children under one year who received all their primary vaccines for tuberculosis (TB), diphtheria, whooping cough, tetanus, polio, measles, hepatitis B and haemophilus influenzae</t>
  </si>
  <si>
    <t xml:space="preserve">Department of Health's District Health Information System (DHIS) </t>
  </si>
  <si>
    <t>Maternal Mortality Ratio (MMR)</t>
  </si>
  <si>
    <t>Maternal Deaths / 100 000 live births</t>
  </si>
  <si>
    <t>RMS</t>
  </si>
  <si>
    <t xml:space="preserve">Maternal Mortality Ratio (MMR) is an indicator that represents the risk of death associated with pregrancy. Deaths of women while pregnant or within 42 days of termination of pregnancy from any cause related to or aggravated by the pregnancy or its management, but not from accidental or incidental causes </t>
  </si>
  <si>
    <t xml:space="preserve">1) Statistics SA's calculations based on civil registration and vital statistics system (CRVS)
2 Rapid Mortality Surveillance (RMS) Report 2012, 2015, 2016.
</t>
  </si>
  <si>
    <t>https://bhekisisa.org/article/2018-03-28-00-maternal-mortality-ratio-south-africa-decreased-by-29</t>
  </si>
  <si>
    <t>HIV prevalence</t>
  </si>
  <si>
    <t>A long and healthy life for all South Africans.</t>
  </si>
  <si>
    <t>NDP 2030 goal: Average male and female life expectancy at birth increases to 70 years</t>
  </si>
  <si>
    <t>Youth 15-24</t>
  </si>
  <si>
    <t>Adult women 15-49</t>
  </si>
  <si>
    <t>17,40</t>
  </si>
  <si>
    <t>17,84</t>
  </si>
  <si>
    <t>18,17</t>
  </si>
  <si>
    <t>18,42</t>
  </si>
  <si>
    <t>18,64</t>
  </si>
  <si>
    <t>18,90</t>
  </si>
  <si>
    <t>19,21</t>
  </si>
  <si>
    <t>19,56</t>
  </si>
  <si>
    <t>19,93</t>
  </si>
  <si>
    <t>20,33</t>
  </si>
  <si>
    <t>20,77</t>
  </si>
  <si>
    <t>21,19</t>
  </si>
  <si>
    <t>21,50</t>
  </si>
  <si>
    <t>21,82</t>
  </si>
  <si>
    <t>22,09</t>
  </si>
  <si>
    <t>22,19</t>
  </si>
  <si>
    <t>22,32</t>
  </si>
  <si>
    <t>Adult women 20-64</t>
  </si>
  <si>
    <t>Adult men 20-64</t>
  </si>
  <si>
    <t>All adults 15-49</t>
  </si>
  <si>
    <t>15,16</t>
  </si>
  <si>
    <t>15,51</t>
  </si>
  <si>
    <t>15,76</t>
  </si>
  <si>
    <t>15,94</t>
  </si>
  <si>
    <t>16,10</t>
  </si>
  <si>
    <t>16,27</t>
  </si>
  <si>
    <t>16,50</t>
  </si>
  <si>
    <t>16,77</t>
  </si>
  <si>
    <t>17,07</t>
  </si>
  <si>
    <t>17,76</t>
  </si>
  <si>
    <t>18,08</t>
  </si>
  <si>
    <t>18,32</t>
  </si>
  <si>
    <t>18,59</t>
  </si>
  <si>
    <t>18,8</t>
  </si>
  <si>
    <t>18,88</t>
  </si>
  <si>
    <t>18,99</t>
  </si>
  <si>
    <t>All adults 20-64</t>
  </si>
  <si>
    <t>Total Female Population</t>
  </si>
  <si>
    <t xml:space="preserve">Total Male Population </t>
  </si>
  <si>
    <t xml:space="preserve">Total Population </t>
  </si>
  <si>
    <t>Mother to child transmissions</t>
  </si>
  <si>
    <t>Infant HIV - exposure prevelence</t>
  </si>
  <si>
    <t>National perinatal transmission rate (MTCT)</t>
  </si>
  <si>
    <t>HIV prevalence is the percentage of people that are HIV positive in the population out of the total population at a given point in time.</t>
  </si>
  <si>
    <t>Statistics SA's Mid-year population estimates, 2018</t>
  </si>
  <si>
    <t>The evaluation of the effectiveneess of the national PMTCT programme to reduce perinatal transmission of HIV from mother to infants measured at 4 to 8 weeks after infant birth. Additional data disaggregated by province and by age is available in the Excel version on the DPME website: www.thepresidency-dpme.gov.za</t>
  </si>
  <si>
    <t>HSRC, South African National HIV Prevalence, Incidence, behavious and Communication Survey, 2008</t>
  </si>
  <si>
    <r>
      <t>Indicator</t>
    </r>
    <r>
      <rPr>
        <sz val="8"/>
        <rFont val="Arial"/>
        <family val="2"/>
      </rPr>
      <t xml:space="preserve">     </t>
    </r>
  </si>
  <si>
    <t>Antiretroviral Treatment (ART)</t>
  </si>
  <si>
    <r>
      <t>Category</t>
    </r>
    <r>
      <rPr>
        <sz val="8"/>
        <rFont val="Arial"/>
        <family val="2"/>
      </rPr>
      <t xml:space="preserve">     </t>
    </r>
  </si>
  <si>
    <t xml:space="preserve">NDP 2030 goal: Average male and female life expectancy at birth increases to 70 years. </t>
  </si>
  <si>
    <t>ART</t>
  </si>
  <si>
    <t>Total remaining on ART (Adult) * (December)</t>
  </si>
  <si>
    <t>Total remaining on ART (Child) (December)</t>
  </si>
  <si>
    <t>*Remaing on ART (All)</t>
  </si>
  <si>
    <t>Number, rate,</t>
  </si>
  <si>
    <t xml:space="preserve">Total remaining on ART is defined all patients started ART, all patients transferred in, minus patients died, lost to follow up and transferred out ** Reporting year refers to the year in which patient reach a duration on treatment.  Patients reaching 1 year on treatment in a given reporting year will have started in the previous year, whereas those who could have reached 5 years on ART will have started 5 years previously. </t>
  </si>
  <si>
    <t>* Adults and children combined in Total remaining on ART data. The national statistics on Total Remaining on ART for children and adults in the period 2005 to 2010 were cumulative. During this period , the various data collection systems in provinces varied widely and inconsistently accounted for transfer out, deaths and lost to follow-ups.</t>
  </si>
  <si>
    <t>Tuberculosis (TB)</t>
  </si>
  <si>
    <t>TB prevalence</t>
  </si>
  <si>
    <r>
      <t>2013</t>
    </r>
    <r>
      <rPr>
        <sz val="8"/>
        <color theme="1"/>
        <rFont val="Calibri"/>
        <family val="2"/>
      </rPr>
      <t> </t>
    </r>
  </si>
  <si>
    <r>
      <t>2014</t>
    </r>
    <r>
      <rPr>
        <sz val="8"/>
        <color theme="1"/>
        <rFont val="Calibri"/>
        <family val="2"/>
      </rPr>
      <t> </t>
    </r>
  </si>
  <si>
    <t>TB case notification</t>
  </si>
  <si>
    <t>Treatment Success rate (%)</t>
  </si>
  <si>
    <t>Loss to Follow-up rate</t>
  </si>
  <si>
    <t>Death rate</t>
  </si>
  <si>
    <t>World Heath Organisation's TB indicators</t>
  </si>
  <si>
    <t>DOTS coverage (%)</t>
  </si>
  <si>
    <t>Notification rate (new and relapse cases/ 1 000 000 pop)</t>
  </si>
  <si>
    <t>% notified new and relapse cases reported under DOTS</t>
  </si>
  <si>
    <t>Notification rate (new ss+ cases/ 100 000 pop)</t>
  </si>
  <si>
    <t>% notified new ss+ cases reported under DOTS</t>
  </si>
  <si>
    <t>Case detection rate ( all new cases, %)</t>
  </si>
  <si>
    <t>Case detection rate ( new ss+ cases, %)</t>
  </si>
  <si>
    <t>Treatment success ( new ss+ patients, %)</t>
  </si>
  <si>
    <t>Re-treatment cases success (ss+ patients,%)</t>
  </si>
  <si>
    <t>Number, rate</t>
  </si>
  <si>
    <t xml:space="preserve">1) TB Case Notification- Number of TB cases all types reported to the Department of Health.
2) Successful Treatment Rate- Successful completion of treatment rate.
3) Loss to follow-up -  It measures the percentage of TB patients who interrupted treatment for two concecutive months or more.  
4) Death rate - The percentage of patients who died due to TB in a given time period
</t>
  </si>
  <si>
    <t>1,2,3,4) Department of Health: ETR.net</t>
  </si>
  <si>
    <t>Multidrug-resistant TB (MDR-TB)</t>
  </si>
  <si>
    <t>Estimated incidents of ss+ MDR cases</t>
  </si>
  <si>
    <t>Diagnosed and notified</t>
  </si>
  <si>
    <t>Registered for treatment</t>
  </si>
  <si>
    <t>(-%)</t>
  </si>
  <si>
    <t>-(-%)</t>
  </si>
  <si>
    <t>4552(56%)</t>
  </si>
  <si>
    <t>4933(54%)</t>
  </si>
  <si>
    <t>5402(73%)</t>
  </si>
  <si>
    <t>GLC</t>
  </si>
  <si>
    <t>non-GLC</t>
  </si>
  <si>
    <t>Malaria</t>
  </si>
  <si>
    <t xml:space="preserve">Malaria </t>
  </si>
  <si>
    <t>Cases</t>
  </si>
  <si>
    <t>Deaths</t>
  </si>
  <si>
    <t>Fatality Rate</t>
  </si>
  <si>
    <t>Numbers, Rate</t>
  </si>
  <si>
    <t>Fatality rate: The number of reported deaths due to malaria divided by number of malaria reported cases multiplied by 100</t>
  </si>
  <si>
    <t>Department of Health's Malaria Notification System</t>
  </si>
  <si>
    <t>MALARIA CASES IN SOUTH AFRICA DURING 2008</t>
  </si>
  <si>
    <t>MONTH</t>
  </si>
  <si>
    <t>Jan</t>
  </si>
  <si>
    <t>Feb</t>
  </si>
  <si>
    <t>Mar</t>
  </si>
  <si>
    <t>Apr</t>
  </si>
  <si>
    <t>May</t>
  </si>
  <si>
    <t>Jun</t>
  </si>
  <si>
    <t>Jul</t>
  </si>
  <si>
    <t>Aug</t>
  </si>
  <si>
    <t>Sep</t>
  </si>
  <si>
    <t>Oct</t>
  </si>
  <si>
    <t>Nov</t>
  </si>
  <si>
    <t>Dec</t>
  </si>
  <si>
    <t>CF***</t>
  </si>
  <si>
    <t>PROVINCE</t>
  </si>
  <si>
    <t>C</t>
  </si>
  <si>
    <t>Cases*</t>
  </si>
  <si>
    <t>Deaths**</t>
  </si>
  <si>
    <t>.</t>
  </si>
  <si>
    <t>MALARIA CASES IN SOUTH AFRICA DURING 2009</t>
  </si>
  <si>
    <t>MALARIA CASES IN SOUTH AFRICA DURING 2010</t>
  </si>
  <si>
    <t>MALARIA CASES IN SOUTH AFRICA DURING 2011</t>
  </si>
  <si>
    <t>MALARIA CASES IN SOUTH AFRICA DURING 2012</t>
  </si>
  <si>
    <t>Country Projection by population group, sex and age (2002 to 2018)</t>
  </si>
  <si>
    <t>Population Group</t>
  </si>
  <si>
    <t>Sex</t>
  </si>
  <si>
    <t>Age</t>
  </si>
  <si>
    <t>Black African</t>
  </si>
  <si>
    <t>0-4</t>
  </si>
  <si>
    <t>5-9</t>
  </si>
  <si>
    <t>10-14</t>
  </si>
  <si>
    <t>15-19</t>
  </si>
  <si>
    <t>20-24</t>
  </si>
  <si>
    <t>25-29</t>
  </si>
  <si>
    <t>30-34</t>
  </si>
  <si>
    <t>35-39</t>
  </si>
  <si>
    <t>40-44</t>
  </si>
  <si>
    <t>45-49</t>
  </si>
  <si>
    <t>50-54</t>
  </si>
  <si>
    <t>55-59</t>
  </si>
  <si>
    <t>60-64</t>
  </si>
  <si>
    <t>65-69</t>
  </si>
  <si>
    <t>70-74</t>
  </si>
  <si>
    <t>75-79</t>
  </si>
  <si>
    <t>80+</t>
  </si>
  <si>
    <t>GRAND TOTAL</t>
  </si>
  <si>
    <r>
      <t>Indicator</t>
    </r>
    <r>
      <rPr>
        <sz val="11"/>
        <color theme="1"/>
        <rFont val="Calibri"/>
        <family val="2"/>
        <scheme val="minor"/>
      </rPr>
      <t xml:space="preserve">     </t>
    </r>
  </si>
  <si>
    <t>Victims of crime</t>
  </si>
  <si>
    <r>
      <t>Category</t>
    </r>
    <r>
      <rPr>
        <sz val="11"/>
        <color theme="1"/>
        <rFont val="Calibri"/>
        <family val="2"/>
        <scheme val="minor"/>
      </rPr>
      <t xml:space="preserve">     </t>
    </r>
  </si>
  <si>
    <t>Public safety</t>
  </si>
  <si>
    <t>Perception of crime among the population managed and improved</t>
  </si>
  <si>
    <t>Safe during the day</t>
  </si>
  <si>
    <t>Safe at night</t>
  </si>
  <si>
    <t>2010-2013</t>
  </si>
  <si>
    <t>2011-2014</t>
  </si>
  <si>
    <t>Stayed 
the same</t>
  </si>
  <si>
    <t>Increased</t>
  </si>
  <si>
    <t>Decreased</t>
  </si>
  <si>
    <t xml:space="preserve">Free State </t>
  </si>
  <si>
    <t xml:space="preserve">KwaZulu-Natal </t>
  </si>
  <si>
    <t xml:space="preserve">Mpumalanga </t>
  </si>
  <si>
    <t xml:space="preserve">Northern Cape </t>
  </si>
  <si>
    <t>Kwazulu-Natal</t>
  </si>
  <si>
    <t>Percentages</t>
  </si>
  <si>
    <t>Victims of Crime Survey (VoCS) is a countrywide households-based survey that provide about the dynamics of crime from the perspective of households and victims of crime. Explore public perceptions of the activities of the Police, Prosecutors, Courts and Correctional Services(Criminal Justice System) in the prevention of crime and victimisation. Provide complementary data on level of crime within South Africa(RSA) in additions to the statistics published annually by the South African Police Service(SAPS).</t>
  </si>
  <si>
    <t>Statistics South Africa Victims of Crime Survey (VoCS) 2011,2012, 2013/14, 2014/15, 2016/17 and 2017/18</t>
  </si>
  <si>
    <t xml:space="preserve">VoCS 2015/16 covers estimates of crimes as from April 2015 to March 2016 thus covering full years that previous surveys. Data collection for VoCS 2011 and 2012 were conducted from January to March of that year and referred to incidents of crime experienced during the previous year ( January to December). Since 2013, StatsSA has changed the data collection methodology to continuous data collection. Data collection for 2013/14 started in April 2012 and concluded in March 2014 with reference to the crimes that were experienced during the past twelve months (April 2012 to February 2014). The period is referred to as the moving reference period, this is different from 2011 and 2012 collection which were done from January to March and had a fixed reference period from January to December of the previous year. Sample has been distributed evenly over the collection period in the form of quarterly allocations. VoCS 2013/14 is comparable to the previous years VoCS in that several questions have remained unchanged over time. </t>
  </si>
  <si>
    <t xml:space="preserve">Serious Crimes </t>
  </si>
  <si>
    <t xml:space="preserve">To builder safer communities by reducing serious crime </t>
  </si>
  <si>
    <t>All crimes rate - per 100 000 of population</t>
  </si>
  <si>
    <t>2005/6</t>
  </si>
  <si>
    <t>Property Crimes</t>
  </si>
  <si>
    <t>Contact Crimes</t>
  </si>
  <si>
    <t>Theft and commercial crime</t>
  </si>
  <si>
    <t>Damage to property and arson</t>
  </si>
  <si>
    <t xml:space="preserve">Total crimes </t>
  </si>
  <si>
    <t>Ratio of all crimes per 100 000 of the population</t>
  </si>
  <si>
    <t>Serious crime is a combination of contact crimes, contact related crimes, property related crimes and other serious crimes. Crimes dependent on police action were previously measured under this category, but from 14/15 onwards crimes dependent on police action will be measured separately. Statistics on firearms, alcohol and drugs are not included in these totals; these types of crime are mostly detected as a result of police action.</t>
  </si>
  <si>
    <t>South African Police Service (SAPS) annual reports and Crime Statistics 2017/18  * CRIME TARGETS WERE REVISITED</t>
  </si>
  <si>
    <t>The graph is based on change-over-time series using 1994/95 as base year for calculating change over time, while the table uses ratio of crimes committed per 100 000 of the population.
Line on fire arms, alcohol and drugs has been omitted as there crimes are more dependent of police action and are not reported under serious crimes.</t>
  </si>
  <si>
    <r>
      <t>Indicator</t>
    </r>
    <r>
      <rPr>
        <sz val="10"/>
        <rFont val="Arial Narrow"/>
        <family val="2"/>
      </rPr>
      <t xml:space="preserve">     </t>
    </r>
  </si>
  <si>
    <t>Trial ready docket rate</t>
  </si>
  <si>
    <r>
      <t>Category</t>
    </r>
    <r>
      <rPr>
        <sz val="10"/>
        <rFont val="Arial Narrow"/>
        <family val="2"/>
      </rPr>
      <t xml:space="preserve">     </t>
    </r>
  </si>
  <si>
    <t xml:space="preserve"> To builder safer communities by reducing serious crime </t>
  </si>
  <si>
    <t>Table                         Charges referred to court</t>
  </si>
  <si>
    <t>Incomplete/ Carried forward</t>
  </si>
  <si>
    <t>Unfounded</t>
  </si>
  <si>
    <t>Withdrawn</t>
  </si>
  <si>
    <t>2004/5</t>
  </si>
  <si>
    <t>Contact crimes</t>
  </si>
  <si>
    <t>Property crime</t>
  </si>
  <si>
    <t>Damage to property</t>
  </si>
  <si>
    <t>Firearms, drugs and alcohol</t>
  </si>
  <si>
    <t>Other theft and fraud</t>
  </si>
  <si>
    <t>All crimes</t>
  </si>
  <si>
    <t>Trio Crimes</t>
  </si>
  <si>
    <t>2012/2013</t>
  </si>
  <si>
    <t>2013/2014</t>
  </si>
  <si>
    <t>2014/2015</t>
  </si>
  <si>
    <t>2015/2016</t>
  </si>
  <si>
    <t>2016/2017</t>
  </si>
  <si>
    <t>Car jacking</t>
  </si>
  <si>
    <t>House robbery</t>
  </si>
  <si>
    <t>Business robbery</t>
  </si>
  <si>
    <t>Illegal posession of firearms &amp; ammunition</t>
  </si>
  <si>
    <t>Drug-related crime</t>
  </si>
  <si>
    <t>Driving under the influence of alcoholo/drugs</t>
  </si>
  <si>
    <t>Theft other</t>
  </si>
  <si>
    <t>Fraud</t>
  </si>
  <si>
    <t>2017/2018</t>
  </si>
  <si>
    <t>Contact crime</t>
  </si>
  <si>
    <t>Women</t>
  </si>
  <si>
    <t>Children</t>
  </si>
  <si>
    <t>Contact-related</t>
  </si>
  <si>
    <t>Property related</t>
  </si>
  <si>
    <t>Other Serious Crime</t>
  </si>
  <si>
    <t>criminal and violent conduct during public protests</t>
  </si>
  <si>
    <t xml:space="preserve">Serious commercial </t>
  </si>
  <si>
    <t>Charges referred to court by the SAPS. Charges to court refers to the number of charges where an arrest was made and that were sent to court in a specific month expressed as a percentage of total charges where an arrest was made within that month. Withdrawn refers to number of charges that are withdrawn by the National Prosecuting Authority (NPA) before it can be referred to court in that specific month. Unfounded refers to charges that, after an investigations it was established that no crime has been committed and are thus closed as false. Charges carried forward are charges were still under investigation from the previous years and months that are now carried forward to that speciifc month.Incomplete refer to charges that are still under investigation and are carried over to the next month.</t>
  </si>
  <si>
    <t>SAPS annual reports 2011/12 , Personal Communication on data from Crime Administration System (CAS)</t>
  </si>
  <si>
    <r>
      <rPr>
        <strike/>
        <sz val="10"/>
        <rFont val="Arial Narrow"/>
        <family val="2"/>
      </rPr>
      <t>Note that the published total number ofnew  complaints (Indicator 68) are not the same as the published number of cases in court provided in indicator 69.The Department of Justice &amp; Consitutional Development indicated that this is due to the different dates at which the data was extracted from their information system. The following categoris have been changed as compared to  previous reports.</t>
    </r>
    <r>
      <rPr>
        <sz val="10"/>
        <rFont val="Arial Narrow"/>
        <family val="2"/>
      </rPr>
      <t xml:space="preserve"> Ongoing investigations changed to Incomplete/Carries forward; New complaints changed to New charges and Unresolved changes to Undetected </t>
    </r>
  </si>
  <si>
    <t>New charges</t>
  </si>
  <si>
    <t>Charges referred to court</t>
  </si>
  <si>
    <t>Charges referred to court as a % of Total</t>
  </si>
  <si>
    <t xml:space="preserve">Property crime </t>
  </si>
  <si>
    <t>To reduce the levels of property crime</t>
  </si>
  <si>
    <t>Property Crime rate - per 100 000 of population</t>
  </si>
  <si>
    <t xml:space="preserve">Residential burglary </t>
  </si>
  <si>
    <t>Non-residential burglary</t>
  </si>
  <si>
    <t>Theft of vehicle</t>
  </si>
  <si>
    <t>Theft out of vehicle</t>
  </si>
  <si>
    <t>Stock theft</t>
  </si>
  <si>
    <t xml:space="preserve">Data format </t>
  </si>
  <si>
    <t>Ratio of property crimes per 100 000 of the population based on the 2015 mid-year population estimates</t>
  </si>
  <si>
    <t>property crime is made up of burglary residential and business, theft of and out of motor vehicle and stock theft</t>
  </si>
  <si>
    <t>SAPS annual reports and Crime Statistics 2015/16.</t>
  </si>
  <si>
    <t>The graph is based on change-over-time series using 1994/95 as base year for calculating change over time, while the table uses ratio of crimes committed per 100 000 of the population.</t>
  </si>
  <si>
    <t>To reduce contact crime</t>
  </si>
  <si>
    <t>Contact Crimes rate - per 100 000 of population</t>
  </si>
  <si>
    <t>Social Contact crimes</t>
  </si>
  <si>
    <t>Murder</t>
  </si>
  <si>
    <t>Attempted Murder</t>
  </si>
  <si>
    <t>Common Assault</t>
  </si>
  <si>
    <t>Assault Grievous Body Harm</t>
  </si>
  <si>
    <t>Sexual Offences</t>
  </si>
  <si>
    <t>Aggravated Robbery</t>
  </si>
  <si>
    <t>Common Robbery</t>
  </si>
  <si>
    <t>Ratio of contact crimes per 100 000 of the population</t>
  </si>
  <si>
    <t>the category of contact crime is made up of murder, attempted murder aggravated robbery , common robbery, assault causing grievous bodily harm (GBH), common and sexual offences</t>
  </si>
  <si>
    <t>SAPS annual reports and Crime Statistics 2017/18</t>
  </si>
  <si>
    <t>Aggravated robberies</t>
  </si>
  <si>
    <t>To reduce level of aggravated robberies</t>
  </si>
  <si>
    <t>Selected aggravated robberies - reported cases</t>
  </si>
  <si>
    <t>% increase
/decrease 2016/17 vs 2017/18</t>
  </si>
  <si>
    <t>Carjacking</t>
  </si>
  <si>
    <t>Truck jacking</t>
  </si>
  <si>
    <t>Robbery of cash in transit</t>
  </si>
  <si>
    <t>Common Robberies</t>
  </si>
  <si>
    <t>Bank robbery</t>
  </si>
  <si>
    <t>Robbery at residential premises</t>
  </si>
  <si>
    <t>Robbery at non-residential premises</t>
  </si>
  <si>
    <t>Number of organised crimes</t>
  </si>
  <si>
    <t xml:space="preserve">Aggravated robberies refers to cases of armed robbery, and the trio crimes </t>
  </si>
  <si>
    <t>The graph is based on change-over-time series using 2004/05 as base year for calculating change over time, while the table uses number of reported cases for selected crimes.</t>
  </si>
  <si>
    <t>2007/8</t>
  </si>
  <si>
    <t xml:space="preserve">Drug-Related Crime </t>
  </si>
  <si>
    <t>To increase the reported crimes for unlawful possession of and dealing in drugs</t>
  </si>
  <si>
    <t>Reported Cases</t>
  </si>
  <si>
    <t>Reported cases</t>
  </si>
  <si>
    <t>Crime Ratio per 100 000 of the population</t>
  </si>
  <si>
    <t>Crime ratio</t>
  </si>
  <si>
    <t>Percentage difference on reported cases</t>
  </si>
  <si>
    <t>2003/04-2004/05</t>
  </si>
  <si>
    <t>2004/05-2005/06</t>
  </si>
  <si>
    <t>2005/06-2006/07</t>
  </si>
  <si>
    <t>2006/07-2007/08</t>
  </si>
  <si>
    <t>2007/08-2008/09</t>
  </si>
  <si>
    <t>2008/09-2009/10</t>
  </si>
  <si>
    <t>2009/10-2010/11</t>
  </si>
  <si>
    <t>2010/11-2011/12</t>
  </si>
  <si>
    <t>2011/12-2012/13</t>
  </si>
  <si>
    <t>2012/13-2013/14</t>
  </si>
  <si>
    <t>2013/14-2014/15</t>
  </si>
  <si>
    <t>2014/15-2015/16</t>
  </si>
  <si>
    <t>2015/16 - 2016/17</t>
  </si>
  <si>
    <t>2016/17-2017/18</t>
  </si>
  <si>
    <t>Ratio of Drug-related crime per 100 000 of the population</t>
  </si>
  <si>
    <t>Drug-related crimes include possession, usage, handling, dealing, smuggling and manufacturing.</t>
  </si>
  <si>
    <t>Drug-related crime reported per 100 000 population</t>
  </si>
  <si>
    <t xml:space="preserve">Sexual Offences </t>
  </si>
  <si>
    <t>To reduce the overall level of sexual offences</t>
  </si>
  <si>
    <t>2003/4-2004/5</t>
  </si>
  <si>
    <t>2004/5- 2005/6</t>
  </si>
  <si>
    <t>2005/6-2006/7</t>
  </si>
  <si>
    <t>2006/7- 2007/8</t>
  </si>
  <si>
    <t>2007/8- 2008/9</t>
  </si>
  <si>
    <t>2008/9- 2009/10</t>
  </si>
  <si>
    <t>2015/16-2016/17</t>
  </si>
  <si>
    <t>Ratio of Sexual offenses  per 100 000 of the population</t>
  </si>
  <si>
    <t>Sexual offences are defined by Criminal Law (Sexual Offences and Related Matters) Amendment Act, 2007 (Act 32 of 2007).. Sexual offences is a category of crime which includes rape , sexual assault, contact sexual assault  and sexual offences due to police action</t>
  </si>
  <si>
    <t> Financial Years</t>
  </si>
  <si>
    <t>Sexual offences reported per 100 000 population</t>
  </si>
  <si>
    <t>Conviction rate</t>
  </si>
  <si>
    <t>National Prosecuting Authority</t>
  </si>
  <si>
    <t>Table  1</t>
  </si>
  <si>
    <t xml:space="preserve">National Prosecuting Authority (NPA) data </t>
  </si>
  <si>
    <t>All criminal courts</t>
  </si>
  <si>
    <t>year on year growth 2016/17 vs 2017/18</t>
  </si>
  <si>
    <t>New cases in court</t>
  </si>
  <si>
    <t>LC</t>
  </si>
  <si>
    <t>HC</t>
  </si>
  <si>
    <t>Finalised cases</t>
  </si>
  <si>
    <t>2.2.1</t>
  </si>
  <si>
    <t>Verdict cases</t>
  </si>
  <si>
    <t>2.2.1.1</t>
  </si>
  <si>
    <t>Convictions</t>
  </si>
  <si>
    <t>2.2.2</t>
  </si>
  <si>
    <t>ADRM</t>
  </si>
  <si>
    <t>diversions</t>
  </si>
  <si>
    <t>CJA</t>
  </si>
  <si>
    <t>mediations</t>
  </si>
  <si>
    <t>105 789</t>
  </si>
  <si>
    <t>Cases remaining in the system</t>
  </si>
  <si>
    <t xml:space="preserve">Table 2          </t>
  </si>
  <si>
    <t>Various ratios</t>
  </si>
  <si>
    <t>District courts</t>
  </si>
  <si>
    <t>Regional courts</t>
  </si>
  <si>
    <t>High courts</t>
  </si>
  <si>
    <t xml:space="preserve">Number and percentage </t>
  </si>
  <si>
    <r>
      <t xml:space="preserve">The indicator displays the successful prosecution of cases. </t>
    </r>
    <r>
      <rPr>
        <b/>
        <sz val="10"/>
        <rFont val="Arial"/>
        <family val="2"/>
      </rPr>
      <t>Conviction rate</t>
    </r>
    <r>
      <rPr>
        <sz val="10"/>
        <rFont val="Arial"/>
        <family val="2"/>
      </rPr>
      <t xml:space="preserve"> is defined as the percentage of cases finalised with a verdict in which a guilty verdict was obtained - different targets are set for different forums. ADRM is Alternative Dispute Resolution Methods.</t>
    </r>
    <r>
      <rPr>
        <sz val="10"/>
        <rFont val="Arial"/>
        <family val="2"/>
      </rPr>
      <t xml:space="preserve"> </t>
    </r>
    <r>
      <rPr>
        <b/>
        <sz val="10"/>
        <rFont val="Arial"/>
        <family val="2"/>
      </rPr>
      <t>Cases finalised</t>
    </r>
    <r>
      <rPr>
        <sz val="10"/>
        <rFont val="Arial"/>
        <family val="2"/>
      </rPr>
      <t xml:space="preserve"> includes verdict cases and ADRM. </t>
    </r>
  </si>
  <si>
    <t xml:space="preserve">Table 1 and Table 2 data sourced from National Prosecuting Authority Annul 2017/18 report. The 2017 publication will show the different levels of courts(District, Regional and High Courts) for annual performances.Cases removed from the Roll and cases disposed are no longer reported by NPA </t>
  </si>
  <si>
    <r>
      <t>2.2.1 (Verdict cases) + 2.2.2 (ADRM) = 2.2 (Finalised cases) . 2.2.1.1 (Convictions) + Acquittals(</t>
    </r>
    <r>
      <rPr>
        <i/>
        <sz val="10"/>
        <rFont val="Arial"/>
        <family val="2"/>
      </rPr>
      <t>Not presented here</t>
    </r>
    <r>
      <rPr>
        <sz val="10"/>
        <rFont val="Arial"/>
        <family val="2"/>
      </rPr>
      <t>) = 2.2.1 (Verdict cases)
The ADRM includes  Diversions, Informal Mediations and  Child Justice Act diversions.
The definition of number of verdict cases has been amended from 2009/10 to regard Section 57A payments as convictions.</t>
    </r>
  </si>
  <si>
    <t xml:space="preserve">Total number of inmates </t>
  </si>
  <si>
    <t>Reduction of crime</t>
  </si>
  <si>
    <t>To provide effective rehabilitation of offenders</t>
  </si>
  <si>
    <t>Number of inmates in correctional facilities</t>
  </si>
  <si>
    <t>Sentenced offenders</t>
  </si>
  <si>
    <t>Remand detainees</t>
  </si>
  <si>
    <t xml:space="preserve">Sentenced offenders per crime category- average per year </t>
  </si>
  <si>
    <t>Economical</t>
  </si>
  <si>
    <t>Aggressive</t>
  </si>
  <si>
    <t>Sexual</t>
  </si>
  <si>
    <t>Narcotics</t>
  </si>
  <si>
    <t>Sentence categories - average per year</t>
  </si>
  <si>
    <t xml:space="preserve">Between  5 and 7 Years </t>
  </si>
  <si>
    <t xml:space="preserve">Between  7 and 10 Years </t>
  </si>
  <si>
    <t xml:space="preserve">Between  10 and 15 Years </t>
  </si>
  <si>
    <t xml:space="preserve">Between  15 and 20 Years </t>
  </si>
  <si>
    <t xml:space="preserve">More than  20 Years </t>
  </si>
  <si>
    <t>Life Sentence</t>
  </si>
  <si>
    <t xml:space="preserve">Number of inmates in correctional facilities.
The term "Remand Detainees" is inclusive of all categories of un-sentenced persons in DCS facilities, awaiting further action by a court, i.e. persons awaiting trial, awaiting sentencing, awaiting extradition. The definition by its nature excludes sentenced offenders (even when returned from parole break) as well as state patients (where a decision by a court has already been made) and persons awaiting deportation. The term remand detainee is inclusive of the following categories. Remand detainees detained pending observation at the Mental Health Establishment; remand detainees detained in line with section 7 of the Extradition Act; and remand detainees who have been convicted and waiting for sentencing. </t>
  </si>
  <si>
    <t>Department of Correctional Services, Annual Report 2017/18 and personal communication</t>
  </si>
  <si>
    <t>Rehabilitation of offenders</t>
  </si>
  <si>
    <t>Reduction of repeat-offending and social re-integration</t>
  </si>
  <si>
    <t>Number of offenders that benefitted from rehabilitation</t>
  </si>
  <si>
    <t>Correctional Programmes</t>
  </si>
  <si>
    <t>Development Programmes</t>
  </si>
  <si>
    <t>Skills</t>
  </si>
  <si>
    <t>Production workshops</t>
  </si>
  <si>
    <t>Agriculture</t>
  </si>
  <si>
    <t>Psychological Services</t>
  </si>
  <si>
    <t>Social work</t>
  </si>
  <si>
    <t>Spiritual care</t>
  </si>
  <si>
    <t>Caseload per year</t>
  </si>
  <si>
    <t>Parolees</t>
  </si>
  <si>
    <t>61 698</t>
  </si>
  <si>
    <t>53 615</t>
  </si>
  <si>
    <t>Probationers</t>
  </si>
  <si>
    <t>54 225</t>
  </si>
  <si>
    <t>107 840</t>
  </si>
  <si>
    <t>Rehabilitation programmes as provided by Department of correctional services. Rehabilitation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 Correctional programmes provides needs based correctional programmes in line with the correctional sentence plans, which entail targeting all elements associated with offending behaviours and focusing on the offences for which persons are incarcerated. Development programmes provides programmes and services aimed at developing competencies by providing opportunities for skills and social development. Psychological services, Social work, Spiritual care services need based programmes and services are aimed at maintaining the personal wellbeing of the incarcerated persons be facilitating social functioning, spiritual, moral and psychological wellbeing.</t>
  </si>
  <si>
    <t>Department of Correctional services annual report 2017/18, personal communication</t>
  </si>
  <si>
    <t>Parole and Probation</t>
  </si>
  <si>
    <t xml:space="preserve">Percentage of Parolees and Probationers without violations </t>
  </si>
  <si>
    <t>Parolee Caseload</t>
  </si>
  <si>
    <t>Parolee without Violations</t>
  </si>
  <si>
    <t>Percentage of Parolees without violations</t>
  </si>
  <si>
    <t>Probation</t>
  </si>
  <si>
    <t xml:space="preserve">Probationer Caseload </t>
  </si>
  <si>
    <t>16 178</t>
  </si>
  <si>
    <t>16 131</t>
  </si>
  <si>
    <t>Probationer without Violations</t>
  </si>
  <si>
    <t>15 914</t>
  </si>
  <si>
    <t>Percentage of Probationers without violations</t>
  </si>
  <si>
    <t>Number and percentage</t>
  </si>
  <si>
    <t>Parolee refers to a person who has been placed out of correctional centre before the expiry of the sentence to serve the remainder of his/her sentence of imprisonment in the community under the supervision and control of Community Corrections.
Probationer refers to a person who is serving a sentence of correctional supervision and was sentenced by a court of law to correctional supervision or has been placed on correctional supervision by the CSPB/National Commissioner or his/her delegate.</t>
  </si>
  <si>
    <t>Department of Correctional services Annual Report 2015/16, personal communication</t>
  </si>
  <si>
    <t>Road accidents</t>
  </si>
  <si>
    <t>To reduce the number of road accidents and fatalities</t>
  </si>
  <si>
    <t>Road accidents and fatalities</t>
  </si>
  <si>
    <t>Motorised vehicles registered</t>
  </si>
  <si>
    <t>Fatal road accidents (per 10 000 motorised vehicles)</t>
  </si>
  <si>
    <t>Fatalities (per 10 000 motorised vehicles)</t>
  </si>
  <si>
    <t>Road accidents as a % of motorised vehicle registered</t>
  </si>
  <si>
    <t>Number of fatal road accidents</t>
  </si>
  <si>
    <t>Number of fatalities</t>
  </si>
  <si>
    <t>Number, Rate, Percent and Index</t>
  </si>
  <si>
    <t>Definitions</t>
  </si>
  <si>
    <t>Fatalities refer to road accidents which resulted in death; fatal road accidents refer to motor vehicle crashes in which at least one person was killed.</t>
  </si>
  <si>
    <t>Road traffic offence index refer to a combination of critical offences (speed, alcohol and some driver and vehicle fitness aspects) expressed in terms of present standards for the various offences.</t>
  </si>
  <si>
    <t>Strength of Civil Society</t>
  </si>
  <si>
    <t>Voice and accountability</t>
  </si>
  <si>
    <t>To achieve participation of citizens in civil-society organisations</t>
  </si>
  <si>
    <t>Membership of voluntary organizations</t>
  </si>
  <si>
    <t>Korea</t>
  </si>
  <si>
    <t>1994-1998</t>
  </si>
  <si>
    <t>2005-2009</t>
  </si>
  <si>
    <t>2010-2014</t>
  </si>
  <si>
    <t>Church or religious</t>
  </si>
  <si>
    <t>Sport and recreation</t>
  </si>
  <si>
    <t>Art, music or educational</t>
  </si>
  <si>
    <t>Labour union</t>
  </si>
  <si>
    <t xml:space="preserve">Political party </t>
  </si>
  <si>
    <t>Environmental</t>
  </si>
  <si>
    <t>Professional</t>
  </si>
  <si>
    <t>Charitable</t>
  </si>
  <si>
    <t xml:space="preserve">Other voluntary </t>
  </si>
  <si>
    <t>Respondents were asked to indicated whether they: (1) Do not belong; (2) are an inactive member; or (3) an active member of each voluntary organisation. The percentages shown are those that indicated they are ACTIVE MEMBERS.</t>
  </si>
  <si>
    <t xml:space="preserve">World Values Survey- University of Stellenbosch, Wave 1-6. http://www.worldvaluessurvey.org/WVSOnline.jsp </t>
  </si>
  <si>
    <t>Voter participation</t>
  </si>
  <si>
    <t>To promote high levels of participation of citizens in the democratic electoral process</t>
  </si>
  <si>
    <t>Voter participation in national and provincial elections</t>
  </si>
  <si>
    <t>Voter participation in local elections</t>
  </si>
  <si>
    <t>Voting age population (VAP)</t>
  </si>
  <si>
    <t>VAP registered</t>
  </si>
  <si>
    <t>no registration</t>
  </si>
  <si>
    <t xml:space="preserve">Turnout </t>
  </si>
  <si>
    <t>Turnout</t>
  </si>
  <si>
    <t>% Turnout of VAP</t>
  </si>
  <si>
    <t xml:space="preserve"> % Turnout of VAP</t>
  </si>
  <si>
    <t>% Turnout of registered VAP</t>
  </si>
  <si>
    <t>Under 35 years</t>
  </si>
  <si>
    <t>under 35 years</t>
  </si>
  <si>
    <t>VAP under 35</t>
  </si>
  <si>
    <t>VAP under 35 registered</t>
  </si>
  <si>
    <t>No turnout data</t>
  </si>
  <si>
    <t>Turnout under 35 years</t>
  </si>
  <si>
    <t xml:space="preserve"> % Turnout of under 35 VAP</t>
  </si>
  <si>
    <t>% Turnout of registered under 35 VAP</t>
  </si>
  <si>
    <t>Number, Percentages</t>
  </si>
  <si>
    <t>Total population of at least 18 years of age (prisoners voted in 1999 and 2004 but not in the local government elections of 2000 and 2006)
VAP refers to Voting Age Population</t>
  </si>
  <si>
    <t xml:space="preserve">State of the Nation, South Africa 2007. Human Sciences Research Council (HSRC) 2007/www.elections.org.za. Independent Electoral Commission (IEC).
Statistics South Africa, Census 2011 Report  No. 03-01-42 ; P0302 - Mid-year population estimates, report tables 2016. 
</t>
  </si>
  <si>
    <t>Voter Turnout percentage are slightly different from what is published on the IEC website due to the difference in calculation.
IEC uses Max Votes/ (Registered Voters + MEC7 Votes) where MEC7 votes relates to a situation where a person has applied for registration, has the receipt of proof but was not included on the voter's roll. * No registration for the specific years.</t>
  </si>
  <si>
    <t>Voters, per province</t>
  </si>
  <si>
    <t>To promote equal participation of all citizens in the democratic electoral process across all provinces</t>
  </si>
  <si>
    <t xml:space="preserve">Voters in national and provincial elections, disaggregated by province </t>
  </si>
  <si>
    <t>Registered</t>
  </si>
  <si>
    <t xml:space="preserve">Voted </t>
  </si>
  <si>
    <t>Voted</t>
  </si>
  <si>
    <t>Out of Country</t>
  </si>
  <si>
    <t>N/A **</t>
  </si>
  <si>
    <t xml:space="preserve">Voters in local elections, disaggregated by province </t>
  </si>
  <si>
    <t>Numbers, Percentages</t>
  </si>
  <si>
    <t>Total population of at least 18 years of age (prisoners voted in 1999 and 2004 but not in the local government elections of 2000 and 2006)</t>
  </si>
  <si>
    <t>Independent Electoral Commission (IEC).</t>
  </si>
  <si>
    <t>The data does not include changes that occur after the first results have been published and by elections. Out of Country registrations do not include other registered voters applying to vote abroad</t>
  </si>
  <si>
    <t>Percentage of women who are members of legislative bodies</t>
  </si>
  <si>
    <t>To increase the participation and representation of women in legislative bodies</t>
  </si>
  <si>
    <t>Women members of Parliament and Provincial Legislatures</t>
  </si>
  <si>
    <t>Parliament</t>
  </si>
  <si>
    <t>Provincial Legislatures</t>
  </si>
  <si>
    <t xml:space="preserve">Women members of Local Government Councils as per the major Local Government Elections </t>
  </si>
  <si>
    <t>Proportional Representation</t>
  </si>
  <si>
    <t>Ward</t>
  </si>
  <si>
    <t>Overall</t>
  </si>
  <si>
    <t>Northern Province</t>
  </si>
  <si>
    <t>2 123</t>
  </si>
  <si>
    <t>4 811</t>
  </si>
  <si>
    <t>1 411</t>
  </si>
  <si>
    <t>4 277</t>
  </si>
  <si>
    <t>Member of national and provincial legislatures; member of Cabinet, Provincial Executive Councils and Local Government Councils as per each major election. PR refers to Proportional Representation</t>
  </si>
  <si>
    <t>Independent Electoral Commission (IEC)</t>
  </si>
  <si>
    <t>Confident in a happy future for all races</t>
  </si>
  <si>
    <t>Social cohesion and social capital</t>
  </si>
  <si>
    <t>To promote social cohesion and eliminate racism while building the nation.</t>
  </si>
  <si>
    <t xml:space="preserve">May </t>
  </si>
  <si>
    <t>Aug/Sep 17</t>
  </si>
  <si>
    <t>Jan/Mar 18</t>
  </si>
  <si>
    <t>Proportion of South Africa's adult population who express confidence in a happy future for all races.</t>
  </si>
  <si>
    <t>Government Communication and Information System (GCIS) based on Ipsos data.</t>
  </si>
  <si>
    <t>Ipsos (Former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t>
  </si>
  <si>
    <t>Public opinion on race relations</t>
  </si>
  <si>
    <t xml:space="preserve">To promote social cohesion and eliminate racism while building the nation. </t>
  </si>
  <si>
    <t>By 2019, 65% of the population should be of the opinion that race relations are improving</t>
  </si>
  <si>
    <t>Race relations improving</t>
  </si>
  <si>
    <t>Number of those who were of the opinion that race relations are improving expressed as a proportion of the total population</t>
  </si>
  <si>
    <t>Biannual series has been used for the graph while the table provides annual data. The annual data has been obtained by averaging the two points as obtained in May and November. Ipsos (Former Markinor)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t>
  </si>
  <si>
    <t xml:space="preserve">Nov </t>
  </si>
  <si>
    <t xml:space="preserve">Race relations improving </t>
  </si>
  <si>
    <t>Country going in the right direction</t>
  </si>
  <si>
    <t>To promote social cohesion while building the nation</t>
  </si>
  <si>
    <t>Year 1</t>
  </si>
  <si>
    <t>Year 2</t>
  </si>
  <si>
    <t>Year 3</t>
  </si>
  <si>
    <t>Year 4</t>
  </si>
  <si>
    <t>Year 5</t>
  </si>
  <si>
    <t>Q1</t>
  </si>
  <si>
    <t>Q2</t>
  </si>
  <si>
    <t>1994-1999</t>
  </si>
  <si>
    <t>1999-2004</t>
  </si>
  <si>
    <t>2004-2009</t>
  </si>
  <si>
    <t>2009-2014</t>
  </si>
  <si>
    <t>2014-2019</t>
  </si>
  <si>
    <t>Proportion of SA adult population who feel the country is going in the right direction</t>
  </si>
  <si>
    <t>Government Communication and Information System (GCIS) based on Markinor data.</t>
  </si>
  <si>
    <t xml:space="preserve">Ipsos (Fomer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year 4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 </t>
  </si>
  <si>
    <t>Identity based on self-description</t>
  </si>
  <si>
    <t xml:space="preserve">To promote social cohesion while building the nation </t>
  </si>
  <si>
    <t>By 2019, 60 percent of the population prefers to associate with their South African identity</t>
  </si>
  <si>
    <t xml:space="preserve">Table     </t>
  </si>
  <si>
    <t>How South Africans describe themselves (self-description)</t>
  </si>
  <si>
    <t>As an African</t>
  </si>
  <si>
    <t>As South African</t>
  </si>
  <si>
    <t>By race group</t>
  </si>
  <si>
    <t>By language group</t>
  </si>
  <si>
    <t>Rest of self descriptors</t>
  </si>
  <si>
    <t>First self-descriptors by South Africa's adult population as a form of primary identity</t>
  </si>
  <si>
    <t>Government Communication and Information System (GCIS) based on Future Fact Mindset Surveys.</t>
  </si>
  <si>
    <t>Future Fact regular surveys, based on a national sample of 3 000, conducted once a year amongst aged 15 years and older. In 2007 there were more categories included compared to 2004, but given that the figure is not very high they have been grouped under "rest of self-descriptors", including "cultural group", "religion" as well as "uncertain/don't know" category. Data for 2010 and 2013 is not available since the self-description questions were not part of the survey in these years.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t>
  </si>
  <si>
    <t>Pride in being South African</t>
  </si>
  <si>
    <t>To promote social cohesion and national identity. By 2019,75 percent of South Africans should reflect pride in being South African</t>
  </si>
  <si>
    <t>Qrt 1</t>
  </si>
  <si>
    <t>Qrt 2</t>
  </si>
  <si>
    <t>Qrt 3</t>
  </si>
  <si>
    <t>Qrt 4</t>
  </si>
  <si>
    <t>Pride by race group</t>
  </si>
  <si>
    <t>Pride by gender</t>
  </si>
  <si>
    <t>Black</t>
  </si>
  <si>
    <t>Indian</t>
  </si>
  <si>
    <t xml:space="preserve">Percentage of those surveyed who take pride to be South African </t>
  </si>
  <si>
    <t>Government Communications' (GCIS) National Tracker Survey</t>
  </si>
  <si>
    <t>The GCIS tracker survey previously conducted weekly and results presented quarterly. The survey has a cumulative sample of 3 840 until mid-2010. From mid-2010 to mid-2011, the annual sample size is 9 600 with 2 400 respondents interviewed on a quarterly basis. From mid-2012 to mid-2014, the annual sample size was 14 000 with 3 500 respondents interviewed on a quarterly basis. Quarterly data for the years 2011/12, 2012/13, 2013/14 and 2014/15 were averaged to obtain an annual data point. Sample for 2014 included younger youth (15+), after weighting there was no statistical difference. From 2015/16 the survey based on a sample of 3 500 conducted twice per financial year. Field work for this survey is nomarlly done during August/September and January/March of each financial year. Two data points for the financial year were averaged to obtain an annual data point.</t>
  </si>
  <si>
    <t>Peace operations</t>
  </si>
  <si>
    <t>Peace, security and stability on the Continent</t>
  </si>
  <si>
    <t xml:space="preserve">To promote peace, security and stability in the region and continent </t>
  </si>
  <si>
    <t>South Africa's involvement in Peacekeeping Operations in Africa</t>
  </si>
  <si>
    <t>Op MISTRAL</t>
  </si>
  <si>
    <t>MONUC (DRC)</t>
  </si>
  <si>
    <t>IEMF (DRC)</t>
  </si>
  <si>
    <t>TPVM (DRC)</t>
  </si>
  <si>
    <t>MISSION THEBE</t>
  </si>
  <si>
    <t>Training of Armed forces (DRC)</t>
  </si>
  <si>
    <r>
      <rPr>
        <b/>
        <u/>
        <sz val="8"/>
        <rFont val="Arial"/>
        <family val="2"/>
      </rPr>
      <t>Note</t>
    </r>
    <r>
      <rPr>
        <b/>
        <sz val="8"/>
        <rFont val="Arial"/>
        <family val="2"/>
      </rPr>
      <t>: The SA Army withdrew in 2016</t>
    </r>
  </si>
  <si>
    <t>TEAM BULISA</t>
  </si>
  <si>
    <t>Advosiry team to Armed Forces (DRC)</t>
  </si>
  <si>
    <r>
      <rPr>
        <b/>
        <u/>
        <sz val="8"/>
        <rFont val="Arial"/>
        <family val="2"/>
      </rPr>
      <t>Note</t>
    </r>
    <r>
      <rPr>
        <b/>
        <sz val="8"/>
        <rFont val="Arial"/>
        <family val="2"/>
      </rPr>
      <t>: Current figures</t>
    </r>
  </si>
  <si>
    <t>UNMEE (Eritrea and Ethiopia)</t>
  </si>
  <si>
    <t>OLMEE (Eritrea and Ethiopia)</t>
  </si>
  <si>
    <t>SAPSD (Burundi)</t>
  </si>
  <si>
    <t>AMIB (Burundi)</t>
  </si>
  <si>
    <t>ONUB (Burundi)</t>
  </si>
  <si>
    <t>1 100</t>
  </si>
  <si>
    <t>BINUB (Burundi)</t>
  </si>
  <si>
    <t>AUPF (Burundi)-AUSTF (Burundi)</t>
  </si>
  <si>
    <t>UNMIL (Liberia)</t>
  </si>
  <si>
    <t>UNMIS (Southern Sudan)</t>
  </si>
  <si>
    <t>AMIS (Southern Sudan)</t>
  </si>
  <si>
    <t>Op CORDITE</t>
  </si>
  <si>
    <t>UNAMID (Sudan-Darfur)</t>
  </si>
  <si>
    <t>Southern Sudan-Uganda</t>
  </si>
  <si>
    <t>Deployment of forces to minimise threat of piracy on East coast of Africa (Mozambique)</t>
  </si>
  <si>
    <t>Op MISTRAL (MONUC - DRC)</t>
  </si>
  <si>
    <t>Op CORDITE (UNAMID Sudan-Darfur)</t>
  </si>
  <si>
    <t>Op COPPER (Anti-piracy)</t>
  </si>
  <si>
    <t>Op VIMBEZELA</t>
  </si>
  <si>
    <t>Total number of personnel deployed</t>
  </si>
  <si>
    <t>CENTRAL AFRICAN REPUBLIC (CAR): Deployment of SANDF in CAR to assist with capacity building</t>
  </si>
  <si>
    <t>NEPAL</t>
  </si>
  <si>
    <t xml:space="preserve">OTHER  PEACE OPERATIONS </t>
  </si>
  <si>
    <t>Number of Personel Deployed in Peacekeeping Operations on the African Continent</t>
  </si>
  <si>
    <t>Peacekeeping incorporates a complex model of many elements such as military, police and civilians, working together to help lay foundations of a sustainable peace, with the purpose to maintain ceasefires, implementation of comprehensive peace settlements and the protection of humanitarian operations (Chapter VI of the United Nations Charter). Tasks such as the protection of civilians in imminent threat of physical violence are mandated under Chapter VII of the United Nations Charter.</t>
  </si>
  <si>
    <t>The data that have been provided reflects the maximum number of personnel that were deployed in the specific peacekeeping operations during the specific year. Other peace operation includes special envoys in Burundi, Sudan and Uganda. Additional data on specific peace keeping operations available in the Excel version on the DPME website:
www.thepresidency-dpme.gov.za</t>
  </si>
  <si>
    <t>Department of Defence and Military Vetarans - Joint Operations Division</t>
  </si>
  <si>
    <t>Development cooperation</t>
  </si>
  <si>
    <t xml:space="preserve">Sustainable development </t>
  </si>
  <si>
    <t>Contribute to sustainable development and an economically integrated Africa by supporting regional and continental processes so as to significantly increase intra-Africa trade and to champion sustainable development and opportunities in Africa</t>
  </si>
  <si>
    <t>Countries assisted through development cooperation's</t>
  </si>
  <si>
    <t>Number of initiatives</t>
  </si>
  <si>
    <t>Amount (R 'million)</t>
  </si>
  <si>
    <t>4*</t>
  </si>
  <si>
    <t>Number, Amount in millions of rands</t>
  </si>
  <si>
    <t>Initiatives refer to countries who are assisted through African Renaissance Fund (ARF)</t>
  </si>
  <si>
    <t xml:space="preserve">Department of International Relations and Cooperation (DIRCO). </t>
  </si>
  <si>
    <t>*Expenditure is only recognised once concurrence is granted by the Minister of Finance. For financial year 2010/11 other projects that were funded were not recognised as expenditure against the fund. Where applicable, exchange rate of R11.58 for 2014 is used to compare with the US dollar</t>
  </si>
  <si>
    <t>Sustainable tourism</t>
  </si>
  <si>
    <t>Economic growth and Employment</t>
  </si>
  <si>
    <t>To increase foreign tourism to South Africa and create conditions for sustainable tourism growth</t>
  </si>
  <si>
    <t>Tourism in South Africa</t>
  </si>
  <si>
    <t>1.</t>
  </si>
  <si>
    <t>Total Tourist Arrivals (excluding Transit)</t>
  </si>
  <si>
    <t>Total Africa (including Indian Ocean Islands)</t>
  </si>
  <si>
    <t>Total Overseas</t>
  </si>
  <si>
    <t>Unspecified</t>
  </si>
  <si>
    <t>Contribution to employment</t>
  </si>
  <si>
    <t>2.</t>
  </si>
  <si>
    <t>Direct Contribution to employment</t>
  </si>
  <si>
    <t>Direct Contribution of travel and tourism as % of total SA employment</t>
  </si>
  <si>
    <t>3.</t>
  </si>
  <si>
    <t>Total (Direct and Indirect) contribution of Travel and tourism to employment</t>
  </si>
  <si>
    <t>1  253 500</t>
  </si>
  <si>
    <t>Total contribution (Direct and Indirect) of travel and tourism as % total SA employment</t>
  </si>
  <si>
    <t>4.</t>
  </si>
  <si>
    <t>Contribution to Gross Domestic Product</t>
  </si>
  <si>
    <t>Direct contribution to Gross domestic Product (GDP)</t>
  </si>
  <si>
    <t xml:space="preserve"> Direct contribution of travel and tourism as % of SA GDP</t>
  </si>
  <si>
    <t>5.</t>
  </si>
  <si>
    <t xml:space="preserve">Total (Direct and Indirect)contribution of travel and Tourism to GDP </t>
  </si>
  <si>
    <t>Total (Direct and Indirect) contribution of travel and tourism as % of total SA GDP</t>
  </si>
  <si>
    <t>Numbers, Rands in billion</t>
  </si>
  <si>
    <t xml:space="preserve">1. Statistics South Africa and South African Tourism:  Tourist arrivals (excluding transit
2,4. Statistics South Africa's National accounts, Tourism Satellite Accounts for South Africa (Final 2014, Provisional 2015 and 2016)
3,5. World Travel and Tourism council (WTTC): June 2018  Travel and Tourism Economic Data  
</t>
  </si>
  <si>
    <t xml:space="preserve">The tourism industries supply goods and services to both tourists and non tourists
</t>
  </si>
  <si>
    <t>UNWTO (United Nations World Tourism Organisation) defines a traveller as  someone who moves between different geographical locations for any purpose or duration. A foreign traveller refers to a traveller who is not a South African citizen or permanent resident. Total employment in the tourism industry refers to employees who supply goods and services to both tourists and non tourists while Tourism direct employment refers to employees who are directly engaged producing goods and services consumed by tourists only.
Foreign tourist is any visitor travelling to a place other than that of his /her usual environment for more than one night but less that twelve months, and whose main purpose of the trip is other than the exercise of an activity remunerated from within the place visited</t>
  </si>
  <si>
    <t>Mission operations and diplomats trained</t>
  </si>
  <si>
    <t>Bilateral political and economic relations</t>
  </si>
  <si>
    <t>To conduct and co-ordinate South Africa’s international relations and promote its foreign-policy objectives and to promote and protect South Africa's national interests and values through bilateral and multilateral interactions</t>
  </si>
  <si>
    <t xml:space="preserve">Mission operations </t>
  </si>
  <si>
    <t>Africa</t>
  </si>
  <si>
    <t>Latin America</t>
  </si>
  <si>
    <t>Asia/ Australasia</t>
  </si>
  <si>
    <t>North America</t>
  </si>
  <si>
    <t>Europe</t>
  </si>
  <si>
    <t>All Missions</t>
  </si>
  <si>
    <t>Diplomats trained</t>
  </si>
  <si>
    <t>Foreign Service/Diplomatic training: Foreign Affairs</t>
  </si>
  <si>
    <t>hyt</t>
  </si>
  <si>
    <t>Heads of Mission training</t>
  </si>
  <si>
    <t>Foreign Language training</t>
  </si>
  <si>
    <t>Foreign representation in South Africa</t>
  </si>
  <si>
    <t>Diplomatic missions</t>
  </si>
  <si>
    <t>Non-Resident representatives</t>
  </si>
  <si>
    <t>16</t>
  </si>
  <si>
    <t>Consular Posts</t>
  </si>
  <si>
    <t>Honorary consular posts</t>
  </si>
  <si>
    <t>International organisations</t>
  </si>
  <si>
    <t>Other (Taipei Liaison office)</t>
  </si>
  <si>
    <t>Total foreign representation</t>
  </si>
  <si>
    <t xml:space="preserve">Number 
</t>
  </si>
  <si>
    <t xml:space="preserve">A mission is defined as an important assignment carried out for political, religious or commercial purposes, typically involving travel. Training that is offered to officials in preparation for Foreign Services and Heads of Mission (Ambassadors , High Commissioners and Consul-Generals) who have been appointed to represent government in enhancing and promoting relations with other governments. It also includes officials who are sent to represent South Africa at the various multilateral fora including the UN, AU, SADC and other international fora. International training programmes include Foreign Service training, language and other international programmes. </t>
  </si>
  <si>
    <t xml:space="preserve"> Department of International Relations and Cooperation
</t>
  </si>
  <si>
    <t>All missions</t>
  </si>
  <si>
    <t>International Agreements</t>
  </si>
  <si>
    <t>Multilateral and bilateral political and economic relations</t>
  </si>
  <si>
    <t>To conduct and co-ordinate South Africa's international relations and promote its foreign policy objectives</t>
  </si>
  <si>
    <t>South Africa's International Agreements</t>
  </si>
  <si>
    <t>Number per year</t>
  </si>
  <si>
    <t>Multilateral</t>
  </si>
  <si>
    <t>Bilateral</t>
  </si>
  <si>
    <t>Treaties, Conventions, protocols, MOU's.</t>
  </si>
  <si>
    <t>International agreements concluded by South Africa with one or more states/ organisations, these include treaties, conventions, protocols, memoranda of understanding and covenants.</t>
  </si>
  <si>
    <t>Number of agreements ( Bilateral or Multilateral) refer to annual aggregated total agreements per year and are cumulative. For example in 2010 there were 80 agreements in existence and in 2011, 4 new agreements were added, aggregating the figure to 84. Where there are fewer agreements, it means that some have lapsed compared to the pervious year.</t>
  </si>
  <si>
    <t xml:space="preserve">Official South African Treaty Register of the Republic of South Africa, data supplied by Department of International Relations and Cooperation. </t>
  </si>
  <si>
    <t>Revenue collection</t>
  </si>
  <si>
    <t>Government effectiveness</t>
  </si>
  <si>
    <t>To strengthen the revenue-collection capacity of government</t>
  </si>
  <si>
    <t>Tax Register and Revenue Collection ( Nominal Rand)</t>
  </si>
  <si>
    <t>Annual tax relief</t>
  </si>
  <si>
    <t>Income Tax register</t>
  </si>
  <si>
    <t>no</t>
  </si>
  <si>
    <t>Personal Income Tax</t>
  </si>
  <si>
    <t>Corporate Income Tax</t>
  </si>
  <si>
    <t>Trusts</t>
  </si>
  <si>
    <t>Value Added Tax (VAT)</t>
  </si>
  <si>
    <t>Custom Tax</t>
  </si>
  <si>
    <t>Personal Income Tax (PIT)</t>
  </si>
  <si>
    <t>Corporate Income Tax (CIT)</t>
  </si>
  <si>
    <t>Customs Duties</t>
  </si>
  <si>
    <t>Other tax types</t>
  </si>
  <si>
    <t>Number of tax payers and value of revenue in nominal rands</t>
  </si>
  <si>
    <t>The income tax register is the sum of individual, companies and trusts registered with South African Revenue Service (SARS) for Income Tax. Revenue is the sum of taxes collected in terms of tax laws. Total revenue collection is a sum of Personal Income Tax (PIT), Corporate Income Tax (CIT), Value Added Tax (VAT) and other taxes. Suspense cases are inactive tax cases awaiting deregistration from the tax register.</t>
  </si>
  <si>
    <t>South African Revenue Service (SARS).</t>
  </si>
  <si>
    <t>Personal Income Tax (PIT) and Corporate Income Tax (CIT)  are taxes on income and profits and are a sum of Pay-As-You-Earn (PAYE), provisional payments, assessment payments, interest on overdue taxes less refunds. VAT is an indirect tax on economic activities.
Income tax register included suspense cases from 1996/97 to 2001/02 and excluded suspense cases from 2002/03 until present. Bar graph reflects disaggregated revenue collection according to
different tax types.</t>
  </si>
  <si>
    <t xml:space="preserve"> Audits</t>
  </si>
  <si>
    <t>To reduce the number of national and provincial departments and municipalities receiving qualified, adverse and disclaimer annual audit reports to 15 departments or below</t>
  </si>
  <si>
    <t>Audits</t>
  </si>
  <si>
    <t>National depts.</t>
  </si>
  <si>
    <t>No of nat depts. reported on</t>
  </si>
  <si>
    <t>No of qualified audits</t>
  </si>
  <si>
    <t>% of qualified audits</t>
  </si>
  <si>
    <t>Provincial depts.</t>
  </si>
  <si>
    <t>No of provincial depts. reported on</t>
  </si>
  <si>
    <t>Municipalities</t>
  </si>
  <si>
    <t>No of municipalities reported on</t>
  </si>
  <si>
    <t>Public entities</t>
  </si>
  <si>
    <t>No of public entities reported on</t>
  </si>
  <si>
    <t>General reports of the Auditor-General (AG).</t>
  </si>
  <si>
    <t>Corruption perceptions</t>
  </si>
  <si>
    <t>Anti-corruption</t>
  </si>
  <si>
    <t>Ensure transparency and effective oversight. Improve South Africa's overall ranking position to below 50 by 2019</t>
  </si>
  <si>
    <t>Transparency International Corruption Perception index</t>
  </si>
  <si>
    <t>Ranking position</t>
  </si>
  <si>
    <t>Corruption perception scores</t>
  </si>
  <si>
    <t>Ranking in Transparency International Corruption Perception Index (CPI)</t>
  </si>
  <si>
    <t xml:space="preserve">Transparency International (TI) defines corruption as the abuse on entrusted power for private gain. This definition encompasses corrupt practices in both the public and private sectors.
 </t>
  </si>
  <si>
    <t>The corruption perception Index (CPI) ranks countries according to perception of corruption in the public sector. The CPI is an aggregate indicator that combines different sources of information about corruption, making it possible to compare countries.</t>
  </si>
  <si>
    <t>Transparency International (www.transparency.org)</t>
  </si>
  <si>
    <t>Budget Transparency</t>
  </si>
  <si>
    <t>Good governance</t>
  </si>
  <si>
    <t xml:space="preserve">Ensure transparency and effective oversight </t>
  </si>
  <si>
    <t xml:space="preserve">Table                        </t>
  </si>
  <si>
    <t>Provides extensive information to citizens  (OBI Scores 81 - 100)</t>
  </si>
  <si>
    <t>France</t>
  </si>
  <si>
    <t>Slovenia</t>
  </si>
  <si>
    <t>United States</t>
  </si>
  <si>
    <t>Norway</t>
  </si>
  <si>
    <t>Sweden</t>
  </si>
  <si>
    <t xml:space="preserve">New Zealand </t>
  </si>
  <si>
    <t>Provides significant information to citizens ( OBI Scores 61 - 80)</t>
  </si>
  <si>
    <t xml:space="preserve">Botswana </t>
  </si>
  <si>
    <t>Germany</t>
  </si>
  <si>
    <t>South Korea</t>
  </si>
  <si>
    <t>Czech Republic</t>
  </si>
  <si>
    <t>Peru</t>
  </si>
  <si>
    <t>Ukraine</t>
  </si>
  <si>
    <t>Russia</t>
  </si>
  <si>
    <t>Sri Lanka</t>
  </si>
  <si>
    <t>Italy</t>
  </si>
  <si>
    <t>Georgia</t>
  </si>
  <si>
    <t xml:space="preserve">Czech Republic </t>
  </si>
  <si>
    <t xml:space="preserve">Poland </t>
  </si>
  <si>
    <t>Bulgaria</t>
  </si>
  <si>
    <t>Uganda</t>
  </si>
  <si>
    <t xml:space="preserve">Indonesia </t>
  </si>
  <si>
    <t>Malawi</t>
  </si>
  <si>
    <t>Phillipines</t>
  </si>
  <si>
    <t>Croatia</t>
  </si>
  <si>
    <t>Provides some information to citizens ( OBI Scores 41 - 60)</t>
  </si>
  <si>
    <t>Namibia</t>
  </si>
  <si>
    <t>Egypt</t>
  </si>
  <si>
    <t>Jordan</t>
  </si>
  <si>
    <t>Nepal</t>
  </si>
  <si>
    <t>Afghanistan</t>
  </si>
  <si>
    <t>Bangladesh</t>
  </si>
  <si>
    <t>Costa Rica</t>
  </si>
  <si>
    <t xml:space="preserve">Jordan </t>
  </si>
  <si>
    <t>Pakistan</t>
  </si>
  <si>
    <t>Tanzania</t>
  </si>
  <si>
    <t>Macedonia</t>
  </si>
  <si>
    <t>Serbia</t>
  </si>
  <si>
    <t>Azerbaijan</t>
  </si>
  <si>
    <t>Papua New Guinea</t>
  </si>
  <si>
    <t>Kyrgyz Republic</t>
  </si>
  <si>
    <t>Kazakhstan</t>
  </si>
  <si>
    <t>Turkey</t>
  </si>
  <si>
    <t>Bosnia and Herzegovina</t>
  </si>
  <si>
    <t>Philippines</t>
  </si>
  <si>
    <t>Thailand</t>
  </si>
  <si>
    <t>Honduras</t>
  </si>
  <si>
    <t>Mangolia</t>
  </si>
  <si>
    <t>El Salvador</t>
  </si>
  <si>
    <t>Sierra Leone</t>
  </si>
  <si>
    <t>Guatemala</t>
  </si>
  <si>
    <t>Bosnia</t>
  </si>
  <si>
    <t>Bosnia and
 Herzegovina</t>
  </si>
  <si>
    <t>Dominican Republic</t>
  </si>
  <si>
    <t>Ecuador</t>
  </si>
  <si>
    <t>Mali</t>
  </si>
  <si>
    <t>Nicaragua</t>
  </si>
  <si>
    <t>Zambia</t>
  </si>
  <si>
    <t>Mongolia</t>
  </si>
  <si>
    <t>Mozambique</t>
  </si>
  <si>
    <t>Albania</t>
  </si>
  <si>
    <t>Benin</t>
  </si>
  <si>
    <t>Cameroon</t>
  </si>
  <si>
    <t>Liberia</t>
  </si>
  <si>
    <t>Senegal</t>
  </si>
  <si>
    <t>Burkina Faso</t>
  </si>
  <si>
    <t>Timor-Leste</t>
  </si>
  <si>
    <t>Provides minimal information to citizens  (OBI Scores 21 - 40)</t>
  </si>
  <si>
    <t>Khazakstan</t>
  </si>
  <si>
    <t>Venezuela</t>
  </si>
  <si>
    <t>Trinidada and Tobago</t>
  </si>
  <si>
    <t>Morocco</t>
  </si>
  <si>
    <t>Democratic Republic of Congo</t>
  </si>
  <si>
    <t xml:space="preserve">Algeria </t>
  </si>
  <si>
    <t xml:space="preserve">Cameroon </t>
  </si>
  <si>
    <t xml:space="preserve">Honduras </t>
  </si>
  <si>
    <t>Lebanon</t>
  </si>
  <si>
    <t>Morroco</t>
  </si>
  <si>
    <t>Yemen</t>
  </si>
  <si>
    <t>Tomor-Leste</t>
  </si>
  <si>
    <t>Rwanda</t>
  </si>
  <si>
    <t>Zimbabwe</t>
  </si>
  <si>
    <t>Niger</t>
  </si>
  <si>
    <t>Trinidad and Tobago</t>
  </si>
  <si>
    <t>Angola</t>
  </si>
  <si>
    <t>Sao Tome e Principe</t>
  </si>
  <si>
    <t>Tajikistan</t>
  </si>
  <si>
    <t>Nigeria</t>
  </si>
  <si>
    <t xml:space="preserve">El Salvador </t>
  </si>
  <si>
    <t xml:space="preserve">Uganda </t>
  </si>
  <si>
    <t>Provides scant or no information to citizens ( OBI Scores 0 - 20)</t>
  </si>
  <si>
    <t xml:space="preserve">Bolivia </t>
  </si>
  <si>
    <t xml:space="preserve">Nicaragua </t>
  </si>
  <si>
    <t>Chad</t>
  </si>
  <si>
    <t>Saudi Arabia</t>
  </si>
  <si>
    <t>Algeria</t>
  </si>
  <si>
    <t xml:space="preserve">Vietnam </t>
  </si>
  <si>
    <t>Vietnam</t>
  </si>
  <si>
    <t>Bolivia</t>
  </si>
  <si>
    <t>Fiji</t>
  </si>
  <si>
    <t xml:space="preserve">Mongolia </t>
  </si>
  <si>
    <t xml:space="preserve">Nigeria </t>
  </si>
  <si>
    <t>Cambodia</t>
  </si>
  <si>
    <t>Sudan</t>
  </si>
  <si>
    <t>Equatorial 
Guinea</t>
  </si>
  <si>
    <t>Equatorial Guinea</t>
  </si>
  <si>
    <t>Iraq</t>
  </si>
  <si>
    <t>Myanmar</t>
  </si>
  <si>
    <t>Qatar</t>
  </si>
  <si>
    <t>Equitorial Guinea</t>
  </si>
  <si>
    <t>Houduras</t>
  </si>
  <si>
    <t>Rating</t>
  </si>
  <si>
    <t xml:space="preserve">The International Budget Partnership’s (IBP) Open Budget Survey assesses the availability in each country of eight key budget documents, as well as the apprehensiveness of the data contained in these documents. The Survey also examines the extent of effective oversight provided by legislatures and supreme audit institutions (SAI), as well as the opportunities available to the public to participate in national budget decision-making processes. The Open Budget Index is the world's only independent, comparative measure of central government budget transparency. 
Open Budget Survey assesses the availability in each country of eight key budget documents, as well as the comprehensiveness of the data contained in these
documents. 
The rating is based on a questionnaire with 92 questions relating to categories of availability of budget documentation, the executive's budget proposal and the budget process
 </t>
  </si>
  <si>
    <t>www.openbudgetindex.org</t>
  </si>
  <si>
    <t>Public opinion: Delivery of basic services</t>
  </si>
  <si>
    <t xml:space="preserve">Public trust and confidence in local government </t>
  </si>
  <si>
    <t>Performing well</t>
  </si>
  <si>
    <t>Major Service delivery protests</t>
  </si>
  <si>
    <t>2014 sep</t>
  </si>
  <si>
    <t>Service delivery protests</t>
  </si>
  <si>
    <t>Percent</t>
  </si>
  <si>
    <t xml:space="preserve">Data is based on Ipsos' regular surveys, based on a national sample of 3,500,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Graph uses annual average while the table uses Bi annual data. 
Municipal IQ records data on service delivery protests staged against municipalities, as recocorded by the media (or other public domain sources such as SAPS press releases). Please note that protests that are primarily against councillor candidates (a political issue), demarcation (a national decision, like that of Vuwani) and industrial relations are not included on the Municipal Hotspots Monitor.
</t>
  </si>
  <si>
    <t>Table 1) Government Communication and Information System (GCIS) based on Ipsos data.
Table 2) Municipal IQ press release accessed 13 November 2012. www.MunicipalIQ.co.za</t>
  </si>
  <si>
    <t>Major service protests</t>
  </si>
  <si>
    <t>Ease of Doing Business</t>
  </si>
  <si>
    <t>To improve government's efficiency and effectiveness in attracting investment by creating an environment conducive to business operation</t>
  </si>
  <si>
    <t>Ease of doing business-Rank</t>
  </si>
  <si>
    <t>Change in global  rank</t>
  </si>
  <si>
    <t>no change</t>
  </si>
  <si>
    <t>Slovak Republic</t>
  </si>
  <si>
    <t>Oman</t>
  </si>
  <si>
    <t>Total number of countries</t>
  </si>
  <si>
    <t xml:space="preserve">Doing business in SA </t>
  </si>
  <si>
    <t>Key Indicators</t>
  </si>
  <si>
    <t>Change in Global Rank</t>
  </si>
  <si>
    <t>Getting Credit</t>
  </si>
  <si>
    <t>Protecting Investors</t>
  </si>
  <si>
    <t>Paying Taxes</t>
  </si>
  <si>
    <t>Starting a business</t>
  </si>
  <si>
    <t>Getting electricity</t>
  </si>
  <si>
    <t>Enforcing contracts</t>
  </si>
  <si>
    <t>Registering Property</t>
  </si>
  <si>
    <t>Trading across borders</t>
  </si>
  <si>
    <t xml:space="preserve">The ease of doing business is an oveall measure that gives an indication of where it is easier for domestic small and medium-size firms to do business using quantitative indicators. </t>
  </si>
  <si>
    <t>The economies on the ease of doing business index are ranked from 1 to 190. The index is calculated as the ranking on the simple average of country percentile rankings on each of the 11 areas covered in Doing Business. The index is calculated as the ranking on the simple average of country percentile rankings on each of the 10 areas covered in Doing Business. To make the data comparable across 190 economies, Doing Business uses a standardized business that is 100% domestically owned, has start-up capital equivalent to 10 times income per capita, engages in general industrial or commercial activities and employs between 10 and 50 people within the first month of operations. The rankings for all economies are benchmarked from June 2017 and reported in the country tables. This year’s rankings on the ease of doing business are the average of the economy’s rankings on the 11 areas included in this year’s aggregate ranking excluding . The number of reforms exclude those making it more difficult to do business. A positive change indicates improvement in the index between 2016 and 2017 while a negative change indicates a deterioration. No change in the indication is written as such.</t>
  </si>
  <si>
    <t>http://www.doingbusiness.org - Doing Business Database and Reports</t>
  </si>
  <si>
    <t>Focus</t>
  </si>
  <si>
    <t>Annual data series (annualised rate as a percentage of GDP) is used to update the graph, while the table presents annual data. Additional annual data is available on Excel version on the DPME website: www.thepresidency-dpme.gov.za</t>
  </si>
  <si>
    <t>New charges / CASES</t>
  </si>
  <si>
    <t>Charges / CASES referred to court</t>
  </si>
  <si>
    <t>Charges / CASES referred to court as a % of Total</t>
  </si>
  <si>
    <t xml:space="preserve">Annual percentage growth rates based on constant 2010 rand prices. </t>
  </si>
  <si>
    <t>Some of the totals exceed 100% due to the size of the denominator vs the numerator.</t>
  </si>
  <si>
    <t>Following a maternal death in a hospital, it is standard requirement that the department of health is notified. The Department of Health’s MMR calculation uses the reports that are completed in this process which are analysed by the National Committee of Confidential Enquiry into Maternal Death. The change of RMS report from the previous report is due to a change in estimates of the number of births based on more recent data.</t>
  </si>
  <si>
    <t>To reduce malaria morbidity and mortality by 10 percent each year</t>
  </si>
  <si>
    <t>NSC Examination Report,2017</t>
  </si>
  <si>
    <t>Total Literacy the number of people in a country who can read and write as percentage of total population. In the data obtained from the General and October household surveys. literate adult is defined as a person 20 years and older who has achieved at least seven years of education (i.e. passed grade 7). Illiteracy: Percentage of persons aged 20 years and above with no formal education or highest level of education less than grade 7</t>
  </si>
  <si>
    <t xml:space="preserve">TIMSS was administered to Grade 8 learners in 1999, administered to grades 8 and 9 in 2002, 2011 and 2015. </t>
  </si>
  <si>
    <t>To obtain the highest convictions possible out of all the cases enrolled in court.</t>
  </si>
  <si>
    <t>Transform offenders into law abiding citizens by providing correctional and development programs.</t>
  </si>
  <si>
    <t xml:space="preserve">Road Traffic Management Corporation (RTMC) Annual Report 2017. </t>
  </si>
  <si>
    <t xml:space="preserve">No new missions were opened from the 2009/10 financial year onwards. Foreign language training undertaken on a financial year basis. </t>
  </si>
  <si>
    <t xml:space="preserve">A Qualified audit is defined by Auditor General (AG) (Includes qualified, adverse and disclaimer opinions), where qualified audit opinion refers to financial statements that contain material misstatements in specific amounts or there is insufficient evidence for the auditor to conclude that specific identified amounts included in the financial statements are not materially over or understated.
Adverse audit opinion refers to financial statements that contain misstatements that are not confined to specific amounts or the misstatements that represent a substantial portion of the financial statements.
Disclaimer of audit opinion occurs when a department or public entity has provided insufficient evidence on which to form an audit opinion. The lack of sufficient evidence is not confined to specific amounts or represents a substantial portion of the information contained in the financial statement.
Misstatements refer to incorrect or omitted information in the financial statements transactions or incorrect values placed on assets, liabilities or financial obligations and commitments.
</t>
  </si>
  <si>
    <t>Greenhouse gas emissions</t>
  </si>
  <si>
    <t>Climate Change Mitigation</t>
  </si>
  <si>
    <t>South Africa has committed itself that its GHG emissions will peak in the period 2020 to 2025 in a range with a lower limit of 398 Megatonnes (Mt) CO2-eq and upper limits of 583 Mt CO2-eq and 614 Mt CO2-eq for 2020 and 2025 respectively. Thereafter GHG emissions will plateau for up to ten years within the range with a lower limit of 398 Mt CO2-eq and upper limit of 614 Mt CO2-eq. From 2036 onwards, emissions will decline in absolute terms to a range with lower limit of 212 Mt CO2-eq and upper limit of 428 Mt CO2-eq by 2050.</t>
  </si>
  <si>
    <t>National Greenhouse Gas (ghg) emissions trajectory range</t>
  </si>
  <si>
    <t xml:space="preserve">National GHG Emissions in Mt CO2-eq </t>
  </si>
  <si>
    <t xml:space="preserve">Benchmark Trajectory Upper Range </t>
  </si>
  <si>
    <t xml:space="preserve">Benchmark Trajectory Lower Range </t>
  </si>
  <si>
    <t xml:space="preserve">Millions of tons of greenhouse gases expressed as carbon dioxide equivalents emitted in a specific year </t>
  </si>
  <si>
    <t>The National Greenhouse Gas (GHG) Emissions Indicator measures South Africa’s actual greenhouse gas emissions against the National GHG Emissions Trajectory Range that is used as the benchmark against which the efficacy of GHG mitigation action is currently measured in terms of the National Climate Change Response Policy (2011).</t>
  </si>
  <si>
    <t>Marine Protected Areas (MPA)</t>
  </si>
  <si>
    <t xml:space="preserve">Biodiversity </t>
  </si>
  <si>
    <t>To achieve the NDP-related national target contained in the Outcome 10 delivery agreement which requires the expansion of the continental mainland marine conservation estate from 4 287.532 km2 (0.4% of EEZ) to 32 156.49 km2 (3% of EEZ) by 2019 and the international Aichi Biodiversity Targets that requires that at least 10 percent of specified coastal and marine areas are conserved and properly managed by 2020</t>
  </si>
  <si>
    <t>Accumulative Marine Protected Area expansion as a percentage of South Africa's Exclusive Economic Zone (EEZ)</t>
  </si>
  <si>
    <t>Marine Protected Area is expressed as a percentage of South Africa's continental mainland exclusive economic zone (EEZ) being 1 068 659 km2.  However, South Africa’s EEZ also includes that around the Prince Edward Islands being 466,879 km2, totaling 1 535 538 km2.</t>
  </si>
  <si>
    <t>The Prince Edward Island MPA and EEZ is not included. The international Aichi Biodiversity Target has not been reflected in the graphs as an assessment of South Africa's actual performance against this target requires an analysis of the ecological representatives of our Marine Protected Areas.</t>
  </si>
  <si>
    <t>Significant Year</t>
  </si>
  <si>
    <t>Total MPA</t>
  </si>
  <si>
    <t>Full Protection</t>
  </si>
  <si>
    <t>Partial Protection</t>
  </si>
  <si>
    <t>NDP Target for marine conservation</t>
  </si>
  <si>
    <t>Terrestrial Biodiversity Protection Index</t>
  </si>
  <si>
    <t>To achieve the national target contained in the Outcome 10 delivery agreement which requires the expansion of the conservation estate from 6 to 9 percent by 2018 and the international Aichi Biodiversity Targets that requires that at least 17 percent of specified terrestrial and inland-water areas are conserved and properly managed by 2020.</t>
  </si>
  <si>
    <t>Terrestrial Protected Areas Representivity</t>
  </si>
  <si>
    <t>Measure/Index</t>
  </si>
  <si>
    <t>Per cent land mass under protection</t>
  </si>
  <si>
    <t>NDP Target for land mass under protection</t>
  </si>
  <si>
    <t>Aichi Target (adjusted to strict definition of PA)</t>
  </si>
  <si>
    <t>Ecosystem type data is from the Vegetation Map of South Africa, Lesotho and Swaziland, curated and updated by the South African National Biodiversity Institute (SANBI). Protected area targets are from the Outcome 10 Ministerial performance agreement. The Convention on Biological Diversity's Aichi Targets are available from https://www.cbd.int/sp/targets/default.shtml</t>
  </si>
  <si>
    <t xml:space="preserve">Protected area spatial information is from the South African Protected Areas Database (SAPAD) which is maintained by the Enterprise Spatial Information Management Directorate of the Department of Environmental Affairs. </t>
  </si>
  <si>
    <t>Priority area air quality index</t>
  </si>
  <si>
    <t>Ambient Air Quality</t>
  </si>
  <si>
    <t>Ambient air quality in the national priority areas conforms to national ambient air quality standards by 2020</t>
  </si>
  <si>
    <t>Regional Air Quality Indices</t>
  </si>
  <si>
    <t>National Air Quality Indicator (NAQI)</t>
  </si>
  <si>
    <t>Priority Area Air Quality Index for the Vaal Triangle Priority Area (PAAQI-VTPA)</t>
  </si>
  <si>
    <t>Priority Area Air Quality Index for the Highveld priority Area (PAAQI-HPA)</t>
  </si>
  <si>
    <t>Acceptability threshold</t>
  </si>
  <si>
    <t>Normalised ratios</t>
  </si>
  <si>
    <t>The Priority Area Air Quality Index (PAAQI) provides a measure of ambient air quality in relation to current air quality standards in recognized national air pollution hot spots. Scientifically, the PAAQI is defined as the maximum value of the normalized ratios of the annual averages of PM10 and SO2 measured by the air quality monitoring station network in priority areas for each year. PAAQI values of 1 and above means that air quality does not meet ambient air quality standards. PAAQI values below 1 means that air quality complies with current ambient air quality standards.</t>
  </si>
  <si>
    <t>To derive the PAAQI, the annual averages of PM10 and sulphur dioxide SO2 (the two most prevalent air pollutants in the country) are averaged over the priority area stations data in order to derive the priority area annual average. These averages are then normalised by the annual average National Ambient Air Quality Standard (NAAQS). Based on the normalised ratios of the average concentrations, PAAQI is defined as the maximum between the normalised ratios of the national annual averages of PM10 and SO2 for each year. It should also be noted that the down-scaling of Eskom's ambient air quality monitoring network and related activities may mean that this data may not be available for comparison in the future.</t>
  </si>
  <si>
    <t>Department of Environment Affairs, The GHG National Inventory Report.</t>
  </si>
  <si>
    <t>To grow per capita income by 3 percent or more annually</t>
  </si>
  <si>
    <t>The rate of investment to GDP to rise to 30 percent by 2030</t>
  </si>
  <si>
    <t>To achieve R&amp;D expenditure of at least 1.5 percent of GDP by 2019</t>
  </si>
  <si>
    <r>
      <t xml:space="preserve">Total researchers (FTE) </t>
    </r>
    <r>
      <rPr>
        <vertAlign val="superscript"/>
        <sz val="8"/>
        <color theme="2" tint="-0.249977111117893"/>
        <rFont val="Arial"/>
        <family val="2"/>
      </rPr>
      <t>b</t>
    </r>
  </si>
  <si>
    <r>
      <t>Total researchers per 1000 total employment (FTE)</t>
    </r>
    <r>
      <rPr>
        <vertAlign val="superscript"/>
        <sz val="8"/>
        <color theme="2" tint="-0.249977111117893"/>
        <rFont val="Arial"/>
        <family val="2"/>
      </rPr>
      <t>c</t>
    </r>
  </si>
  <si>
    <t>National Surveys of Research and Experimental Development commissioned by the Department of Science and Technology to Human Sciences Research Council-Centre for Science Technology and Innovation Indicators</t>
  </si>
  <si>
    <t>To improve ICT infrastructure of South Africa, particularly broadband penetration to 100 percent by 2020</t>
  </si>
  <si>
    <t>Table and Graph</t>
  </si>
  <si>
    <t>Table1: Stats SA’s Mid-year population estimates 2018.
Table 2: Medical Research Council’s Rapid Mortality Surveillance (RMS) Reports 2015 and 2016.</t>
  </si>
  <si>
    <t>Infant and under-five mortality rates</t>
  </si>
  <si>
    <t>Infant Mortality Rate (IMR) refers to the number of children younger than one-year-old who die in a year per 1 000 live births during that year. Under-five Mortality Rate (U5MR) refers to the number of children under five years who die per 1 000 live births during that year.</t>
  </si>
  <si>
    <t xml:space="preserve">NDP 2030 goal: Progressively improve TB prevention and cure </t>
  </si>
  <si>
    <t>Number of candidates for the National Senior Certficate examinations with mathematics and physical science passes</t>
  </si>
  <si>
    <t xml:space="preserve">Table 1) SACMEQ (II ) undertaken from 1984 to 2004 and SACMEQ (III) undertaken from 2005 to 2010, targetted all pupils in Grade 6  level ( at the first week of the eighth month of the school year) who were attending registered mainstream primary school. The desired target population definition for the project was based on a grade-based description and not age based description of pupils
</t>
  </si>
  <si>
    <t>Numbers, Average</t>
  </si>
  <si>
    <t>Table 1: Headcount Enrolment in Technical And Vocational Education and Training Colleges</t>
  </si>
  <si>
    <t>Table 2: Artisans</t>
  </si>
  <si>
    <t xml:space="preserve">Table 3: CET colleges Enrolment </t>
  </si>
  <si>
    <t>Table 4: Internships and learnerships</t>
  </si>
  <si>
    <t>Labour force absorption rate by gender</t>
  </si>
  <si>
    <t>Labour force participation rate by gender</t>
  </si>
  <si>
    <t>Labour force participation rate by province</t>
  </si>
  <si>
    <t>Annual data is derived by pooling together the four quarters of the QLFS. For LFS annual data is obtained by averaging the biannual LFS (March and September). Additional data disaggregated by province and gender available on the Excel version on the DPME website: www.dpme.gov.za</t>
  </si>
  <si>
    <t xml:space="preserve">Statistics South Africa's Labour Force Surveys (2001-2007) and Quaterly Labour Force Surveys (QLFS) (2008-2017) </t>
  </si>
  <si>
    <t>Persons aged 15-64 who did any work or who did not work but had a job or business in the seven days prior to the survey interview. Labour force participation rate is the proportion of the working-age population that is either employed or unemployed. Labour absorption rate is the proportion of the working-age population that is employed. For international comparisons Stats SA uses the United Nations Definition of the youth as those aged between 15 and 24 years. According to the National Youth Commission (SAYC) Act, 1996 (Act 19 of 1996), youth is defined as young people between the ages of 15 to 34 years.</t>
  </si>
  <si>
    <t>Labour absorption rate by province</t>
  </si>
  <si>
    <t>Labour force participation rate</t>
  </si>
  <si>
    <t>Labour absorption rate</t>
  </si>
  <si>
    <t>Population 15-64</t>
  </si>
  <si>
    <t>Total Employment</t>
  </si>
  <si>
    <t>Private households</t>
  </si>
  <si>
    <t>Formal sector employement (excl agric)</t>
  </si>
  <si>
    <t>Informal sector employment (excl agric)</t>
  </si>
  <si>
    <t>Thousands ('000)</t>
  </si>
  <si>
    <t>Annual employment to increase by 350 000 in 2014/15 and therafter the rate of employment growth to increase with targets set annually</t>
  </si>
  <si>
    <t>Unemployment rate by gender</t>
  </si>
  <si>
    <t>55 - 64</t>
  </si>
  <si>
    <t>45 - 54</t>
  </si>
  <si>
    <t>35 - 44</t>
  </si>
  <si>
    <t>25 - 34</t>
  </si>
  <si>
    <t>15 - 24</t>
  </si>
  <si>
    <t>Unemployment rate by age group</t>
  </si>
  <si>
    <t xml:space="preserve">Annual data is derived by pooling together the four quarters of the QLFS. Individual weights are divided by four and reported numbers are the averages for the year. For LFS annual data obtained by averaging the biannual LFS (March and September). Additional data disaggregated by province and gender available on the Excel version on the DPME </t>
  </si>
  <si>
    <t>Stats SA’s LFS (2001-2007) and QLFS (2008-2017)</t>
  </si>
  <si>
    <t>Narrow (official)- Number of people who were without work in the reference week, have taken steps to look for work or start a business and were available to work. Broad(unofficial) - Number of people who were without work in the reference week and were available to work. Persons in short-term unemployment have been unemployed, available for work, and looking for a job for less than one year. Persons in long-term unemployment have been unemployed, available for work, and looking for a job one year or longer. For international comparisons Stats SA uses the United Nations Definition of the youth as those aged between 15 and 24 years. According to the South African Youth Commission (SAYC) Act of 1996, youth is defined as young people between the ages of 15 to 34 years.</t>
  </si>
  <si>
    <t>Percentage, numbers</t>
  </si>
  <si>
    <t>Long term unemployed as a share of Total</t>
  </si>
  <si>
    <t>Total unemployed</t>
  </si>
  <si>
    <t>Short term unemployed</t>
  </si>
  <si>
    <t>Long term unemployed</t>
  </si>
  <si>
    <t>Long and short term unemployed</t>
  </si>
  <si>
    <t>55-64 yrs</t>
  </si>
  <si>
    <t>45-54 yrs</t>
  </si>
  <si>
    <t>35-44 yrs</t>
  </si>
  <si>
    <t>25-34 yrs</t>
  </si>
  <si>
    <t>15-24 yrs</t>
  </si>
  <si>
    <t>Unemployment rate by age group - Official definition</t>
  </si>
  <si>
    <t>Unemployment rate by province (Official)</t>
  </si>
  <si>
    <t>Broad (unofficial)</t>
  </si>
  <si>
    <t>Narrow (official)</t>
  </si>
  <si>
    <t>Unemployment (broad and narrow)</t>
  </si>
  <si>
    <t>The goal is to cut unemployment by at least half to a maximum of 14 % in 2020</t>
  </si>
  <si>
    <t xml:space="preserve">Blank fields imply that reporting bodies did not report on the requested information. </t>
  </si>
  <si>
    <t>Department of Public Works; Expanded Public Works Programme Phase 1-3 data; 4th Quarter 1 April to 31 March.</t>
  </si>
  <si>
    <t>A work opportunity is paid work created for an individual for any period of time. The same individual can be employed on different projects and each period of employment will be counted as a work opportunity. One Person-Year of work is equal to 230 paid working days including paid training days. Non State Sector includes Community works (DCoG) and Non profit organisation (NPO's)  * Work opportunities created with adjustments to account for multi-year projects.</t>
  </si>
  <si>
    <t>Free Sate</t>
  </si>
  <si>
    <t>Number 
of work
opportunities
created</t>
  </si>
  <si>
    <t xml:space="preserve">Person-Years 
of
training
</t>
  </si>
  <si>
    <t>Person-years
of work
including training (FTE)</t>
  </si>
  <si>
    <t>Number 
of Projects</t>
  </si>
  <si>
    <t>PHASE 3: EPWP Overall National Consolidated Report per province for the period 1 April 2016 to 31 March 2017</t>
  </si>
  <si>
    <t>Non Profit Organisation (NPO)</t>
  </si>
  <si>
    <t>Community Works (DCoG)</t>
  </si>
  <si>
    <t>Non-State Sectors</t>
  </si>
  <si>
    <t xml:space="preserve">Social </t>
  </si>
  <si>
    <t>Environment and Culture</t>
  </si>
  <si>
    <t xml:space="preserve">Infrastructure </t>
  </si>
  <si>
    <t xml:space="preserve">% of women
</t>
  </si>
  <si>
    <t>Person-years
of work
including training  (FTE)</t>
  </si>
  <si>
    <t>PHASE 3: EPWP Overall National Consolidated Report per sector for the period 1 April 2016 to 31 March 2017</t>
  </si>
  <si>
    <t>Cumulative total</t>
  </si>
  <si>
    <t>Annual total</t>
  </si>
  <si>
    <t>Economic</t>
  </si>
  <si>
    <t>Social</t>
  </si>
  <si>
    <t>Environment &amp; Culture</t>
  </si>
  <si>
    <t xml:space="preserve"> PHASE 1-3 (2004/05 to 2014/15): Gross work opportunities created</t>
  </si>
  <si>
    <t>To provide 6 000 000 work opportunities by 2019 through the labour-intensive delivery of public and community assets and services</t>
  </si>
  <si>
    <t>EPWP</t>
  </si>
  <si>
    <t xml:space="preserve">Work Opportunities created by the Expanded Public Works Programme (EPWP) </t>
  </si>
  <si>
    <t>DPW; EPWP</t>
  </si>
  <si>
    <r>
      <t>1 000 000 (one million)</t>
    </r>
    <r>
      <rPr>
        <sz val="10"/>
        <color indexed="10"/>
        <rFont val="Arial"/>
        <family val="2"/>
      </rPr>
      <t xml:space="preserve"> </t>
    </r>
    <r>
      <rPr>
        <sz val="10"/>
        <rFont val="Arial"/>
        <family val="2"/>
      </rPr>
      <t>Work opportunities created through CWP by</t>
    </r>
    <r>
      <rPr>
        <sz val="10"/>
        <color indexed="10"/>
        <rFont val="Arial"/>
        <family val="2"/>
      </rPr>
      <t xml:space="preserve"> </t>
    </r>
    <r>
      <rPr>
        <sz val="10"/>
        <rFont val="Arial"/>
        <family val="2"/>
      </rPr>
      <t>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</si>
</sst>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3" formatCode="_ * #,##0.00_ ;_ * \-#,##0.00_ ;_ * &quot;-&quot;??_ ;_ @_ "/>
    <numFmt numFmtId="164" formatCode="_(* #,##0.00_);_(* \(#,##0.00\);_(* &quot;-&quot;??_);_(@_)"/>
    <numFmt numFmtId="165" formatCode="#\ ###\ ##0"/>
    <numFmt numFmtId="166" formatCode="0.0"/>
    <numFmt numFmtId="167" formatCode="#,##0.0_);\(#,##0.0\)"/>
    <numFmt numFmtId="168" formatCode="#,##0.0"/>
    <numFmt numFmtId="169" formatCode="_ * #,##0.0_ ;_ * \-#,##0.0_ ;_ * &quot;-&quot;??_ ;_ @_ "/>
    <numFmt numFmtId="170" formatCode="0.0%"/>
    <numFmt numFmtId="171" formatCode="yyyy"/>
    <numFmt numFmtId="172" formatCode="#,##0.000"/>
    <numFmt numFmtId="173" formatCode="_ * #,##0_ ;_ * \-#,##0_ ;_ * &quot;-&quot;??_ ;_ @_ "/>
    <numFmt numFmtId="174" formatCode="0.000"/>
    <numFmt numFmtId="175" formatCode="dd\-mmm\-yyyy"/>
    <numFmt numFmtId="176" formatCode="#,###,###"/>
    <numFmt numFmtId="177" formatCode="###\ ###\ ###\ ###\ ###"/>
    <numFmt numFmtId="178" formatCode="#.0"/>
    <numFmt numFmtId="179" formatCode="###,###,###,###"/>
    <numFmt numFmtId="180" formatCode="0.0#%"/>
    <numFmt numFmtId="181" formatCode="##,###,###"/>
    <numFmt numFmtId="182" formatCode="#.#\ ##0"/>
    <numFmt numFmtId="183" formatCode="###,###,###"/>
    <numFmt numFmtId="184" formatCode="###\ ##0"/>
    <numFmt numFmtId="185" formatCode="&quot;R&quot;\ #,##0"/>
    <numFmt numFmtId="186" formatCode="#,###,##0.000"/>
    <numFmt numFmtId="187" formatCode="#,###,##0.00"/>
    <numFmt numFmtId="188" formatCode="#,###,##0.0"/>
    <numFmt numFmtId="189" formatCode="#,###,##0"/>
    <numFmt numFmtId="190" formatCode="###\ ###\ ###\ ###"/>
    <numFmt numFmtId="191" formatCode="_(* #,##0_);_(* \(#,##0\);_(* &quot;-&quot;??_);_(@_)"/>
    <numFmt numFmtId="192" formatCode="#,###,###,###"/>
    <numFmt numFmtId="193" formatCode="0.000%"/>
    <numFmt numFmtId="194" formatCode=".\ ###\ ##00;"/>
    <numFmt numFmtId="195" formatCode="\-"/>
    <numFmt numFmtId="196" formatCode="#\ ##0"/>
    <numFmt numFmtId="197" formatCode="#,###,###.0"/>
    <numFmt numFmtId="198" formatCode="mmm\ yyyy"/>
    <numFmt numFmtId="199" formatCode="###,###,###,###.0"/>
    <numFmt numFmtId="200" formatCode="#\ ###"/>
    <numFmt numFmtId="201" formatCode="#,##0_ ;\-#,##0\ "/>
  </numFmts>
  <fonts count="14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0"/>
      <color indexed="10"/>
      <name val="Arial"/>
      <family val="2"/>
    </font>
    <font>
      <sz val="10"/>
      <color indexed="10"/>
      <name val="Arial"/>
      <family val="2"/>
    </font>
    <font>
      <b/>
      <sz val="8"/>
      <color indexed="10"/>
      <name val="Arial"/>
      <family val="2"/>
    </font>
    <font>
      <sz val="8"/>
      <name val="Arial"/>
      <family val="2"/>
    </font>
    <font>
      <b/>
      <sz val="8"/>
      <name val="Arial"/>
      <family val="2"/>
    </font>
    <font>
      <b/>
      <sz val="8"/>
      <color rgb="FFFF0000"/>
      <name val="Arial"/>
      <family val="2"/>
    </font>
    <font>
      <sz val="8"/>
      <color rgb="FFFF0000"/>
      <name val="Arial"/>
      <family val="2"/>
    </font>
    <font>
      <sz val="10"/>
      <color rgb="FFFF0000"/>
      <name val="Arial"/>
      <family val="2"/>
    </font>
    <font>
      <sz val="10"/>
      <color theme="1"/>
      <name val="Arial"/>
      <family val="2"/>
    </font>
    <font>
      <sz val="11"/>
      <name val="Arial"/>
      <family val="2"/>
    </font>
    <font>
      <sz val="10"/>
      <name val="Courier"/>
      <family val="3"/>
    </font>
    <font>
      <b/>
      <sz val="8"/>
      <color indexed="8"/>
      <name val="Arial"/>
      <family val="2"/>
    </font>
    <font>
      <sz val="8"/>
      <color theme="1"/>
      <name val="Arial"/>
      <family val="2"/>
    </font>
    <font>
      <sz val="10"/>
      <name val="Arial Narrow"/>
      <family val="2"/>
    </font>
    <font>
      <sz val="9"/>
      <name val="Arial"/>
      <family val="2"/>
    </font>
    <font>
      <b/>
      <sz val="8"/>
      <color theme="1"/>
      <name val="Arial"/>
      <family val="2"/>
    </font>
    <font>
      <sz val="10"/>
      <color rgb="FFFFFF00"/>
      <name val="Arial"/>
      <family val="2"/>
    </font>
    <font>
      <sz val="11"/>
      <color rgb="FFFFFF00"/>
      <name val="Calibri"/>
      <family val="2"/>
      <scheme val="minor"/>
    </font>
    <font>
      <b/>
      <sz val="11"/>
      <color indexed="10"/>
      <name val="Arial"/>
      <family val="2"/>
    </font>
    <font>
      <sz val="8"/>
      <color theme="1"/>
      <name val="Arial Narrow"/>
      <family val="2"/>
    </font>
    <font>
      <sz val="8"/>
      <name val="Arial Narrow"/>
      <family val="2"/>
    </font>
    <font>
      <sz val="11"/>
      <name val="Calibri"/>
      <family val="2"/>
      <scheme val="minor"/>
    </font>
    <font>
      <b/>
      <sz val="10"/>
      <name val="Arial"/>
      <family val="2"/>
    </font>
    <font>
      <sz val="8"/>
      <color indexed="8"/>
      <name val="Arial Narrow"/>
      <family val="2"/>
    </font>
    <font>
      <sz val="8"/>
      <color indexed="10"/>
      <name val="Arial"/>
      <family val="2"/>
    </font>
    <font>
      <b/>
      <sz val="9"/>
      <name val="Arial"/>
      <family val="2"/>
    </font>
    <font>
      <b/>
      <sz val="9"/>
      <color indexed="10"/>
      <name val="Arial"/>
      <family val="2"/>
    </font>
    <font>
      <sz val="9"/>
      <color theme="1"/>
      <name val="Calibri"/>
      <family val="2"/>
      <scheme val="minor"/>
    </font>
    <font>
      <sz val="9"/>
      <name val="Calibri"/>
      <family val="2"/>
      <scheme val="minor"/>
    </font>
    <font>
      <sz val="8"/>
      <color rgb="FFFFFF00"/>
      <name val="Arial"/>
      <family val="2"/>
    </font>
    <font>
      <vertAlign val="superscript"/>
      <sz val="8"/>
      <name val="Arial"/>
      <family val="2"/>
    </font>
    <font>
      <vertAlign val="superscript"/>
      <sz val="10"/>
      <name val="Arial"/>
      <family val="2"/>
    </font>
    <font>
      <b/>
      <sz val="10"/>
      <color theme="0" tint="-0.34998626667073579"/>
      <name val="Arial"/>
      <family val="2"/>
    </font>
    <font>
      <sz val="11"/>
      <color theme="0" tint="-0.34998626667073579"/>
      <name val="Calibri"/>
      <family val="2"/>
      <scheme val="minor"/>
    </font>
    <font>
      <sz val="8"/>
      <color theme="1"/>
      <name val="Calibri"/>
      <family val="2"/>
      <scheme val="minor"/>
    </font>
    <font>
      <b/>
      <sz val="8"/>
      <color rgb="FFFFFF00"/>
      <name val="Arial"/>
      <family val="2"/>
    </font>
    <font>
      <b/>
      <sz val="8"/>
      <name val="Arial Narrow"/>
      <family val="2"/>
    </font>
    <font>
      <i/>
      <sz val="10"/>
      <color indexed="10"/>
      <name val="Arial"/>
      <family val="2"/>
    </font>
    <font>
      <i/>
      <sz val="10"/>
      <name val="Arial"/>
      <family val="2"/>
    </font>
    <font>
      <sz val="8"/>
      <color rgb="FF000000"/>
      <name val="Arial"/>
      <family val="2"/>
    </font>
    <font>
      <i/>
      <sz val="8"/>
      <color theme="1"/>
      <name val="Arial"/>
      <family val="2"/>
    </font>
    <font>
      <u/>
      <sz val="10"/>
      <name val="Arial"/>
      <family val="2"/>
    </font>
    <font>
      <b/>
      <sz val="9"/>
      <color indexed="81"/>
      <name val="Tahoma"/>
      <family val="2"/>
    </font>
    <font>
      <sz val="9"/>
      <color indexed="81"/>
      <name val="Tahoma"/>
      <family val="2"/>
    </font>
    <font>
      <b/>
      <sz val="8"/>
      <color rgb="FF000000"/>
      <name val="Arial"/>
      <family val="2"/>
    </font>
    <font>
      <b/>
      <sz val="12"/>
      <color rgb="FF3B3B3B"/>
      <name val="Arial"/>
      <family val="2"/>
    </font>
    <font>
      <b/>
      <i/>
      <sz val="8"/>
      <color indexed="10"/>
      <name val="Arial"/>
      <family val="2"/>
    </font>
    <font>
      <i/>
      <sz val="8"/>
      <name val="Arial"/>
      <family val="2"/>
    </font>
    <font>
      <i/>
      <sz val="8"/>
      <color rgb="FF000000"/>
      <name val="Arial"/>
      <family val="2"/>
    </font>
    <font>
      <b/>
      <i/>
      <sz val="9"/>
      <color rgb="FF000000"/>
      <name val="Arial"/>
      <family val="2"/>
    </font>
    <font>
      <sz val="9"/>
      <color rgb="FF000000"/>
      <name val="Arial"/>
      <family val="2"/>
    </font>
    <font>
      <i/>
      <sz val="9"/>
      <color rgb="FF000000"/>
      <name val="Arial"/>
      <family val="2"/>
    </font>
    <font>
      <b/>
      <sz val="8"/>
      <color theme="1"/>
      <name val="Arial Narrow"/>
      <family val="2"/>
    </font>
    <font>
      <b/>
      <sz val="8"/>
      <color indexed="17"/>
      <name val="Arial"/>
      <family val="2"/>
    </font>
    <font>
      <b/>
      <sz val="8"/>
      <color rgb="FF00B050"/>
      <name val="Arial"/>
      <family val="2"/>
    </font>
    <font>
      <sz val="8"/>
      <color indexed="8"/>
      <name val="Arial"/>
      <family val="2"/>
    </font>
    <font>
      <b/>
      <sz val="8"/>
      <color indexed="63"/>
      <name val="Verdana"/>
      <family val="2"/>
    </font>
    <font>
      <b/>
      <sz val="8"/>
      <color indexed="18"/>
      <name val="Verdana"/>
      <family val="2"/>
    </font>
    <font>
      <b/>
      <i/>
      <sz val="9"/>
      <name val="Arial"/>
      <family val="2"/>
    </font>
    <font>
      <i/>
      <sz val="9"/>
      <name val="Arial"/>
      <family val="2"/>
    </font>
    <font>
      <b/>
      <sz val="8"/>
      <color rgb="FF00B0F0"/>
      <name val="Arial"/>
      <family val="2"/>
    </font>
    <font>
      <sz val="10"/>
      <color indexed="14"/>
      <name val="Arial"/>
      <family val="2"/>
    </font>
    <font>
      <sz val="8"/>
      <color indexed="14"/>
      <name val="Arial"/>
      <family val="2"/>
    </font>
    <font>
      <b/>
      <sz val="10"/>
      <color rgb="FFFFFF00"/>
      <name val="Arial"/>
      <family val="2"/>
    </font>
    <font>
      <sz val="10"/>
      <name val="Times New Roman"/>
      <family val="1"/>
    </font>
    <font>
      <sz val="11"/>
      <color theme="1"/>
      <name val="Arial"/>
      <family val="2"/>
    </font>
    <font>
      <b/>
      <sz val="8"/>
      <color indexed="57"/>
      <name val="Arial"/>
      <family val="2"/>
    </font>
    <font>
      <b/>
      <sz val="11"/>
      <color rgb="FF000000"/>
      <name val="Calibri"/>
      <family val="2"/>
    </font>
    <font>
      <b/>
      <sz val="8"/>
      <name val="Tahoma"/>
      <family val="2"/>
    </font>
    <font>
      <sz val="8"/>
      <name val="Tahoma"/>
      <family val="2"/>
    </font>
    <font>
      <b/>
      <i/>
      <sz val="8"/>
      <name val="Arial"/>
      <family val="2"/>
    </font>
    <font>
      <b/>
      <sz val="11"/>
      <color theme="1"/>
      <name val="Arial"/>
      <family val="2"/>
    </font>
    <font>
      <b/>
      <sz val="10"/>
      <color rgb="FFFF0000"/>
      <name val="Arial"/>
      <family val="2"/>
    </font>
    <font>
      <u/>
      <sz val="8"/>
      <name val="Arial"/>
      <family val="2"/>
    </font>
    <font>
      <b/>
      <sz val="9"/>
      <name val="Arial Narrow"/>
      <family val="2"/>
    </font>
    <font>
      <sz val="9"/>
      <color theme="1"/>
      <name val="Arial Narrow"/>
      <family val="2"/>
    </font>
    <font>
      <sz val="9"/>
      <name val="Arial Narrow"/>
      <family val="2"/>
    </font>
    <font>
      <sz val="12"/>
      <name val="Times New Roman"/>
      <family val="1"/>
    </font>
    <font>
      <sz val="10"/>
      <name val="Helv"/>
    </font>
    <font>
      <sz val="9"/>
      <color theme="0"/>
      <name val="Arial"/>
      <family val="2"/>
    </font>
    <font>
      <sz val="8"/>
      <color indexed="48"/>
      <name val="Arial"/>
      <family val="2"/>
    </font>
    <font>
      <sz val="11"/>
      <color indexed="10"/>
      <name val="Arial"/>
      <family val="2"/>
    </font>
    <font>
      <b/>
      <u/>
      <sz val="8"/>
      <name val="Arial"/>
      <family val="2"/>
    </font>
    <font>
      <sz val="10"/>
      <color theme="0"/>
      <name val="Arial"/>
      <family val="2"/>
    </font>
    <font>
      <b/>
      <sz val="8"/>
      <color theme="0"/>
      <name val="Arial"/>
      <family val="2"/>
    </font>
    <font>
      <i/>
      <sz val="11"/>
      <name val="Arial"/>
      <family val="2"/>
    </font>
    <font>
      <u/>
      <sz val="10"/>
      <color indexed="12"/>
      <name val="Arial"/>
      <family val="2"/>
    </font>
    <font>
      <u/>
      <sz val="11"/>
      <color indexed="12"/>
      <name val="Arial"/>
      <family val="2"/>
    </font>
    <font>
      <sz val="12"/>
      <name val="Arial"/>
      <family val="2"/>
    </font>
    <font>
      <sz val="8"/>
      <color theme="1"/>
      <name val="Calibri"/>
      <family val="2"/>
    </font>
    <font>
      <b/>
      <i/>
      <sz val="8"/>
      <color indexed="57"/>
      <name val="Arial"/>
      <family val="2"/>
    </font>
    <font>
      <b/>
      <sz val="14"/>
      <color theme="1"/>
      <name val="Calibri"/>
      <family val="2"/>
      <scheme val="minor"/>
    </font>
    <font>
      <sz val="9"/>
      <color theme="1"/>
      <name val="Arial"/>
      <family val="2"/>
    </font>
    <font>
      <b/>
      <sz val="11"/>
      <name val="Calibri"/>
      <family val="2"/>
      <scheme val="minor"/>
    </font>
    <font>
      <sz val="10"/>
      <color indexed="12"/>
      <name val="Arial"/>
      <family val="2"/>
    </font>
    <font>
      <b/>
      <sz val="10"/>
      <color indexed="10"/>
      <name val="Arial Narrow"/>
      <family val="2"/>
    </font>
    <font>
      <sz val="11"/>
      <color theme="1"/>
      <name val="Arial Narrow"/>
      <family val="2"/>
    </font>
    <font>
      <b/>
      <sz val="11"/>
      <color indexed="10"/>
      <name val="Arial Narrow"/>
      <family val="2"/>
    </font>
    <font>
      <sz val="10"/>
      <color indexed="10"/>
      <name val="Arial Narrow"/>
      <family val="2"/>
    </font>
    <font>
      <b/>
      <sz val="8"/>
      <color rgb="FFFF0000"/>
      <name val="Arial Narrow"/>
      <family val="2"/>
    </font>
    <font>
      <b/>
      <i/>
      <sz val="8"/>
      <name val="Arial Narrow"/>
      <family val="2"/>
    </font>
    <font>
      <sz val="11"/>
      <color rgb="FFFF0000"/>
      <name val="Arial Narrow"/>
      <family val="2"/>
    </font>
    <font>
      <sz val="8"/>
      <color rgb="FFFF0000"/>
      <name val="Arial Narrow"/>
      <family val="2"/>
    </font>
    <font>
      <strike/>
      <sz val="10"/>
      <name val="Arial Narrow"/>
      <family val="2"/>
    </font>
    <font>
      <b/>
      <sz val="10"/>
      <color indexed="48"/>
      <name val="Arial"/>
      <family val="2"/>
    </font>
    <font>
      <sz val="10"/>
      <color indexed="48"/>
      <name val="Arial"/>
      <family val="2"/>
    </font>
    <font>
      <b/>
      <sz val="10"/>
      <color indexed="12"/>
      <name val="Arial"/>
      <family val="2"/>
    </font>
    <font>
      <b/>
      <sz val="10"/>
      <color indexed="57"/>
      <name val="Arial"/>
      <family val="2"/>
    </font>
    <font>
      <sz val="10"/>
      <color indexed="57"/>
      <name val="Arial"/>
      <family val="2"/>
    </font>
    <font>
      <sz val="8"/>
      <color indexed="57"/>
      <name val="Arial"/>
      <family val="2"/>
    </font>
    <font>
      <sz val="8"/>
      <color indexed="55"/>
      <name val="Arial"/>
      <family val="2"/>
    </font>
    <font>
      <b/>
      <sz val="10"/>
      <color theme="1"/>
      <name val="Arial"/>
      <family val="2"/>
    </font>
    <font>
      <sz val="10"/>
      <color theme="1"/>
      <name val="Calibri"/>
      <family val="2"/>
      <scheme val="minor"/>
    </font>
    <font>
      <b/>
      <i/>
      <sz val="10"/>
      <name val="Arial"/>
      <family val="2"/>
    </font>
    <font>
      <sz val="9"/>
      <color indexed="10"/>
      <name val="Arial"/>
      <family val="2"/>
    </font>
    <font>
      <b/>
      <sz val="12"/>
      <name val="Arial"/>
      <family val="2"/>
    </font>
    <font>
      <b/>
      <sz val="10"/>
      <color indexed="8"/>
      <name val="Arial"/>
      <family val="2"/>
    </font>
    <font>
      <b/>
      <sz val="8"/>
      <color theme="0" tint="-0.34998626667073579"/>
      <name val="Arial"/>
      <family val="2"/>
    </font>
    <font>
      <sz val="8"/>
      <color theme="0" tint="-0.34998626667073579"/>
      <name val="Arial"/>
      <family val="2"/>
    </font>
    <font>
      <b/>
      <sz val="8"/>
      <color indexed="50"/>
      <name val="Arial"/>
      <family val="2"/>
    </font>
    <font>
      <sz val="10"/>
      <name val="Century Gothic"/>
      <family val="2"/>
    </font>
    <font>
      <b/>
      <sz val="8"/>
      <color indexed="12"/>
      <name val="Arial"/>
      <family val="2"/>
    </font>
    <font>
      <sz val="11"/>
      <color rgb="FF424548"/>
      <name val="Times New Roman"/>
      <family val="1"/>
    </font>
    <font>
      <sz val="8"/>
      <color theme="0"/>
      <name val="Arial"/>
      <family val="2"/>
    </font>
    <font>
      <sz val="9"/>
      <color theme="0" tint="-0.34998626667073579"/>
      <name val="Arial"/>
      <family val="2"/>
    </font>
    <font>
      <sz val="9"/>
      <color theme="0" tint="-0.14999847407452621"/>
      <name val="Arial"/>
      <family val="2"/>
    </font>
    <font>
      <sz val="11"/>
      <color theme="2" tint="-0.249977111117893"/>
      <name val="Calibri"/>
      <family val="2"/>
      <scheme val="minor"/>
    </font>
    <font>
      <b/>
      <sz val="10"/>
      <color theme="2" tint="-0.249977111117893"/>
      <name val="Arial"/>
      <family val="2"/>
    </font>
    <font>
      <sz val="10"/>
      <color theme="2" tint="-0.249977111117893"/>
      <name val="Arial"/>
      <family val="2"/>
    </font>
    <font>
      <sz val="8"/>
      <color theme="2" tint="-0.249977111117893"/>
      <name val="Arial"/>
      <family val="2"/>
    </font>
    <font>
      <sz val="9"/>
      <color theme="2" tint="-0.249977111117893"/>
      <name val="Arial"/>
      <family val="2"/>
    </font>
    <font>
      <sz val="9"/>
      <color theme="2" tint="-0.249977111117893"/>
      <name val="Calibri"/>
      <family val="2"/>
      <scheme val="minor"/>
    </font>
    <font>
      <sz val="8"/>
      <color theme="2" tint="-0.249977111117893"/>
      <name val="Calibri"/>
      <family val="2"/>
      <scheme val="minor"/>
    </font>
    <font>
      <b/>
      <sz val="8"/>
      <color theme="2" tint="-0.249977111117893"/>
      <name val="Arial"/>
      <family val="2"/>
    </font>
    <font>
      <vertAlign val="superscript"/>
      <sz val="8"/>
      <color theme="2" tint="-0.249977111117893"/>
      <name val="Arial"/>
      <family val="2"/>
    </font>
    <font>
      <b/>
      <sz val="10"/>
      <name val="Arial Narrow"/>
      <family val="2"/>
    </font>
    <font>
      <sz val="10"/>
      <color theme="1"/>
      <name val="Arial Narrow"/>
      <family val="2"/>
    </font>
    <font>
      <sz val="11"/>
      <color theme="2" tint="-0.249977111117893"/>
      <name val="Arial"/>
      <family val="2"/>
    </font>
    <font>
      <u/>
      <sz val="10"/>
      <color theme="2" tint="-0.249977111117893"/>
      <name val="Arial"/>
      <family val="2"/>
    </font>
    <font>
      <sz val="12"/>
      <color theme="2" tint="-0.249977111117893"/>
      <name val="Arial"/>
      <family val="2"/>
    </font>
    <font>
      <b/>
      <sz val="11"/>
      <color theme="2" tint="-0.249977111117893"/>
      <name val="Calibri"/>
      <family val="2"/>
      <scheme val="minor"/>
    </font>
    <font>
      <sz val="10"/>
      <color theme="0" tint="-0.34998626667073579"/>
      <name val="Arial"/>
      <family val="2"/>
    </font>
    <font>
      <b/>
      <sz val="8"/>
      <name val="Calibri"/>
      <family val="2"/>
      <scheme val="minor"/>
    </font>
    <font>
      <sz val="8"/>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C0C0FF"/>
        <bgColor indexed="64"/>
      </patternFill>
    </fill>
    <fill>
      <patternFill patternType="solid">
        <fgColor indexed="15"/>
        <bgColor indexed="64"/>
      </patternFill>
    </fill>
    <fill>
      <patternFill patternType="solid">
        <fgColor indexed="9"/>
        <bgColor indexed="34"/>
      </patternFill>
    </fill>
    <fill>
      <patternFill patternType="solid">
        <fgColor theme="0"/>
        <bgColor indexed="3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indexed="13"/>
        <bgColor indexed="64"/>
      </patternFill>
    </fill>
    <fill>
      <patternFill patternType="solid">
        <fgColor indexed="65"/>
        <bgColor indexed="64"/>
      </patternFill>
    </fill>
    <fill>
      <patternFill patternType="solid">
        <fgColor indexed="45"/>
        <bgColor indexed="64"/>
      </patternFill>
    </fill>
    <fill>
      <patternFill patternType="solid">
        <fgColor theme="5" tint="-0.249977111117893"/>
        <bgColor indexed="64"/>
      </patternFill>
    </fill>
    <fill>
      <patternFill patternType="solid">
        <fgColor theme="0"/>
        <bgColor theme="4" tint="0.79998168889431442"/>
      </patternFill>
    </fill>
  </fills>
  <borders count="140">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style="hair">
        <color indexed="64"/>
      </bottom>
      <diagonal/>
    </border>
    <border>
      <left/>
      <right/>
      <top/>
      <bottom style="hair">
        <color indexed="8"/>
      </bottom>
      <diagonal/>
    </border>
    <border>
      <left/>
      <right style="thin">
        <color indexed="64"/>
      </right>
      <top/>
      <bottom style="hair">
        <color indexed="8"/>
      </bottom>
      <diagonal/>
    </border>
    <border>
      <left style="thin">
        <color indexed="64"/>
      </left>
      <right/>
      <top style="thin">
        <color indexed="64"/>
      </top>
      <bottom style="hair">
        <color indexed="64"/>
      </bottom>
      <diagonal/>
    </border>
    <border>
      <left/>
      <right/>
      <top style="thin">
        <color indexed="8"/>
      </top>
      <bottom style="hair">
        <color indexed="8"/>
      </bottom>
      <diagonal/>
    </border>
    <border>
      <left/>
      <right style="thin">
        <color indexed="64"/>
      </right>
      <top style="thin">
        <color indexed="8"/>
      </top>
      <bottom style="hair">
        <color indexed="8"/>
      </bottom>
      <diagonal/>
    </border>
    <border>
      <left style="thin">
        <color indexed="64"/>
      </left>
      <right/>
      <top style="hair">
        <color indexed="64"/>
      </top>
      <bottom style="hair">
        <color indexed="64"/>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top style="hair">
        <color indexed="64"/>
      </top>
      <bottom style="thin">
        <color indexed="64"/>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dotted">
        <color indexed="64"/>
      </right>
      <top/>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style="hair">
        <color indexed="64"/>
      </right>
      <top style="thin">
        <color indexed="64"/>
      </top>
      <bottom style="hair">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style="dashed">
        <color indexed="64"/>
      </top>
      <bottom style="dashed">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s>
  <cellStyleXfs count="3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167" fontId="15" fillId="0" borderId="0"/>
    <xf numFmtId="0" fontId="19" fillId="0" borderId="0"/>
    <xf numFmtId="0" fontId="4" fillId="0" borderId="0"/>
    <xf numFmtId="0" fontId="4" fillId="0" borderId="0"/>
    <xf numFmtId="0" fontId="19" fillId="0" borderId="0"/>
    <xf numFmtId="0" fontId="4" fillId="9" borderId="0">
      <protection locked="0"/>
    </xf>
    <xf numFmtId="0" fontId="4" fillId="9" borderId="0">
      <protection locked="0"/>
    </xf>
    <xf numFmtId="0" fontId="4" fillId="0" borderId="0"/>
    <xf numFmtId="164" fontId="4" fillId="0" borderId="0" applyFont="0" applyFill="0" applyBorder="0" applyAlignment="0" applyProtection="0"/>
    <xf numFmtId="0" fontId="4" fillId="0" borderId="0"/>
    <xf numFmtId="0" fontId="15" fillId="0" borderId="0"/>
    <xf numFmtId="9" fontId="4" fillId="0" borderId="0" applyFont="0" applyFill="0" applyBorder="0" applyAlignment="0" applyProtection="0"/>
    <xf numFmtId="0" fontId="1" fillId="0" borderId="0"/>
    <xf numFmtId="0" fontId="4" fillId="0" borderId="0"/>
    <xf numFmtId="164"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83" fillId="0" borderId="51" applyFill="0" applyAlignment="0"/>
    <xf numFmtId="164" fontId="1" fillId="0" borderId="0" applyFont="0" applyFill="0" applyBorder="0" applyAlignment="0" applyProtection="0"/>
    <xf numFmtId="0" fontId="91" fillId="0" borderId="0" applyNumberFormat="0" applyFill="0" applyBorder="0" applyAlignment="0" applyProtection="0">
      <alignment vertical="top"/>
      <protection locked="0"/>
    </xf>
    <xf numFmtId="164" fontId="4" fillId="0" borderId="0" applyFont="0" applyFill="0" applyBorder="0" applyAlignment="0" applyProtection="0"/>
    <xf numFmtId="0" fontId="1" fillId="0" borderId="0"/>
    <xf numFmtId="0" fontId="4" fillId="0" borderId="0"/>
    <xf numFmtId="3" fontId="4" fillId="0" borderId="0"/>
    <xf numFmtId="0" fontId="4" fillId="0" borderId="0"/>
    <xf numFmtId="198" fontId="4" fillId="0" borderId="0" applyFont="0" applyFill="0" applyBorder="0" applyAlignment="0" applyProtection="0"/>
  </cellStyleXfs>
  <cellXfs count="4775">
    <xf numFmtId="0" fontId="0" fillId="0" borderId="0" xfId="0"/>
    <xf numFmtId="0" fontId="5" fillId="0" borderId="0" xfId="3" applyFont="1" applyFill="1" applyAlignment="1">
      <alignment vertical="top"/>
    </xf>
    <xf numFmtId="0" fontId="4" fillId="0" borderId="0" xfId="3" applyFont="1" applyFill="1" applyAlignment="1">
      <alignment vertical="top"/>
    </xf>
    <xf numFmtId="0" fontId="4" fillId="0" borderId="0" xfId="3" applyFont="1" applyFill="1"/>
    <xf numFmtId="0" fontId="4" fillId="0" borderId="0" xfId="3" applyFont="1" applyFill="1" applyAlignment="1">
      <alignment horizontal="right"/>
    </xf>
    <xf numFmtId="0" fontId="7" fillId="0" borderId="0" xfId="3" applyFont="1" applyFill="1" applyAlignment="1">
      <alignment vertical="top"/>
    </xf>
    <xf numFmtId="0" fontId="8" fillId="0" borderId="0" xfId="3" applyFont="1" applyFill="1" applyAlignment="1">
      <alignment vertical="top"/>
    </xf>
    <xf numFmtId="0" fontId="9" fillId="0" borderId="0" xfId="3" applyFont="1" applyFill="1" applyBorder="1" applyAlignment="1">
      <alignment horizontal="left" wrapText="1"/>
    </xf>
    <xf numFmtId="0" fontId="9" fillId="0" borderId="0" xfId="3" applyFont="1" applyFill="1" applyBorder="1" applyAlignment="1">
      <alignment horizontal="right" wrapText="1"/>
    </xf>
    <xf numFmtId="165" fontId="9" fillId="0" borderId="0" xfId="5" applyNumberFormat="1" applyFont="1" applyFill="1" applyBorder="1" applyAlignment="1">
      <alignment horizontal="right"/>
    </xf>
    <xf numFmtId="3" fontId="8" fillId="0" borderId="0" xfId="3" applyNumberFormat="1" applyFont="1" applyFill="1" applyBorder="1"/>
    <xf numFmtId="0" fontId="8" fillId="0" borderId="0" xfId="3" applyFont="1" applyFill="1"/>
    <xf numFmtId="0" fontId="5" fillId="0" borderId="0" xfId="3" applyFont="1" applyFill="1" applyBorder="1" applyAlignment="1">
      <alignment vertical="top"/>
    </xf>
    <xf numFmtId="0" fontId="9" fillId="0" borderId="0" xfId="3" applyFont="1" applyFill="1"/>
    <xf numFmtId="0" fontId="9" fillId="0" borderId="0" xfId="3" applyFont="1" applyFill="1" applyAlignment="1">
      <alignment horizontal="left"/>
    </xf>
    <xf numFmtId="0" fontId="8" fillId="0" borderId="0" xfId="3" applyFont="1" applyFill="1" applyAlignment="1">
      <alignment horizontal="right"/>
    </xf>
    <xf numFmtId="3" fontId="8" fillId="0" borderId="0" xfId="5" applyNumberFormat="1" applyFont="1" applyFill="1" applyAlignment="1">
      <alignment horizontal="right"/>
    </xf>
    <xf numFmtId="0" fontId="8" fillId="0" borderId="0" xfId="3" applyFont="1" applyFill="1" applyBorder="1"/>
    <xf numFmtId="0" fontId="8" fillId="0" borderId="4" xfId="3" applyFont="1" applyFill="1" applyBorder="1"/>
    <xf numFmtId="0" fontId="8" fillId="0" borderId="5" xfId="3" applyFont="1" applyFill="1" applyBorder="1"/>
    <xf numFmtId="17" fontId="9" fillId="0" borderId="6" xfId="3" quotePrefix="1" applyNumberFormat="1" applyFont="1" applyFill="1" applyBorder="1" applyAlignment="1">
      <alignment horizontal="right"/>
    </xf>
    <xf numFmtId="0" fontId="9" fillId="0" borderId="6" xfId="3" quotePrefix="1" applyFont="1" applyFill="1" applyBorder="1" applyAlignment="1">
      <alignment horizontal="right"/>
    </xf>
    <xf numFmtId="0" fontId="9" fillId="0" borderId="6" xfId="4" quotePrefix="1" applyFont="1" applyFill="1" applyBorder="1" applyAlignment="1">
      <alignment horizontal="right"/>
    </xf>
    <xf numFmtId="0" fontId="8" fillId="0" borderId="9" xfId="3" applyFont="1" applyFill="1" applyBorder="1"/>
    <xf numFmtId="3" fontId="8" fillId="0" borderId="0" xfId="3" applyNumberFormat="1" applyFont="1" applyFill="1" applyBorder="1" applyAlignment="1">
      <alignment horizontal="right"/>
    </xf>
    <xf numFmtId="3" fontId="8" fillId="0" borderId="0" xfId="4" applyNumberFormat="1" applyFont="1" applyFill="1" applyBorder="1" applyAlignment="1">
      <alignment horizontal="right"/>
    </xf>
    <xf numFmtId="3" fontId="8" fillId="0" borderId="10" xfId="3" applyNumberFormat="1" applyFont="1" applyFill="1" applyBorder="1"/>
    <xf numFmtId="0" fontId="8" fillId="0" borderId="11" xfId="3" applyFont="1" applyFill="1" applyBorder="1"/>
    <xf numFmtId="0" fontId="8" fillId="0" borderId="12" xfId="3" applyFont="1" applyFill="1" applyBorder="1"/>
    <xf numFmtId="0" fontId="8" fillId="0" borderId="10" xfId="3" applyFont="1" applyFill="1" applyBorder="1"/>
    <xf numFmtId="0" fontId="8" fillId="0" borderId="13" xfId="3" applyFont="1" applyFill="1" applyBorder="1"/>
    <xf numFmtId="3" fontId="8" fillId="0" borderId="4" xfId="3" applyNumberFormat="1" applyFont="1" applyFill="1" applyBorder="1" applyAlignment="1">
      <alignment horizontal="right"/>
    </xf>
    <xf numFmtId="3" fontId="8" fillId="0" borderId="4" xfId="4" applyNumberFormat="1" applyFont="1" applyFill="1" applyBorder="1" applyAlignment="1">
      <alignment horizontal="right"/>
    </xf>
    <xf numFmtId="3" fontId="8" fillId="0" borderId="14" xfId="3" applyNumberFormat="1" applyFont="1" applyFill="1" applyBorder="1"/>
    <xf numFmtId="0" fontId="8" fillId="0" borderId="15" xfId="3" applyFont="1" applyFill="1" applyBorder="1"/>
    <xf numFmtId="0" fontId="9" fillId="0" borderId="0" xfId="3" applyFont="1" applyFill="1" applyAlignment="1">
      <alignment vertical="top"/>
    </xf>
    <xf numFmtId="0" fontId="9" fillId="0" borderId="17" xfId="3" applyFont="1" applyFill="1" applyBorder="1"/>
    <xf numFmtId="3" fontId="9" fillId="0" borderId="18" xfId="3" applyNumberFormat="1" applyFont="1" applyFill="1" applyBorder="1" applyAlignment="1">
      <alignment horizontal="right"/>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5" fillId="0" borderId="0" xfId="3" applyFont="1" applyFill="1" applyAlignment="1">
      <alignment vertical="top" wrapText="1"/>
    </xf>
    <xf numFmtId="166" fontId="5" fillId="0" borderId="0" xfId="3" applyNumberFormat="1" applyFont="1" applyFill="1" applyAlignment="1" applyProtection="1">
      <alignment horizontal="right" vertical="top"/>
      <protection locked="0"/>
    </xf>
    <xf numFmtId="0" fontId="1" fillId="0" borderId="0" xfId="3" applyFont="1" applyFill="1" applyAlignment="1" applyProtection="1">
      <alignment horizontal="left" vertical="top"/>
      <protection locked="0"/>
    </xf>
    <xf numFmtId="0" fontId="1" fillId="0" borderId="0" xfId="3" applyFont="1" applyFill="1" applyAlignment="1" applyProtection="1">
      <alignment horizontal="right" vertical="top"/>
      <protection locked="0"/>
    </xf>
    <xf numFmtId="0" fontId="1" fillId="0" borderId="0" xfId="3" applyFont="1" applyFill="1" applyProtection="1">
      <protection locked="0"/>
    </xf>
    <xf numFmtId="0" fontId="5" fillId="0" borderId="0" xfId="3" applyFont="1" applyFill="1" applyAlignment="1" applyProtection="1">
      <alignment horizontal="right" vertical="top"/>
      <protection locked="0"/>
    </xf>
    <xf numFmtId="0" fontId="5" fillId="0" borderId="0" xfId="3" applyFont="1" applyFill="1" applyAlignment="1" applyProtection="1">
      <alignment horizontal="left" vertical="top"/>
      <protection locked="0"/>
    </xf>
    <xf numFmtId="0" fontId="4" fillId="0" borderId="0" xfId="3" applyFont="1" applyFill="1" applyBorder="1" applyAlignment="1" applyProtection="1">
      <alignment horizontal="left" vertical="top" wrapText="1"/>
      <protection locked="0"/>
    </xf>
    <xf numFmtId="0" fontId="4" fillId="0" borderId="0" xfId="3" applyFont="1" applyFill="1" applyBorder="1" applyAlignment="1" applyProtection="1">
      <alignment vertical="top" wrapText="1"/>
      <protection locked="0"/>
    </xf>
    <xf numFmtId="0" fontId="14" fillId="0" borderId="0" xfId="3" applyFont="1" applyFill="1" applyBorder="1" applyAlignment="1" applyProtection="1">
      <alignment horizontal="left" vertical="top"/>
      <protection locked="0"/>
    </xf>
    <xf numFmtId="0" fontId="5" fillId="0" borderId="0" xfId="3" applyFont="1" applyFill="1" applyBorder="1" applyAlignment="1" applyProtection="1">
      <alignment horizontal="left" vertical="top"/>
      <protection locked="0"/>
    </xf>
    <xf numFmtId="0" fontId="9" fillId="0" borderId="0" xfId="3" applyFont="1" applyFill="1" applyBorder="1" applyAlignment="1" applyProtection="1">
      <protection locked="0"/>
    </xf>
    <xf numFmtId="0" fontId="8" fillId="0" borderId="0" xfId="3" applyFont="1" applyFill="1" applyBorder="1" applyProtection="1">
      <protection locked="0"/>
    </xf>
    <xf numFmtId="0" fontId="1" fillId="0" borderId="0" xfId="3" applyFont="1" applyFill="1" applyBorder="1" applyProtection="1">
      <protection locked="0"/>
    </xf>
    <xf numFmtId="0" fontId="8" fillId="0" borderId="5" xfId="3" applyFont="1" applyFill="1" applyBorder="1" applyAlignment="1" applyProtection="1">
      <alignment horizontal="left"/>
      <protection locked="0"/>
    </xf>
    <xf numFmtId="167" fontId="16" fillId="0" borderId="18" xfId="6" quotePrefix="1" applyFont="1" applyFill="1" applyBorder="1" applyAlignment="1" applyProtection="1">
      <alignment horizontal="right"/>
      <protection locked="0"/>
    </xf>
    <xf numFmtId="0" fontId="16" fillId="0" borderId="0" xfId="6" quotePrefix="1" applyNumberFormat="1" applyFont="1" applyFill="1" applyBorder="1" applyAlignment="1" applyProtection="1">
      <alignment horizontal="right"/>
      <protection locked="0"/>
    </xf>
    <xf numFmtId="0" fontId="8" fillId="0" borderId="13" xfId="3" applyFont="1" applyFill="1" applyBorder="1" applyAlignment="1" applyProtection="1">
      <alignment horizontal="left"/>
      <protection locked="0"/>
    </xf>
    <xf numFmtId="166" fontId="8" fillId="0" borderId="4" xfId="3" applyNumberFormat="1" applyFont="1" applyFill="1" applyBorder="1" applyProtection="1">
      <protection locked="0"/>
    </xf>
    <xf numFmtId="168" fontId="17" fillId="3" borderId="4" xfId="5" applyNumberFormat="1" applyFont="1" applyFill="1" applyBorder="1" applyAlignment="1">
      <alignment horizontal="right"/>
    </xf>
    <xf numFmtId="168" fontId="17" fillId="3" borderId="16" xfId="5" applyNumberFormat="1" applyFont="1" applyFill="1" applyBorder="1" applyAlignment="1">
      <alignment horizontal="right"/>
    </xf>
    <xf numFmtId="166" fontId="18" fillId="0" borderId="0" xfId="3" applyNumberFormat="1" applyFont="1" applyFill="1" applyBorder="1" applyAlignment="1" applyProtection="1">
      <alignment horizontal="right"/>
      <protection locked="0"/>
    </xf>
    <xf numFmtId="166" fontId="8" fillId="0" borderId="0" xfId="7" applyNumberFormat="1" applyFont="1" applyFill="1" applyAlignment="1" applyProtection="1">
      <alignment horizontal="center"/>
      <protection locked="0"/>
    </xf>
    <xf numFmtId="0" fontId="8" fillId="0" borderId="0" xfId="3" applyFont="1" applyFill="1" applyBorder="1" applyAlignment="1" applyProtection="1">
      <alignment horizontal="left"/>
      <protection locked="0"/>
    </xf>
    <xf numFmtId="166" fontId="8" fillId="0" borderId="0" xfId="3" applyNumberFormat="1" applyFont="1" applyFill="1" applyBorder="1" applyProtection="1">
      <protection locked="0"/>
    </xf>
    <xf numFmtId="166" fontId="8" fillId="0" borderId="0" xfId="3" applyNumberFormat="1" applyFont="1" applyFill="1" applyBorder="1" applyAlignment="1" applyProtection="1">
      <protection locked="0"/>
    </xf>
    <xf numFmtId="166" fontId="8" fillId="3" borderId="0" xfId="3" applyNumberFormat="1" applyFont="1" applyFill="1" applyBorder="1" applyProtection="1">
      <protection locked="0"/>
    </xf>
    <xf numFmtId="166" fontId="1" fillId="0" borderId="0" xfId="3" applyNumberFormat="1" applyFont="1" applyFill="1" applyBorder="1" applyProtection="1">
      <protection locked="0"/>
    </xf>
    <xf numFmtId="0" fontId="7" fillId="0" borderId="0" xfId="3" applyFont="1" applyFill="1" applyAlignment="1" applyProtection="1">
      <alignment horizontal="right" vertical="top"/>
      <protection locked="0"/>
    </xf>
    <xf numFmtId="0" fontId="8" fillId="0" borderId="0" xfId="3" applyFont="1" applyFill="1" applyAlignment="1" applyProtection="1">
      <alignment horizontal="left" vertical="top"/>
      <protection locked="0"/>
    </xf>
    <xf numFmtId="0" fontId="8" fillId="0" borderId="0" xfId="3" applyFont="1" applyFill="1" applyAlignment="1" applyProtection="1">
      <alignment horizontal="right" vertical="top"/>
      <protection locked="0"/>
    </xf>
    <xf numFmtId="0" fontId="9" fillId="0" borderId="0" xfId="3" applyFont="1" applyFill="1" applyBorder="1" applyAlignment="1" applyProtection="1">
      <alignment horizontal="left"/>
      <protection locked="0"/>
    </xf>
    <xf numFmtId="166" fontId="9" fillId="0" borderId="0" xfId="3" applyNumberFormat="1" applyFont="1" applyFill="1" applyBorder="1" applyProtection="1">
      <protection locked="0"/>
    </xf>
    <xf numFmtId="166" fontId="9" fillId="0" borderId="0" xfId="3" applyNumberFormat="1" applyFont="1" applyFill="1" applyBorder="1" applyAlignment="1" applyProtection="1">
      <protection locked="0"/>
    </xf>
    <xf numFmtId="0" fontId="8" fillId="0" borderId="0" xfId="3" applyFont="1" applyFill="1" applyProtection="1">
      <protection locked="0"/>
    </xf>
    <xf numFmtId="0" fontId="8" fillId="0" borderId="17" xfId="3" applyFont="1" applyFill="1" applyBorder="1" applyAlignment="1" applyProtection="1">
      <alignment horizontal="left"/>
      <protection locked="0"/>
    </xf>
    <xf numFmtId="166" fontId="9" fillId="0" borderId="18" xfId="3" quotePrefix="1" applyNumberFormat="1" applyFont="1" applyFill="1" applyBorder="1" applyAlignment="1" applyProtection="1">
      <alignment horizontal="right"/>
      <protection locked="0"/>
    </xf>
    <xf numFmtId="0" fontId="20" fillId="3" borderId="18" xfId="5" applyFont="1" applyFill="1" applyBorder="1" applyAlignment="1">
      <alignment horizontal="right" vertical="top"/>
    </xf>
    <xf numFmtId="0" fontId="16" fillId="0" borderId="18" xfId="6" quotePrefix="1" applyNumberFormat="1" applyFont="1" applyFill="1" applyBorder="1" applyAlignment="1" applyProtection="1">
      <alignment horizontal="right"/>
      <protection locked="0"/>
    </xf>
    <xf numFmtId="0" fontId="16" fillId="0" borderId="19" xfId="6" quotePrefix="1" applyNumberFormat="1" applyFont="1" applyFill="1" applyBorder="1" applyAlignment="1" applyProtection="1">
      <alignment horizontal="right"/>
      <protection locked="0"/>
    </xf>
    <xf numFmtId="0" fontId="20" fillId="3" borderId="0" xfId="5" applyFont="1" applyFill="1" applyBorder="1" applyAlignment="1">
      <alignment horizontal="right" vertical="top"/>
    </xf>
    <xf numFmtId="0" fontId="9" fillId="0" borderId="9" xfId="3" applyFont="1" applyFill="1" applyBorder="1" applyAlignment="1" applyProtection="1">
      <alignment horizontal="left"/>
      <protection locked="0"/>
    </xf>
    <xf numFmtId="0" fontId="17" fillId="3" borderId="0" xfId="5" applyFont="1" applyFill="1" applyBorder="1" applyAlignment="1">
      <alignment horizontal="right" vertical="top"/>
    </xf>
    <xf numFmtId="166" fontId="17" fillId="0" borderId="12" xfId="3" applyNumberFormat="1" applyFont="1" applyFill="1" applyBorder="1" applyProtection="1">
      <protection locked="0"/>
    </xf>
    <xf numFmtId="166" fontId="17" fillId="3" borderId="0" xfId="3" applyNumberFormat="1" applyFont="1" applyFill="1" applyBorder="1" applyProtection="1">
      <protection locked="0"/>
    </xf>
    <xf numFmtId="0" fontId="8" fillId="0" borderId="9" xfId="5" applyFont="1" applyBorder="1"/>
    <xf numFmtId="166" fontId="8" fillId="0" borderId="0" xfId="5" applyNumberFormat="1" applyFont="1" applyBorder="1"/>
    <xf numFmtId="168" fontId="17" fillId="3" borderId="0" xfId="5" applyNumberFormat="1" applyFont="1" applyFill="1" applyBorder="1" applyAlignment="1">
      <alignment horizontal="right"/>
    </xf>
    <xf numFmtId="0" fontId="8" fillId="0" borderId="13" xfId="5" applyFont="1" applyBorder="1"/>
    <xf numFmtId="166" fontId="8" fillId="0" borderId="4" xfId="5" applyNumberFormat="1" applyFont="1" applyBorder="1"/>
    <xf numFmtId="166" fontId="17" fillId="0" borderId="16" xfId="3" applyNumberFormat="1" applyFont="1" applyFill="1" applyBorder="1" applyProtection="1">
      <protection locked="0"/>
    </xf>
    <xf numFmtId="0" fontId="1" fillId="3" borderId="0" xfId="3" applyFont="1" applyFill="1" applyBorder="1" applyProtection="1">
      <protection locked="0"/>
    </xf>
    <xf numFmtId="0" fontId="7" fillId="0" borderId="0" xfId="3" applyFont="1" applyFill="1" applyProtection="1">
      <protection locked="0"/>
    </xf>
    <xf numFmtId="0" fontId="5" fillId="0" borderId="0" xfId="3" applyFont="1" applyFill="1" applyAlignment="1" applyProtection="1">
      <alignment horizontal="right" vertical="top" wrapText="1"/>
      <protection locked="0"/>
    </xf>
    <xf numFmtId="0" fontId="5" fillId="0" borderId="0" xfId="3" applyFont="1" applyFill="1" applyAlignment="1" applyProtection="1">
      <alignment horizontal="left" vertical="top" wrapText="1"/>
      <protection locked="0"/>
    </xf>
    <xf numFmtId="0" fontId="4" fillId="0" borderId="0" xfId="3" applyNumberFormat="1" applyFont="1" applyFill="1" applyBorder="1" applyAlignment="1" applyProtection="1">
      <alignment horizontal="left" vertical="top" wrapText="1"/>
      <protection locked="0"/>
    </xf>
    <xf numFmtId="0" fontId="4" fillId="0" borderId="0" xfId="3" applyFont="1" applyFill="1" applyBorder="1" applyProtection="1">
      <protection locked="0"/>
    </xf>
    <xf numFmtId="166" fontId="1" fillId="0" borderId="0" xfId="3" applyNumberFormat="1" applyFont="1" applyFill="1" applyProtection="1">
      <protection locked="0"/>
    </xf>
    <xf numFmtId="166" fontId="23" fillId="0" borderId="0" xfId="3" applyNumberFormat="1" applyFont="1" applyFill="1" applyProtection="1">
      <protection locked="0"/>
    </xf>
    <xf numFmtId="166" fontId="23" fillId="0" borderId="0" xfId="3" applyNumberFormat="1" applyFont="1" applyFill="1" applyAlignment="1" applyProtection="1">
      <alignment vertical="top" wrapText="1"/>
      <protection locked="0"/>
    </xf>
    <xf numFmtId="166" fontId="23" fillId="0" borderId="0" xfId="3" applyNumberFormat="1" applyFont="1" applyFill="1" applyAlignment="1" applyProtection="1">
      <protection locked="0"/>
    </xf>
    <xf numFmtId="0" fontId="23" fillId="0" borderId="0" xfId="3" applyFont="1" applyFill="1" applyProtection="1">
      <protection locked="0"/>
    </xf>
    <xf numFmtId="0" fontId="23" fillId="0" borderId="0" xfId="3" applyFont="1" applyFill="1" applyAlignment="1" applyProtection="1">
      <alignment vertical="top" wrapText="1"/>
      <protection locked="0"/>
    </xf>
    <xf numFmtId="0" fontId="23" fillId="0" borderId="0" xfId="3" applyFont="1" applyFill="1" applyAlignment="1" applyProtection="1">
      <protection locked="0"/>
    </xf>
    <xf numFmtId="0" fontId="23" fillId="0" borderId="0" xfId="3" applyFont="1" applyFill="1" applyAlignment="1" applyProtection="1">
      <alignment horizontal="left" vertical="top" wrapText="1"/>
      <protection locked="0"/>
    </xf>
    <xf numFmtId="0" fontId="23" fillId="0" borderId="0" xfId="3" applyFont="1" applyFill="1" applyAlignment="1" applyProtection="1">
      <alignment horizontal="right" vertical="top" wrapText="1"/>
      <protection locked="0"/>
    </xf>
    <xf numFmtId="0" fontId="1" fillId="0" borderId="2" xfId="3" applyFont="1" applyFill="1" applyBorder="1" applyProtection="1">
      <protection locked="0"/>
    </xf>
    <xf numFmtId="0" fontId="1" fillId="0" borderId="3" xfId="3" applyFont="1" applyFill="1" applyBorder="1" applyProtection="1">
      <protection locked="0"/>
    </xf>
    <xf numFmtId="0" fontId="23" fillId="0" borderId="0" xfId="3" applyFont="1" applyFill="1" applyAlignment="1" applyProtection="1">
      <alignment horizontal="left" vertical="top"/>
      <protection locked="0"/>
    </xf>
    <xf numFmtId="0" fontId="23" fillId="0" borderId="0" xfId="3" applyFont="1" applyFill="1" applyAlignment="1" applyProtection="1">
      <alignment horizontal="right" vertical="top"/>
      <protection locked="0"/>
    </xf>
    <xf numFmtId="0" fontId="22" fillId="0" borderId="0" xfId="3" applyFont="1" applyFill="1" applyProtection="1">
      <protection locked="0"/>
    </xf>
    <xf numFmtId="166" fontId="22" fillId="0" borderId="0" xfId="3" applyNumberFormat="1" applyFont="1" applyFill="1" applyProtection="1">
      <protection locked="0"/>
    </xf>
    <xf numFmtId="166" fontId="5" fillId="0" borderId="0" xfId="3" applyNumberFormat="1" applyFont="1" applyFill="1" applyAlignment="1" applyProtection="1">
      <alignment horizontal="right" vertical="top"/>
    </xf>
    <xf numFmtId="0" fontId="1" fillId="0" borderId="0" xfId="3" applyFont="1" applyFill="1" applyAlignment="1" applyProtection="1">
      <alignment horizontal="left" vertical="top"/>
    </xf>
    <xf numFmtId="0" fontId="1" fillId="0" borderId="0" xfId="3" applyFont="1" applyFill="1" applyAlignment="1" applyProtection="1">
      <alignment horizontal="right" vertical="top"/>
    </xf>
    <xf numFmtId="0" fontId="1" fillId="0" borderId="0" xfId="3" applyFont="1" applyFill="1" applyProtection="1"/>
    <xf numFmtId="0" fontId="5" fillId="0" borderId="0" xfId="3" applyFont="1" applyFill="1" applyAlignment="1" applyProtection="1">
      <alignment horizontal="right" vertical="top"/>
    </xf>
    <xf numFmtId="0" fontId="5" fillId="0" borderId="0" xfId="3" applyFont="1" applyFill="1" applyAlignment="1" applyProtection="1">
      <alignment horizontal="left" vertical="top"/>
    </xf>
    <xf numFmtId="0" fontId="5" fillId="0" borderId="0" xfId="3" applyFont="1" applyFill="1" applyBorder="1" applyAlignment="1" applyProtection="1">
      <alignment horizontal="right" vertical="top"/>
    </xf>
    <xf numFmtId="0" fontId="7" fillId="0" borderId="0" xfId="3" applyFont="1" applyFill="1" applyProtection="1"/>
    <xf numFmtId="0" fontId="8" fillId="0" borderId="0" xfId="3" applyFont="1" applyFill="1" applyProtection="1"/>
    <xf numFmtId="0" fontId="5" fillId="0" borderId="0" xfId="3" applyFont="1" applyFill="1" applyBorder="1" applyAlignment="1" applyProtection="1">
      <alignment horizontal="left" vertical="top"/>
    </xf>
    <xf numFmtId="0" fontId="9" fillId="0" borderId="0" xfId="3" applyFont="1" applyFill="1" applyBorder="1" applyAlignment="1" applyProtection="1"/>
    <xf numFmtId="0" fontId="9" fillId="0" borderId="4" xfId="3" applyFont="1" applyFill="1" applyBorder="1" applyAlignment="1" applyProtection="1"/>
    <xf numFmtId="0" fontId="1" fillId="0" borderId="4" xfId="3" applyFont="1" applyFill="1" applyBorder="1" applyProtection="1"/>
    <xf numFmtId="0" fontId="1" fillId="0" borderId="0" xfId="3" applyFont="1" applyFill="1" applyBorder="1" applyProtection="1"/>
    <xf numFmtId="0" fontId="8" fillId="0" borderId="17" xfId="3" applyFont="1" applyFill="1" applyBorder="1" applyAlignment="1" applyProtection="1">
      <alignment horizontal="left" wrapText="1"/>
    </xf>
    <xf numFmtId="0" fontId="1" fillId="0" borderId="19" xfId="3" applyFont="1" applyFill="1" applyBorder="1" applyProtection="1">
      <protection locked="0"/>
    </xf>
    <xf numFmtId="0" fontId="9" fillId="0" borderId="18" xfId="3" applyFont="1" applyFill="1" applyBorder="1" applyAlignment="1" applyProtection="1">
      <alignment horizontal="left" wrapText="1"/>
    </xf>
    <xf numFmtId="167" fontId="16" fillId="0" borderId="18" xfId="6" quotePrefix="1" applyFont="1" applyFill="1" applyBorder="1" applyAlignment="1" applyProtection="1">
      <alignment horizontal="right"/>
    </xf>
    <xf numFmtId="0" fontId="16" fillId="0" borderId="18" xfId="6" quotePrefix="1" applyNumberFormat="1" applyFont="1" applyFill="1" applyBorder="1" applyAlignment="1" applyProtection="1">
      <alignment horizontal="right"/>
    </xf>
    <xf numFmtId="0" fontId="7" fillId="0" borderId="0" xfId="3" applyFont="1" applyFill="1" applyAlignment="1" applyProtection="1">
      <alignment horizontal="right" vertical="top"/>
    </xf>
    <xf numFmtId="0" fontId="8" fillId="0" borderId="0" xfId="3" applyFont="1" applyFill="1" applyAlignment="1" applyProtection="1">
      <alignment horizontal="left" vertical="top"/>
    </xf>
    <xf numFmtId="0" fontId="8" fillId="0" borderId="0" xfId="3" applyFont="1" applyFill="1" applyAlignment="1" applyProtection="1">
      <alignment horizontal="right" vertical="top"/>
    </xf>
    <xf numFmtId="0" fontId="8" fillId="0" borderId="13" xfId="3" applyFont="1" applyFill="1" applyBorder="1" applyAlignment="1" applyProtection="1">
      <alignment wrapText="1"/>
    </xf>
    <xf numFmtId="0" fontId="8" fillId="0" borderId="16" xfId="3" applyFont="1" applyFill="1" applyBorder="1" applyProtection="1">
      <protection locked="0"/>
    </xf>
    <xf numFmtId="166" fontId="24" fillId="0" borderId="4" xfId="3" applyNumberFormat="1" applyFont="1" applyFill="1" applyBorder="1" applyProtection="1">
      <protection locked="0"/>
    </xf>
    <xf numFmtId="169" fontId="24" fillId="3" borderId="4" xfId="1" applyNumberFormat="1" applyFont="1" applyFill="1" applyBorder="1" applyProtection="1">
      <protection locked="0"/>
    </xf>
    <xf numFmtId="0" fontId="8" fillId="0" borderId="0" xfId="3" applyFont="1" applyFill="1" applyBorder="1" applyAlignment="1" applyProtection="1">
      <alignment wrapText="1"/>
    </xf>
    <xf numFmtId="0" fontId="8" fillId="0" borderId="0" xfId="3" applyFont="1" applyFill="1" applyBorder="1" applyProtection="1"/>
    <xf numFmtId="166" fontId="8" fillId="0" borderId="0" xfId="3" applyNumberFormat="1" applyFont="1" applyFill="1" applyProtection="1">
      <protection locked="0"/>
    </xf>
    <xf numFmtId="0" fontId="9" fillId="0" borderId="0" xfId="3" applyFont="1" applyFill="1" applyProtection="1"/>
    <xf numFmtId="0" fontId="4" fillId="0" borderId="0" xfId="3" applyFont="1" applyFill="1" applyBorder="1" applyAlignment="1" applyProtection="1">
      <alignment horizontal="left" vertical="top" wrapText="1"/>
    </xf>
    <xf numFmtId="0" fontId="5" fillId="0" borderId="0" xfId="3" applyFont="1" applyFill="1" applyAlignment="1" applyProtection="1">
      <alignment horizontal="right" vertical="top" wrapText="1"/>
    </xf>
    <xf numFmtId="0" fontId="5" fillId="0" borderId="0" xfId="3" applyFont="1" applyFill="1" applyAlignment="1" applyProtection="1">
      <alignment horizontal="left" vertical="top" wrapText="1"/>
    </xf>
    <xf numFmtId="0" fontId="1" fillId="3" borderId="0" xfId="3" applyFont="1" applyFill="1" applyProtection="1">
      <protection locked="0"/>
    </xf>
    <xf numFmtId="166" fontId="4" fillId="2" borderId="0" xfId="5" applyNumberFormat="1" applyFill="1"/>
    <xf numFmtId="170" fontId="1" fillId="0" borderId="0" xfId="2" applyNumberFormat="1" applyFont="1" applyFill="1" applyProtection="1">
      <protection locked="0"/>
    </xf>
    <xf numFmtId="0" fontId="8" fillId="0" borderId="4" xfId="3" applyFont="1" applyFill="1" applyBorder="1" applyProtection="1"/>
    <xf numFmtId="171" fontId="5" fillId="0" borderId="0" xfId="3" applyNumberFormat="1" applyFont="1" applyFill="1" applyAlignment="1" applyProtection="1">
      <alignment horizontal="right" vertical="top"/>
    </xf>
    <xf numFmtId="171" fontId="1" fillId="0" borderId="0" xfId="3" applyNumberFormat="1" applyFont="1" applyFill="1" applyAlignment="1" applyProtection="1">
      <alignment horizontal="left" vertical="top"/>
    </xf>
    <xf numFmtId="171" fontId="1" fillId="0" borderId="0" xfId="3" applyNumberFormat="1" applyFont="1" applyFill="1" applyAlignment="1" applyProtection="1">
      <alignment horizontal="right" vertical="top"/>
    </xf>
    <xf numFmtId="0" fontId="8" fillId="0" borderId="5" xfId="3" applyFont="1" applyBorder="1"/>
    <xf numFmtId="171" fontId="9" fillId="0" borderId="0" xfId="6" quotePrefix="1" applyNumberFormat="1" applyFont="1" applyFill="1" applyAlignment="1" applyProtection="1">
      <alignment horizontal="right"/>
    </xf>
    <xf numFmtId="171" fontId="9" fillId="0" borderId="23" xfId="6" quotePrefix="1" applyNumberFormat="1" applyFont="1" applyFill="1" applyBorder="1" applyAlignment="1" applyProtection="1">
      <alignment horizontal="right"/>
    </xf>
    <xf numFmtId="171" fontId="9" fillId="0" borderId="0" xfId="6" quotePrefix="1" applyNumberFormat="1" applyFont="1" applyFill="1" applyBorder="1" applyAlignment="1" applyProtection="1">
      <alignment horizontal="right"/>
    </xf>
    <xf numFmtId="171" fontId="1" fillId="0" borderId="0" xfId="3" applyNumberFormat="1" applyFont="1" applyFill="1" applyAlignment="1" applyProtection="1">
      <alignment horizontal="right"/>
      <protection locked="0"/>
    </xf>
    <xf numFmtId="172" fontId="8" fillId="0" borderId="4" xfId="7" applyNumberFormat="1" applyFont="1" applyFill="1" applyBorder="1" applyAlignment="1" applyProtection="1"/>
    <xf numFmtId="4" fontId="25" fillId="0" borderId="4" xfId="7" applyNumberFormat="1" applyFont="1" applyFill="1" applyBorder="1" applyAlignment="1" applyProtection="1"/>
    <xf numFmtId="4" fontId="25" fillId="0" borderId="4" xfId="3" applyNumberFormat="1" applyFont="1" applyFill="1" applyBorder="1" applyAlignment="1" applyProtection="1"/>
    <xf numFmtId="4" fontId="25" fillId="4" borderId="4" xfId="3" applyNumberFormat="1" applyFont="1" applyFill="1" applyBorder="1" applyAlignment="1" applyProtection="1"/>
    <xf numFmtId="4" fontId="25" fillId="3" borderId="4" xfId="3" applyNumberFormat="1" applyFont="1" applyFill="1" applyBorder="1" applyAlignment="1" applyProtection="1"/>
    <xf numFmtId="4" fontId="25" fillId="0" borderId="0" xfId="3" applyNumberFormat="1" applyFont="1" applyFill="1" applyBorder="1" applyAlignment="1" applyProtection="1"/>
    <xf numFmtId="3" fontId="8" fillId="0" borderId="0" xfId="7" applyNumberFormat="1" applyFont="1" applyFill="1" applyBorder="1" applyAlignment="1" applyProtection="1"/>
    <xf numFmtId="3" fontId="8" fillId="0" borderId="0" xfId="3" applyNumberFormat="1" applyFont="1" applyFill="1" applyBorder="1" applyAlignment="1" applyProtection="1"/>
    <xf numFmtId="0" fontId="26" fillId="0" borderId="0" xfId="0" applyFont="1" applyFill="1"/>
    <xf numFmtId="173" fontId="26" fillId="0" borderId="0" xfId="1" applyNumberFormat="1" applyFont="1" applyFill="1"/>
    <xf numFmtId="174" fontId="1" fillId="0" borderId="0" xfId="3" applyNumberFormat="1" applyFont="1" applyFill="1" applyProtection="1">
      <protection locked="0"/>
    </xf>
    <xf numFmtId="0" fontId="2" fillId="0" borderId="0" xfId="0" applyFont="1" applyFill="1"/>
    <xf numFmtId="0" fontId="12" fillId="0" borderId="0" xfId="3" applyFont="1" applyFill="1" applyBorder="1" applyAlignment="1" applyProtection="1">
      <alignment horizontal="left" vertical="top" wrapText="1"/>
    </xf>
    <xf numFmtId="0" fontId="4" fillId="0" borderId="0" xfId="3" applyNumberFormat="1" applyFont="1" applyFill="1" applyBorder="1" applyAlignment="1" applyProtection="1">
      <alignment horizontal="left" vertical="top" wrapText="1"/>
    </xf>
    <xf numFmtId="0" fontId="4" fillId="0" borderId="1" xfId="4" applyFont="1" applyFill="1" applyBorder="1" applyAlignment="1" applyProtection="1">
      <alignment vertical="top" wrapText="1"/>
    </xf>
    <xf numFmtId="0" fontId="4" fillId="0" borderId="2" xfId="4" applyFont="1" applyFill="1" applyBorder="1" applyAlignment="1" applyProtection="1">
      <alignment vertical="top" wrapText="1"/>
    </xf>
    <xf numFmtId="0" fontId="4" fillId="0" borderId="0" xfId="4" applyFont="1" applyFill="1" applyBorder="1" applyAlignment="1" applyProtection="1">
      <alignment vertical="top" wrapText="1"/>
    </xf>
    <xf numFmtId="0" fontId="1" fillId="0" borderId="0" xfId="3" applyFont="1" applyFill="1" applyBorder="1" applyAlignment="1" applyProtection="1">
      <alignment readingOrder="1"/>
      <protection locked="0"/>
    </xf>
    <xf numFmtId="0" fontId="4" fillId="0" borderId="0" xfId="4" applyFont="1" applyFill="1" applyBorder="1" applyAlignment="1" applyProtection="1">
      <alignment horizontal="left" vertical="top" wrapText="1"/>
    </xf>
    <xf numFmtId="0" fontId="4" fillId="0" borderId="0" xfId="3" applyFont="1" applyFill="1" applyBorder="1" applyAlignment="1" applyProtection="1">
      <alignment horizontal="left" vertical="top"/>
      <protection locked="0"/>
    </xf>
    <xf numFmtId="0" fontId="4" fillId="0" borderId="10" xfId="3" applyFont="1" applyFill="1" applyBorder="1" applyAlignment="1" applyProtection="1">
      <alignment horizontal="left" vertical="top"/>
      <protection locked="0"/>
    </xf>
    <xf numFmtId="0" fontId="1" fillId="0" borderId="0" xfId="3" applyFont="1" applyFill="1" applyBorder="1" applyAlignment="1" applyProtection="1">
      <protection locked="0"/>
    </xf>
    <xf numFmtId="0" fontId="1" fillId="0" borderId="0" xfId="3" applyFont="1" applyFill="1" applyBorder="1" applyAlignment="1" applyProtection="1">
      <alignment vertical="top"/>
    </xf>
    <xf numFmtId="0" fontId="9" fillId="0" borderId="4" xfId="3" applyFont="1" applyFill="1" applyBorder="1" applyProtection="1"/>
    <xf numFmtId="0" fontId="9" fillId="0" borderId="4" xfId="3" applyFont="1" applyFill="1" applyBorder="1" applyAlignment="1" applyProtection="1">
      <alignment wrapText="1" readingOrder="1"/>
    </xf>
    <xf numFmtId="0" fontId="9" fillId="0" borderId="0" xfId="3" applyFont="1" applyFill="1" applyBorder="1" applyAlignment="1" applyProtection="1">
      <alignment wrapText="1" readingOrder="1"/>
    </xf>
    <xf numFmtId="0" fontId="8" fillId="0" borderId="5" xfId="3" applyFont="1" applyFill="1" applyBorder="1" applyProtection="1"/>
    <xf numFmtId="0" fontId="9" fillId="0" borderId="18" xfId="3" applyFont="1" applyFill="1" applyBorder="1" applyAlignment="1" applyProtection="1">
      <alignment horizontal="right"/>
    </xf>
    <xf numFmtId="0" fontId="9" fillId="0" borderId="0" xfId="3" applyFont="1" applyFill="1" applyBorder="1" applyAlignment="1" applyProtection="1">
      <alignment horizontal="right"/>
    </xf>
    <xf numFmtId="0" fontId="9" fillId="0" borderId="13" xfId="3" applyFont="1" applyFill="1" applyBorder="1" applyAlignment="1" applyProtection="1">
      <alignment wrapText="1"/>
    </xf>
    <xf numFmtId="166" fontId="25" fillId="3" borderId="4" xfId="0" applyNumberFormat="1" applyFont="1" applyFill="1" applyBorder="1" applyAlignment="1">
      <alignment horizontal="right"/>
    </xf>
    <xf numFmtId="166" fontId="25" fillId="3" borderId="0" xfId="0" applyNumberFormat="1" applyFont="1" applyFill="1" applyBorder="1" applyAlignment="1">
      <alignment horizontal="right"/>
    </xf>
    <xf numFmtId="0" fontId="9" fillId="0" borderId="0" xfId="3" applyFont="1" applyFill="1" applyBorder="1" applyAlignment="1" applyProtection="1">
      <alignment wrapText="1"/>
    </xf>
    <xf numFmtId="166" fontId="8" fillId="0" borderId="0" xfId="3" applyNumberFormat="1" applyFont="1" applyFill="1" applyBorder="1" applyAlignment="1" applyProtection="1">
      <alignment horizontal="right" wrapText="1"/>
    </xf>
    <xf numFmtId="166" fontId="25" fillId="3" borderId="0" xfId="0" applyNumberFormat="1" applyFont="1" applyFill="1" applyBorder="1" applyAlignment="1">
      <alignment horizontal="center"/>
    </xf>
    <xf numFmtId="2" fontId="26" fillId="0" borderId="0" xfId="0" applyNumberFormat="1" applyFont="1" applyFill="1"/>
    <xf numFmtId="0" fontId="8" fillId="0" borderId="0" xfId="3" applyFont="1" applyFill="1" applyBorder="1" applyAlignment="1" applyProtection="1">
      <alignment horizontal="right" wrapText="1"/>
    </xf>
    <xf numFmtId="166" fontId="8" fillId="0" borderId="0" xfId="3" applyNumberFormat="1" applyFont="1" applyFill="1" applyBorder="1" applyProtection="1"/>
    <xf numFmtId="166" fontId="26" fillId="0" borderId="0" xfId="0" applyNumberFormat="1" applyFont="1" applyFill="1" applyAlignment="1">
      <alignment horizontal="center"/>
    </xf>
    <xf numFmtId="0" fontId="4" fillId="0" borderId="0" xfId="3" applyFont="1" applyFill="1" applyProtection="1">
      <protection locked="0"/>
    </xf>
    <xf numFmtId="0" fontId="8" fillId="0" borderId="0" xfId="3" applyFont="1" applyFill="1" applyBorder="1" applyAlignment="1" applyProtection="1">
      <alignment horizontal="left" vertical="top"/>
    </xf>
    <xf numFmtId="0" fontId="8" fillId="0" borderId="0" xfId="3" applyFont="1" applyFill="1" applyBorder="1" applyAlignment="1" applyProtection="1">
      <alignment horizontal="right" vertical="top"/>
    </xf>
    <xf numFmtId="0" fontId="9" fillId="0" borderId="4" xfId="3" applyFont="1" applyFill="1" applyBorder="1" applyAlignment="1" applyProtection="1">
      <alignment horizontal="left" vertical="top"/>
    </xf>
    <xf numFmtId="0" fontId="9" fillId="0" borderId="4" xfId="3" applyFont="1" applyFill="1" applyBorder="1" applyAlignment="1" applyProtection="1">
      <alignment horizontal="right" vertical="top"/>
    </xf>
    <xf numFmtId="0" fontId="9" fillId="0" borderId="4" xfId="3" applyFont="1" applyFill="1" applyBorder="1" applyAlignment="1" applyProtection="1">
      <protection locked="0"/>
    </xf>
    <xf numFmtId="0" fontId="1" fillId="0" borderId="4" xfId="3" applyFont="1" applyFill="1" applyBorder="1" applyProtection="1">
      <protection locked="0"/>
    </xf>
    <xf numFmtId="0" fontId="8" fillId="0" borderId="4" xfId="3" applyFont="1" applyFill="1" applyBorder="1" applyProtection="1">
      <protection locked="0"/>
    </xf>
    <xf numFmtId="0" fontId="9" fillId="0" borderId="0" xfId="3" applyFont="1" applyFill="1" applyBorder="1" applyAlignment="1" applyProtection="1">
      <alignment horizontal="left" vertical="top"/>
    </xf>
    <xf numFmtId="0" fontId="9" fillId="0" borderId="0" xfId="3" applyFont="1" applyFill="1" applyBorder="1" applyAlignment="1" applyProtection="1">
      <alignment horizontal="right" vertical="top"/>
    </xf>
    <xf numFmtId="0" fontId="6" fillId="0" borderId="0" xfId="3" applyFont="1" applyFill="1" applyAlignment="1" applyProtection="1">
      <alignment horizontal="right" vertical="top"/>
    </xf>
    <xf numFmtId="0" fontId="4" fillId="0" borderId="25" xfId="3" applyFont="1" applyFill="1" applyBorder="1" applyAlignment="1" applyProtection="1">
      <alignment horizontal="right" vertical="top" wrapText="1"/>
    </xf>
    <xf numFmtId="17" fontId="4" fillId="0" borderId="25" xfId="3" applyNumberFormat="1" applyFont="1" applyFill="1" applyBorder="1" applyAlignment="1" applyProtection="1">
      <alignment horizontal="right" vertical="top" wrapText="1"/>
    </xf>
    <xf numFmtId="0" fontId="21" fillId="0" borderId="25" xfId="3" applyFont="1" applyFill="1" applyBorder="1" applyAlignment="1" applyProtection="1">
      <alignment horizontal="right" vertical="top" wrapText="1"/>
    </xf>
    <xf numFmtId="17" fontId="21" fillId="0" borderId="25" xfId="3" applyNumberFormat="1" applyFont="1" applyFill="1" applyBorder="1" applyAlignment="1" applyProtection="1">
      <alignment horizontal="right" vertical="top" wrapText="1"/>
    </xf>
    <xf numFmtId="0" fontId="0" fillId="0" borderId="0" xfId="3" applyFont="1" applyFill="1" applyAlignment="1" applyProtection="1">
      <alignment horizontal="left" vertical="top"/>
    </xf>
    <xf numFmtId="2" fontId="26" fillId="5" borderId="0" xfId="0" applyNumberFormat="1" applyFont="1" applyFill="1" applyAlignment="1">
      <alignment horizontal="center"/>
    </xf>
    <xf numFmtId="0" fontId="26" fillId="5" borderId="0" xfId="0" applyFont="1" applyFill="1" applyAlignment="1">
      <alignment horizontal="center"/>
    </xf>
    <xf numFmtId="0" fontId="26" fillId="0" borderId="0" xfId="0" applyFont="1" applyFill="1" applyAlignment="1">
      <alignment horizontal="center"/>
    </xf>
    <xf numFmtId="0" fontId="22" fillId="5" borderId="0" xfId="0" applyFont="1" applyFill="1" applyAlignment="1">
      <alignment horizontal="center"/>
    </xf>
    <xf numFmtId="2" fontId="26" fillId="0" borderId="0" xfId="0" applyNumberFormat="1" applyFont="1" applyFill="1" applyAlignment="1">
      <alignment horizontal="center"/>
    </xf>
    <xf numFmtId="166" fontId="26" fillId="5" borderId="0" xfId="0" applyNumberFormat="1" applyFont="1" applyFill="1" applyAlignment="1">
      <alignment horizontal="center"/>
    </xf>
    <xf numFmtId="0" fontId="27" fillId="0" borderId="0" xfId="3" applyFont="1" applyFill="1" applyAlignment="1" applyProtection="1">
      <alignment horizontal="left" vertical="top"/>
    </xf>
    <xf numFmtId="0" fontId="27" fillId="0" borderId="0" xfId="3" applyFont="1" applyFill="1" applyAlignment="1" applyProtection="1">
      <alignment horizontal="right" vertical="top"/>
    </xf>
    <xf numFmtId="0" fontId="8" fillId="0" borderId="17" xfId="3" applyFont="1" applyFill="1" applyBorder="1" applyProtection="1"/>
    <xf numFmtId="167" fontId="9" fillId="0" borderId="18" xfId="6" applyFont="1" applyFill="1" applyBorder="1" applyAlignment="1" applyProtection="1">
      <alignment horizontal="right"/>
    </xf>
    <xf numFmtId="167" fontId="9" fillId="0" borderId="18" xfId="6" quotePrefix="1" applyFont="1" applyFill="1" applyBorder="1" applyAlignment="1" applyProtection="1">
      <alignment horizontal="right"/>
    </xf>
    <xf numFmtId="49" fontId="9" fillId="0" borderId="18" xfId="6" applyNumberFormat="1" applyFont="1" applyFill="1" applyBorder="1" applyAlignment="1" applyProtection="1">
      <alignment horizontal="right"/>
    </xf>
    <xf numFmtId="49" fontId="9" fillId="0" borderId="0" xfId="6" applyNumberFormat="1" applyFont="1" applyFill="1" applyBorder="1" applyAlignment="1" applyProtection="1">
      <alignment horizontal="right"/>
    </xf>
    <xf numFmtId="0" fontId="27" fillId="0" borderId="0" xfId="3" applyFont="1" applyFill="1" applyProtection="1">
      <protection locked="0"/>
    </xf>
    <xf numFmtId="0" fontId="25" fillId="3" borderId="4" xfId="0" applyFont="1" applyFill="1" applyBorder="1"/>
    <xf numFmtId="168" fontId="8" fillId="0" borderId="0" xfId="6" applyNumberFormat="1" applyFont="1" applyFill="1" applyBorder="1" applyProtection="1"/>
    <xf numFmtId="0" fontId="25" fillId="3" borderId="0" xfId="0" applyFont="1" applyFill="1" applyBorder="1"/>
    <xf numFmtId="0" fontId="4" fillId="0" borderId="0" xfId="3" applyFont="1" applyFill="1" applyBorder="1" applyAlignment="1" applyProtection="1">
      <alignment vertical="top" wrapText="1"/>
    </xf>
    <xf numFmtId="0" fontId="4" fillId="0" borderId="0" xfId="3" applyNumberFormat="1" applyFont="1" applyFill="1" applyBorder="1" applyAlignment="1" applyProtection="1">
      <alignment vertical="top" wrapText="1"/>
    </xf>
    <xf numFmtId="0" fontId="26" fillId="0" borderId="0" xfId="5" applyFont="1" applyFill="1"/>
    <xf numFmtId="167" fontId="9" fillId="0" borderId="0" xfId="6" applyFont="1" applyFill="1" applyAlignment="1" applyProtection="1">
      <alignment horizontal="right"/>
    </xf>
    <xf numFmtId="167" fontId="9" fillId="0" borderId="0" xfId="6" applyFont="1" applyFill="1" applyBorder="1" applyAlignment="1" applyProtection="1">
      <alignment horizontal="right"/>
    </xf>
    <xf numFmtId="167" fontId="9" fillId="0" borderId="0" xfId="6" quotePrefix="1" applyFont="1" applyFill="1" applyBorder="1" applyAlignment="1" applyProtection="1">
      <alignment horizontal="right"/>
    </xf>
    <xf numFmtId="0" fontId="26" fillId="5" borderId="0" xfId="0" applyFont="1" applyFill="1"/>
    <xf numFmtId="167" fontId="16" fillId="0" borderId="0" xfId="6" applyFont="1" applyFill="1" applyAlignment="1" applyProtection="1">
      <alignment horizontal="right"/>
      <protection locked="0"/>
    </xf>
    <xf numFmtId="167" fontId="16" fillId="0" borderId="0" xfId="6" applyFont="1" applyFill="1" applyBorder="1" applyAlignment="1" applyProtection="1">
      <alignment horizontal="right"/>
      <protection locked="0"/>
    </xf>
    <xf numFmtId="167" fontId="16" fillId="0" borderId="0" xfId="6" quotePrefix="1" applyFont="1" applyFill="1" applyBorder="1" applyAlignment="1" applyProtection="1">
      <alignment horizontal="right"/>
      <protection locked="0"/>
    </xf>
    <xf numFmtId="0" fontId="8" fillId="0" borderId="0" xfId="3" applyFont="1" applyFill="1" applyBorder="1" applyAlignment="1" applyProtection="1">
      <alignment wrapText="1"/>
      <protection locked="0"/>
    </xf>
    <xf numFmtId="168" fontId="28" fillId="0" borderId="0" xfId="6" applyNumberFormat="1" applyFont="1" applyFill="1" applyBorder="1" applyProtection="1">
      <protection locked="0"/>
    </xf>
    <xf numFmtId="0" fontId="1" fillId="0" borderId="0" xfId="3" quotePrefix="1" applyFont="1" applyFill="1" applyProtection="1">
      <protection locked="0"/>
    </xf>
    <xf numFmtId="0" fontId="7" fillId="0" borderId="4" xfId="3" applyFont="1" applyFill="1" applyBorder="1" applyAlignment="1" applyProtection="1"/>
    <xf numFmtId="0" fontId="6" fillId="0" borderId="4" xfId="3" applyFont="1" applyFill="1" applyBorder="1" applyProtection="1"/>
    <xf numFmtId="166" fontId="6" fillId="0" borderId="4" xfId="3" applyNumberFormat="1" applyFont="1" applyFill="1" applyBorder="1" applyProtection="1"/>
    <xf numFmtId="166" fontId="25" fillId="0" borderId="4" xfId="3" applyNumberFormat="1" applyFont="1" applyFill="1" applyBorder="1" applyProtection="1">
      <protection locked="0"/>
    </xf>
    <xf numFmtId="166" fontId="26" fillId="0" borderId="0" xfId="0" applyNumberFormat="1" applyFont="1" applyFill="1"/>
    <xf numFmtId="0" fontId="8" fillId="0" borderId="0" xfId="3" applyFont="1" applyFill="1" applyAlignment="1" applyProtection="1">
      <alignment horizontal="center"/>
    </xf>
    <xf numFmtId="167" fontId="9" fillId="0" borderId="0" xfId="6" quotePrefix="1" applyFont="1" applyFill="1" applyAlignment="1" applyProtection="1">
      <alignment horizontal="right"/>
    </xf>
    <xf numFmtId="167" fontId="9" fillId="0" borderId="23" xfId="6" quotePrefix="1" applyFont="1" applyFill="1" applyBorder="1" applyAlignment="1" applyProtection="1">
      <alignment horizontal="right"/>
    </xf>
    <xf numFmtId="0" fontId="1" fillId="0" borderId="0" xfId="3" applyNumberFormat="1" applyFont="1" applyFill="1" applyBorder="1" applyAlignment="1" applyProtection="1">
      <alignment horizontal="left" vertical="top"/>
    </xf>
    <xf numFmtId="0" fontId="1" fillId="0" borderId="0" xfId="3" applyFont="1" applyFill="1" applyBorder="1" applyAlignment="1" applyProtection="1">
      <alignment horizontal="right" vertical="top"/>
    </xf>
    <xf numFmtId="0" fontId="1" fillId="6" borderId="0" xfId="3" applyFont="1" applyFill="1" applyBorder="1" applyAlignment="1"/>
    <xf numFmtId="0" fontId="1" fillId="0" borderId="0" xfId="3" applyFont="1" applyFill="1" applyBorder="1" applyAlignment="1" applyProtection="1">
      <alignment horizontal="left" vertical="top"/>
    </xf>
    <xf numFmtId="0" fontId="4" fillId="0" borderId="0" xfId="4" applyFont="1" applyFill="1" applyBorder="1" applyAlignment="1" applyProtection="1">
      <alignment horizontal="left" vertical="top"/>
    </xf>
    <xf numFmtId="0" fontId="14" fillId="0" borderId="0" xfId="3" applyFont="1" applyFill="1" applyBorder="1" applyAlignment="1" applyProtection="1">
      <alignment horizontal="center" vertical="top"/>
      <protection locked="0"/>
    </xf>
    <xf numFmtId="0" fontId="4" fillId="0" borderId="0" xfId="3" applyFont="1" applyFill="1" applyBorder="1" applyAlignment="1" applyProtection="1">
      <alignment horizontal="left" vertical="top"/>
    </xf>
    <xf numFmtId="167" fontId="9" fillId="3" borderId="23" xfId="6" quotePrefix="1" applyFont="1" applyFill="1" applyBorder="1" applyAlignment="1" applyProtection="1">
      <alignment horizontal="right"/>
    </xf>
    <xf numFmtId="1" fontId="9" fillId="3" borderId="23" xfId="6" quotePrefix="1" applyNumberFormat="1" applyFont="1" applyFill="1" applyBorder="1" applyAlignment="1" applyProtection="1">
      <alignment horizontal="right"/>
    </xf>
    <xf numFmtId="1" fontId="9" fillId="3" borderId="0" xfId="6" quotePrefix="1" applyNumberFormat="1" applyFont="1" applyFill="1" applyBorder="1" applyAlignment="1" applyProtection="1">
      <alignment horizontal="right"/>
    </xf>
    <xf numFmtId="0" fontId="8" fillId="0" borderId="9" xfId="3" applyFont="1" applyFill="1" applyBorder="1" applyProtection="1"/>
    <xf numFmtId="166" fontId="8" fillId="3" borderId="0" xfId="3" applyNumberFormat="1" applyFont="1" applyFill="1" applyBorder="1" applyProtection="1"/>
    <xf numFmtId="166" fontId="8" fillId="0" borderId="13" xfId="3" applyNumberFormat="1" applyFont="1" applyFill="1" applyBorder="1" applyProtection="1"/>
    <xf numFmtId="166" fontId="8" fillId="3" borderId="4" xfId="0" applyNumberFormat="1" applyFont="1" applyFill="1" applyBorder="1"/>
    <xf numFmtId="0" fontId="8" fillId="3" borderId="4" xfId="0" applyFont="1" applyFill="1" applyBorder="1"/>
    <xf numFmtId="166" fontId="8" fillId="3" borderId="4" xfId="3" applyNumberFormat="1" applyFont="1" applyFill="1" applyBorder="1" applyProtection="1"/>
    <xf numFmtId="166" fontId="29" fillId="0" borderId="0" xfId="3" applyNumberFormat="1" applyFont="1" applyFill="1" applyAlignment="1" applyProtection="1">
      <alignment horizontal="center"/>
    </xf>
    <xf numFmtId="0" fontId="0" fillId="0" borderId="0" xfId="3" applyFont="1" applyFill="1" applyProtection="1">
      <protection locked="0"/>
    </xf>
    <xf numFmtId="0" fontId="29" fillId="0" borderId="0" xfId="3" applyFont="1" applyFill="1" applyProtection="1">
      <protection locked="0"/>
    </xf>
    <xf numFmtId="0" fontId="29" fillId="0" borderId="0" xfId="3" applyFont="1" applyFill="1" applyProtection="1"/>
    <xf numFmtId="0" fontId="4" fillId="3" borderId="0" xfId="3" applyFont="1" applyFill="1" applyBorder="1" applyAlignment="1" applyProtection="1">
      <alignment horizontal="left" vertical="top" wrapText="1"/>
    </xf>
    <xf numFmtId="0" fontId="30" fillId="0" borderId="0" xfId="3" applyFont="1" applyFill="1" applyBorder="1" applyAlignment="1" applyProtection="1">
      <alignment vertical="top"/>
    </xf>
    <xf numFmtId="0" fontId="19" fillId="0" borderId="0" xfId="3" applyFont="1" applyFill="1" applyBorder="1" applyAlignment="1" applyProtection="1">
      <protection locked="0"/>
    </xf>
    <xf numFmtId="0" fontId="31" fillId="0" borderId="0" xfId="3" applyFont="1" applyFill="1" applyBorder="1" applyAlignment="1" applyProtection="1">
      <alignment vertical="top"/>
    </xf>
    <xf numFmtId="0" fontId="32" fillId="0" borderId="0" xfId="3" applyFont="1" applyFill="1" applyBorder="1" applyAlignment="1" applyProtection="1">
      <alignment vertical="top"/>
    </xf>
    <xf numFmtId="0" fontId="32" fillId="0" borderId="0" xfId="3" applyFont="1" applyFill="1" applyBorder="1" applyAlignment="1" applyProtection="1">
      <protection locked="0"/>
    </xf>
    <xf numFmtId="166" fontId="33" fillId="0" borderId="0" xfId="0" applyNumberFormat="1" applyFont="1" applyFill="1" applyBorder="1" applyAlignment="1"/>
    <xf numFmtId="166" fontId="33" fillId="0" borderId="9" xfId="0" applyNumberFormat="1" applyFont="1" applyFill="1" applyBorder="1" applyAlignment="1"/>
    <xf numFmtId="166" fontId="33" fillId="0" borderId="12" xfId="0" applyNumberFormat="1" applyFont="1" applyFill="1" applyBorder="1" applyAlignment="1"/>
    <xf numFmtId="166" fontId="8" fillId="0" borderId="12" xfId="3" applyNumberFormat="1" applyFont="1" applyBorder="1" applyProtection="1">
      <protection locked="0"/>
    </xf>
    <xf numFmtId="166" fontId="8" fillId="0" borderId="9" xfId="3" applyNumberFormat="1" applyFont="1" applyBorder="1" applyProtection="1">
      <protection locked="0"/>
    </xf>
    <xf numFmtId="166" fontId="8" fillId="0" borderId="0" xfId="3" applyNumberFormat="1" applyFont="1" applyBorder="1" applyProtection="1">
      <protection locked="0"/>
    </xf>
    <xf numFmtId="166" fontId="4" fillId="0" borderId="9" xfId="3" applyNumberFormat="1" applyFont="1" applyBorder="1" applyProtection="1">
      <protection locked="0"/>
    </xf>
    <xf numFmtId="166" fontId="4" fillId="0" borderId="0" xfId="3" applyNumberFormat="1" applyFont="1" applyBorder="1" applyProtection="1">
      <protection locked="0"/>
    </xf>
    <xf numFmtId="166" fontId="1" fillId="0" borderId="0" xfId="3" applyNumberFormat="1" applyFont="1" applyProtection="1">
      <protection locked="0"/>
    </xf>
    <xf numFmtId="166" fontId="4" fillId="0" borderId="12" xfId="3" applyNumberFormat="1" applyFont="1" applyBorder="1" applyProtection="1">
      <protection locked="0"/>
    </xf>
    <xf numFmtId="0" fontId="1" fillId="0" borderId="24" xfId="3" applyFont="1" applyFill="1" applyBorder="1" applyAlignment="1" applyProtection="1">
      <alignment horizontal="center" vertical="top"/>
    </xf>
    <xf numFmtId="0" fontId="8" fillId="0" borderId="12" xfId="3" applyFont="1" applyFill="1" applyBorder="1" applyProtection="1">
      <protection locked="0"/>
    </xf>
    <xf numFmtId="0" fontId="1" fillId="0" borderId="9" xfId="3" applyFont="1" applyFill="1" applyBorder="1" applyAlignment="1" applyProtection="1">
      <alignment horizontal="left" vertical="top"/>
    </xf>
    <xf numFmtId="166" fontId="26" fillId="0" borderId="16" xfId="0" applyNumberFormat="1" applyFont="1" applyFill="1" applyBorder="1" applyAlignment="1">
      <alignment horizontal="center"/>
    </xf>
    <xf numFmtId="166" fontId="26" fillId="0" borderId="13" xfId="0" applyNumberFormat="1" applyFont="1" applyFill="1" applyBorder="1" applyAlignment="1">
      <alignment horizontal="center"/>
    </xf>
    <xf numFmtId="166" fontId="26" fillId="0" borderId="4" xfId="0" applyNumberFormat="1" applyFont="1" applyFill="1" applyBorder="1" applyAlignment="1">
      <alignment horizontal="center"/>
    </xf>
    <xf numFmtId="0" fontId="26" fillId="0" borderId="16" xfId="0" applyFont="1" applyFill="1" applyBorder="1" applyAlignment="1">
      <alignment horizontal="center"/>
    </xf>
    <xf numFmtId="0" fontId="26" fillId="0" borderId="4" xfId="0" applyFont="1" applyFill="1" applyBorder="1" applyAlignment="1">
      <alignment horizontal="center"/>
    </xf>
    <xf numFmtId="0" fontId="4" fillId="0" borderId="0" xfId="3" applyFont="1" applyFill="1" applyAlignment="1" applyProtection="1">
      <alignment horizontal="left" vertical="top"/>
    </xf>
    <xf numFmtId="0" fontId="4" fillId="0" borderId="0" xfId="3" applyFont="1" applyFill="1" applyAlignment="1" applyProtection="1">
      <alignment horizontal="right" vertical="top"/>
    </xf>
    <xf numFmtId="0" fontId="5" fillId="0" borderId="0" xfId="3" applyFont="1" applyAlignment="1" applyProtection="1">
      <alignment horizontal="right" vertical="top"/>
    </xf>
    <xf numFmtId="0" fontId="1" fillId="0" borderId="0" xfId="3" applyFont="1" applyAlignment="1" applyProtection="1">
      <alignment horizontal="left" vertical="top"/>
    </xf>
    <xf numFmtId="0" fontId="1" fillId="0" borderId="0" xfId="3" applyFont="1" applyAlignment="1" applyProtection="1">
      <alignment horizontal="right" vertical="top"/>
    </xf>
    <xf numFmtId="0" fontId="1" fillId="0" borderId="0" xfId="3" applyFont="1" applyProtection="1"/>
    <xf numFmtId="0" fontId="1" fillId="0" borderId="0" xfId="3" applyFont="1" applyProtection="1">
      <protection locked="0"/>
    </xf>
    <xf numFmtId="0" fontId="5" fillId="0" borderId="0" xfId="3" applyFont="1" applyAlignment="1" applyProtection="1">
      <alignment horizontal="left" vertical="top"/>
    </xf>
    <xf numFmtId="0" fontId="4" fillId="0" borderId="0" xfId="4" applyFont="1" applyFill="1" applyBorder="1" applyAlignment="1" applyProtection="1">
      <alignment vertical="top"/>
    </xf>
    <xf numFmtId="0" fontId="1" fillId="0" borderId="0" xfId="3" applyFont="1" applyBorder="1" applyProtection="1">
      <protection locked="0"/>
    </xf>
    <xf numFmtId="0" fontId="9" fillId="0" borderId="4" xfId="3" applyFont="1" applyBorder="1" applyAlignment="1" applyProtection="1"/>
    <xf numFmtId="0" fontId="9" fillId="0" borderId="0" xfId="3" applyFont="1" applyBorder="1" applyAlignment="1" applyProtection="1"/>
    <xf numFmtId="0" fontId="1" fillId="0" borderId="0" xfId="3" applyFont="1" applyBorder="1" applyProtection="1"/>
    <xf numFmtId="0" fontId="1" fillId="0" borderId="5" xfId="3" applyFont="1" applyBorder="1" applyProtection="1"/>
    <xf numFmtId="167" fontId="9" fillId="0" borderId="18" xfId="6" quotePrefix="1" applyFont="1" applyBorder="1" applyAlignment="1" applyProtection="1">
      <alignment horizontal="right"/>
    </xf>
    <xf numFmtId="167" fontId="20" fillId="0" borderId="0" xfId="6" quotePrefix="1" applyFont="1" applyBorder="1" applyAlignment="1" applyProtection="1">
      <alignment horizontal="right"/>
    </xf>
    <xf numFmtId="0" fontId="8" fillId="0" borderId="0" xfId="3" applyFont="1" applyAlignment="1" applyProtection="1">
      <alignment horizontal="right" vertical="top"/>
    </xf>
    <xf numFmtId="0" fontId="8" fillId="0" borderId="0" xfId="3" applyFont="1" applyAlignment="1" applyProtection="1">
      <alignment horizontal="left" vertical="top"/>
    </xf>
    <xf numFmtId="0" fontId="8" fillId="0" borderId="13" xfId="3" applyFont="1" applyBorder="1" applyProtection="1"/>
    <xf numFmtId="166" fontId="8" fillId="0" borderId="4" xfId="3" applyNumberFormat="1" applyFont="1" applyBorder="1" applyProtection="1"/>
    <xf numFmtId="166" fontId="17" fillId="0" borderId="4" xfId="3" applyNumberFormat="1" applyFont="1" applyBorder="1" applyProtection="1"/>
    <xf numFmtId="166" fontId="17" fillId="3" borderId="0" xfId="3" applyNumberFormat="1" applyFont="1" applyFill="1" applyBorder="1" applyProtection="1"/>
    <xf numFmtId="0" fontId="8" fillId="0" borderId="0" xfId="3" applyFont="1" applyProtection="1">
      <protection locked="0"/>
    </xf>
    <xf numFmtId="0" fontId="8" fillId="0" borderId="0" xfId="3" applyFont="1" applyBorder="1" applyProtection="1"/>
    <xf numFmtId="166" fontId="8" fillId="0" borderId="0" xfId="3" applyNumberFormat="1" applyFont="1" applyBorder="1" applyProtection="1"/>
    <xf numFmtId="166" fontId="0" fillId="3" borderId="0" xfId="0" applyNumberFormat="1" applyFill="1"/>
    <xf numFmtId="0" fontId="8" fillId="0" borderId="0" xfId="3" applyFont="1" applyProtection="1"/>
    <xf numFmtId="166" fontId="26" fillId="3" borderId="0" xfId="0" applyNumberFormat="1" applyFont="1" applyFill="1"/>
    <xf numFmtId="0" fontId="7" fillId="0" borderId="0" xfId="3" applyFont="1" applyProtection="1"/>
    <xf numFmtId="0" fontId="5" fillId="0" borderId="0" xfId="3" applyFont="1" applyAlignment="1" applyProtection="1">
      <alignment horizontal="right" vertical="top" wrapText="1"/>
    </xf>
    <xf numFmtId="0" fontId="5" fillId="0" borderId="0" xfId="3" applyFont="1" applyAlignment="1" applyProtection="1">
      <alignment horizontal="left" vertical="top" wrapText="1"/>
    </xf>
    <xf numFmtId="0" fontId="13" fillId="0" borderId="0" xfId="3" applyFont="1" applyFill="1" applyBorder="1" applyAlignment="1" applyProtection="1">
      <alignment horizontal="left" vertical="top" wrapText="1"/>
    </xf>
    <xf numFmtId="0" fontId="8" fillId="0" borderId="0" xfId="3" applyFont="1" applyBorder="1" applyAlignment="1" applyProtection="1">
      <alignment horizontal="left" vertical="top"/>
    </xf>
    <xf numFmtId="0" fontId="8" fillId="0" borderId="0" xfId="3" applyFont="1" applyBorder="1" applyAlignment="1" applyProtection="1">
      <alignment horizontal="right" vertical="top"/>
    </xf>
    <xf numFmtId="175" fontId="8" fillId="0" borderId="0" xfId="7" applyNumberFormat="1" applyFont="1" applyFill="1" applyBorder="1" applyProtection="1">
      <protection locked="0"/>
    </xf>
    <xf numFmtId="175" fontId="8" fillId="0" borderId="0" xfId="3" applyNumberFormat="1" applyFont="1" applyFill="1" applyBorder="1" applyAlignment="1" applyProtection="1">
      <alignment horizontal="center"/>
      <protection locked="0"/>
    </xf>
    <xf numFmtId="0" fontId="7" fillId="0" borderId="0" xfId="3" applyFont="1" applyAlignment="1" applyProtection="1">
      <alignment horizontal="right" vertical="top"/>
    </xf>
    <xf numFmtId="0" fontId="9" fillId="0" borderId="0" xfId="3" applyFont="1" applyAlignment="1" applyProtection="1">
      <alignment horizontal="right" vertical="top"/>
    </xf>
    <xf numFmtId="0" fontId="4" fillId="0" borderId="0" xfId="3" applyFont="1" applyProtection="1">
      <protection locked="0"/>
    </xf>
    <xf numFmtId="0" fontId="27" fillId="0" borderId="0" xfId="3" applyFont="1" applyAlignment="1" applyProtection="1">
      <alignment horizontal="right" vertical="top"/>
    </xf>
    <xf numFmtId="0" fontId="27" fillId="0" borderId="0" xfId="3" applyFont="1" applyBorder="1" applyAlignment="1" applyProtection="1">
      <alignment horizontal="right" vertical="top"/>
    </xf>
    <xf numFmtId="0" fontId="4" fillId="0" borderId="0" xfId="3" applyFont="1" applyBorder="1" applyProtection="1">
      <protection locked="0"/>
    </xf>
    <xf numFmtId="0" fontId="6" fillId="0" borderId="0" xfId="3" applyFont="1" applyFill="1" applyProtection="1">
      <protection locked="0"/>
    </xf>
    <xf numFmtId="0" fontId="4" fillId="3" borderId="0" xfId="4" applyFont="1" applyFill="1" applyBorder="1" applyAlignment="1" applyProtection="1">
      <alignment horizontal="left" vertical="top"/>
    </xf>
    <xf numFmtId="0" fontId="14" fillId="3" borderId="0" xfId="3" applyFont="1" applyFill="1" applyBorder="1" applyAlignment="1" applyProtection="1">
      <alignment horizontal="left" vertical="top"/>
      <protection locked="0"/>
    </xf>
    <xf numFmtId="0" fontId="4" fillId="3" borderId="0" xfId="4" applyFont="1" applyFill="1" applyBorder="1" applyAlignment="1" applyProtection="1">
      <alignment horizontal="left" vertical="top" wrapText="1"/>
    </xf>
    <xf numFmtId="0" fontId="0" fillId="0" borderId="0" xfId="0" applyAlignment="1">
      <alignment horizontal="center"/>
    </xf>
    <xf numFmtId="0" fontId="8" fillId="0" borderId="5" xfId="3" applyFont="1" applyBorder="1" applyProtection="1"/>
    <xf numFmtId="171" fontId="9" fillId="0" borderId="18" xfId="3" applyNumberFormat="1" applyFont="1" applyBorder="1" applyAlignment="1" applyProtection="1">
      <alignment horizontal="right"/>
    </xf>
    <xf numFmtId="171" fontId="20" fillId="3" borderId="19" xfId="3" applyNumberFormat="1" applyFont="1" applyFill="1" applyBorder="1" applyAlignment="1" applyProtection="1">
      <alignment horizontal="right"/>
    </xf>
    <xf numFmtId="171" fontId="20" fillId="3" borderId="0" xfId="3" applyNumberFormat="1" applyFont="1" applyFill="1" applyBorder="1" applyAlignment="1" applyProtection="1">
      <alignment horizontal="right"/>
    </xf>
    <xf numFmtId="0" fontId="8" fillId="0" borderId="13" xfId="3" applyFont="1" applyBorder="1" applyAlignment="1" applyProtection="1">
      <alignment horizontal="left" wrapText="1"/>
    </xf>
    <xf numFmtId="0" fontId="17" fillId="0" borderId="18" xfId="0" applyFont="1" applyBorder="1"/>
    <xf numFmtId="0" fontId="17" fillId="3" borderId="19" xfId="0" applyFont="1" applyFill="1" applyBorder="1"/>
    <xf numFmtId="1" fontId="17" fillId="3" borderId="0" xfId="0" applyNumberFormat="1" applyFont="1" applyFill="1" applyBorder="1" applyAlignment="1">
      <alignment horizontal="right"/>
    </xf>
    <xf numFmtId="0" fontId="8" fillId="0" borderId="0" xfId="3" applyFont="1" applyBorder="1" applyAlignment="1" applyProtection="1">
      <alignment wrapText="1"/>
    </xf>
    <xf numFmtId="1" fontId="8" fillId="0" borderId="0" xfId="3" applyNumberFormat="1" applyFont="1" applyBorder="1" applyProtection="1"/>
    <xf numFmtId="0" fontId="5" fillId="0" borderId="0" xfId="3" applyFont="1" applyBorder="1" applyProtection="1"/>
    <xf numFmtId="1" fontId="8" fillId="0" borderId="0" xfId="3" applyNumberFormat="1" applyFont="1" applyProtection="1"/>
    <xf numFmtId="0" fontId="0" fillId="0" borderId="0" xfId="0" applyFill="1" applyAlignment="1">
      <alignment horizontal="center"/>
    </xf>
    <xf numFmtId="0" fontId="4" fillId="3" borderId="0" xfId="3" applyNumberFormat="1" applyFont="1" applyFill="1" applyBorder="1" applyAlignment="1" applyProtection="1">
      <alignment horizontal="left" vertical="top" wrapText="1"/>
    </xf>
    <xf numFmtId="17" fontId="1" fillId="0" borderId="0" xfId="3" applyNumberFormat="1" applyFont="1" applyProtection="1">
      <protection locked="0"/>
    </xf>
    <xf numFmtId="17" fontId="1" fillId="3" borderId="0" xfId="3" applyNumberFormat="1" applyFont="1" applyFill="1" applyProtection="1">
      <protection locked="0"/>
    </xf>
    <xf numFmtId="1" fontId="1" fillId="0" borderId="0" xfId="3" applyNumberFormat="1" applyFont="1" applyProtection="1">
      <protection locked="0"/>
    </xf>
    <xf numFmtId="17" fontId="8" fillId="0" borderId="0" xfId="3" applyNumberFormat="1" applyFont="1" applyProtection="1">
      <protection locked="0"/>
    </xf>
    <xf numFmtId="0" fontId="29" fillId="0" borderId="0" xfId="3" applyFont="1" applyProtection="1">
      <protection locked="0"/>
    </xf>
    <xf numFmtId="0" fontId="1" fillId="0" borderId="0" xfId="3" applyFont="1" applyProtection="1">
      <protection locked="0"/>
    </xf>
    <xf numFmtId="0" fontId="4" fillId="3" borderId="0" xfId="3" applyFont="1" applyFill="1" applyBorder="1" applyAlignment="1" applyProtection="1">
      <alignment horizontal="right" vertical="top" wrapText="1"/>
    </xf>
    <xf numFmtId="0" fontId="8" fillId="0" borderId="4" xfId="3" applyFont="1" applyBorder="1" applyAlignment="1" applyProtection="1">
      <alignment horizontal="left" vertical="top" wrapText="1"/>
    </xf>
    <xf numFmtId="1" fontId="0" fillId="3" borderId="0" xfId="0" applyNumberFormat="1" applyFill="1" applyAlignment="1">
      <alignment horizontal="center"/>
    </xf>
    <xf numFmtId="0" fontId="0" fillId="3" borderId="0" xfId="0" applyFill="1" applyAlignment="1">
      <alignment horizontal="center"/>
    </xf>
    <xf numFmtId="0" fontId="4" fillId="0" borderId="0" xfId="3" applyFont="1" applyFill="1" applyBorder="1" applyAlignment="1" applyProtection="1">
      <alignment vertical="top"/>
    </xf>
    <xf numFmtId="0" fontId="1" fillId="0" borderId="0" xfId="3" applyFont="1" applyFill="1" applyAlignment="1" applyProtection="1">
      <protection locked="0"/>
    </xf>
    <xf numFmtId="0" fontId="4" fillId="0" borderId="0" xfId="3" applyFont="1" applyFill="1" applyBorder="1" applyAlignment="1" applyProtection="1">
      <alignment horizontal="left" vertical="top" wrapText="1"/>
    </xf>
    <xf numFmtId="0" fontId="35" fillId="0" borderId="0" xfId="3" applyFont="1" applyFill="1" applyBorder="1" applyAlignment="1" applyProtection="1">
      <alignment wrapText="1"/>
    </xf>
    <xf numFmtId="3" fontId="8" fillId="0" borderId="0" xfId="3" applyNumberFormat="1" applyFont="1" applyFill="1" applyBorder="1" applyAlignment="1" applyProtection="1">
      <alignment wrapText="1"/>
    </xf>
    <xf numFmtId="3" fontId="8" fillId="0" borderId="0" xfId="3" applyNumberFormat="1" applyFont="1" applyFill="1" applyBorder="1" applyProtection="1"/>
    <xf numFmtId="0" fontId="9" fillId="0" borderId="0" xfId="3" applyFont="1" applyFill="1" applyBorder="1" applyProtection="1"/>
    <xf numFmtId="0" fontId="29" fillId="0" borderId="0" xfId="3" applyFont="1" applyFill="1" applyAlignment="1" applyProtection="1">
      <alignment horizontal="right" vertical="top"/>
    </xf>
    <xf numFmtId="0" fontId="9" fillId="0" borderId="27" xfId="8" applyFont="1" applyBorder="1" applyAlignment="1" applyProtection="1">
      <alignment horizontal="right"/>
    </xf>
    <xf numFmtId="49" fontId="9" fillId="0" borderId="27" xfId="8" applyNumberFormat="1" applyFont="1" applyBorder="1" applyAlignment="1" applyProtection="1">
      <alignment horizontal="right"/>
    </xf>
    <xf numFmtId="49" fontId="9" fillId="7" borderId="27" xfId="8" applyNumberFormat="1" applyFont="1" applyFill="1" applyBorder="1" applyAlignment="1" applyProtection="1">
      <alignment horizontal="right"/>
    </xf>
    <xf numFmtId="49" fontId="9" fillId="8" borderId="27" xfId="8" applyNumberFormat="1" applyFont="1" applyFill="1" applyBorder="1" applyAlignment="1" applyProtection="1">
      <alignment horizontal="right"/>
    </xf>
    <xf numFmtId="49" fontId="20" fillId="8" borderId="0" xfId="8" applyNumberFormat="1" applyFont="1" applyFill="1" applyBorder="1" applyAlignment="1" applyProtection="1">
      <alignment horizontal="right"/>
    </xf>
    <xf numFmtId="0" fontId="8" fillId="0" borderId="0" xfId="8" applyFont="1" applyBorder="1" applyAlignment="1" applyProtection="1">
      <alignment horizontal="right"/>
    </xf>
    <xf numFmtId="176" fontId="8" fillId="0" borderId="0" xfId="8" applyNumberFormat="1" applyFont="1" applyBorder="1" applyAlignment="1" applyProtection="1">
      <alignment horizontal="right"/>
    </xf>
    <xf numFmtId="176" fontId="8" fillId="7" borderId="0" xfId="8" applyNumberFormat="1" applyFont="1" applyFill="1" applyBorder="1" applyAlignment="1" applyProtection="1">
      <alignment horizontal="right"/>
    </xf>
    <xf numFmtId="176" fontId="8" fillId="8" borderId="0" xfId="8" applyNumberFormat="1" applyFont="1" applyFill="1" applyBorder="1" applyAlignment="1" applyProtection="1">
      <alignment horizontal="right"/>
    </xf>
    <xf numFmtId="176" fontId="8" fillId="0" borderId="0" xfId="3" applyNumberFormat="1" applyFont="1" applyFill="1" applyBorder="1" applyProtection="1">
      <protection locked="0"/>
    </xf>
    <xf numFmtId="0" fontId="8" fillId="0" borderId="29" xfId="3" applyFont="1" applyFill="1" applyBorder="1" applyProtection="1"/>
    <xf numFmtId="0" fontId="8" fillId="0" borderId="30" xfId="8" applyFont="1" applyBorder="1" applyAlignment="1" applyProtection="1">
      <alignment horizontal="right"/>
    </xf>
    <xf numFmtId="176" fontId="8" fillId="0" borderId="30" xfId="8" applyNumberFormat="1" applyFont="1" applyBorder="1" applyAlignment="1" applyProtection="1">
      <alignment horizontal="right"/>
    </xf>
    <xf numFmtId="176" fontId="8" fillId="7" borderId="30" xfId="8" applyNumberFormat="1" applyFont="1" applyFill="1" applyBorder="1" applyAlignment="1" applyProtection="1">
      <alignment horizontal="right"/>
    </xf>
    <xf numFmtId="176" fontId="8" fillId="8" borderId="30" xfId="8" applyNumberFormat="1" applyFont="1" applyFill="1" applyBorder="1" applyAlignment="1" applyProtection="1">
      <alignment horizontal="right"/>
    </xf>
    <xf numFmtId="0" fontId="9" fillId="0" borderId="9" xfId="3" applyFont="1" applyFill="1" applyBorder="1" applyProtection="1"/>
    <xf numFmtId="176" fontId="9" fillId="0" borderId="0" xfId="8" applyNumberFormat="1" applyFont="1" applyBorder="1" applyAlignment="1" applyProtection="1">
      <alignment horizontal="right"/>
    </xf>
    <xf numFmtId="176" fontId="9" fillId="7" borderId="0" xfId="8" applyNumberFormat="1" applyFont="1" applyFill="1" applyBorder="1" applyAlignment="1" applyProtection="1">
      <alignment horizontal="right"/>
    </xf>
    <xf numFmtId="176" fontId="9" fillId="8" borderId="0" xfId="8" applyNumberFormat="1" applyFont="1" applyFill="1" applyBorder="1" applyAlignment="1" applyProtection="1">
      <alignment horizontal="right"/>
    </xf>
    <xf numFmtId="2" fontId="8" fillId="0" borderId="0" xfId="8" applyNumberFormat="1" applyFont="1" applyBorder="1" applyAlignment="1" applyProtection="1">
      <alignment horizontal="right"/>
    </xf>
    <xf numFmtId="0" fontId="8" fillId="7" borderId="0" xfId="8" applyFont="1" applyFill="1" applyBorder="1" applyAlignment="1" applyProtection="1">
      <alignment horizontal="right"/>
    </xf>
    <xf numFmtId="0" fontId="8" fillId="8" borderId="0" xfId="8" applyFont="1" applyFill="1" applyBorder="1" applyAlignment="1" applyProtection="1">
      <alignment horizontal="right"/>
    </xf>
    <xf numFmtId="0" fontId="8" fillId="0" borderId="32" xfId="3" applyFont="1" applyFill="1" applyBorder="1" applyProtection="1"/>
    <xf numFmtId="0" fontId="8" fillId="0" borderId="33" xfId="8" applyFont="1" applyBorder="1" applyAlignment="1" applyProtection="1">
      <alignment horizontal="right"/>
    </xf>
    <xf numFmtId="176" fontId="8" fillId="0" borderId="33" xfId="8" applyNumberFormat="1" applyFont="1" applyBorder="1" applyAlignment="1" applyProtection="1">
      <alignment horizontal="right"/>
    </xf>
    <xf numFmtId="176" fontId="8" fillId="7" borderId="33" xfId="8" applyNumberFormat="1" applyFont="1" applyFill="1" applyBorder="1" applyAlignment="1" applyProtection="1">
      <alignment horizontal="right"/>
    </xf>
    <xf numFmtId="176" fontId="8" fillId="8" borderId="33" xfId="8" applyNumberFormat="1" applyFont="1" applyFill="1" applyBorder="1" applyAlignment="1" applyProtection="1">
      <alignment horizontal="right"/>
    </xf>
    <xf numFmtId="0" fontId="8" fillId="0" borderId="35" xfId="3" applyFont="1" applyFill="1" applyBorder="1" applyProtection="1"/>
    <xf numFmtId="0" fontId="8" fillId="0" borderId="36" xfId="8" applyFont="1" applyBorder="1" applyAlignment="1" applyProtection="1">
      <alignment horizontal="right"/>
    </xf>
    <xf numFmtId="176" fontId="8" fillId="0" borderId="36" xfId="8" applyNumberFormat="1" applyFont="1" applyBorder="1" applyAlignment="1" applyProtection="1">
      <alignment horizontal="right"/>
    </xf>
    <xf numFmtId="176" fontId="8" fillId="7" borderId="36" xfId="8" applyNumberFormat="1" applyFont="1" applyFill="1" applyBorder="1" applyAlignment="1" applyProtection="1">
      <alignment horizontal="right"/>
    </xf>
    <xf numFmtId="176" fontId="8" fillId="8" borderId="36" xfId="8" applyNumberFormat="1" applyFont="1" applyFill="1" applyBorder="1" applyAlignment="1" applyProtection="1">
      <alignment horizontal="right"/>
    </xf>
    <xf numFmtId="0" fontId="8" fillId="0" borderId="38" xfId="3" applyFont="1" applyFill="1" applyBorder="1" applyProtection="1"/>
    <xf numFmtId="0" fontId="8" fillId="0" borderId="39" xfId="8" applyFont="1" applyBorder="1" applyAlignment="1" applyProtection="1">
      <alignment horizontal="right"/>
    </xf>
    <xf numFmtId="0" fontId="8" fillId="7" borderId="39" xfId="8" applyFont="1" applyFill="1" applyBorder="1" applyAlignment="1" applyProtection="1">
      <alignment horizontal="right"/>
    </xf>
    <xf numFmtId="0" fontId="8" fillId="8" borderId="39" xfId="8" applyFont="1" applyFill="1" applyBorder="1" applyAlignment="1" applyProtection="1">
      <alignment horizontal="right"/>
    </xf>
    <xf numFmtId="176" fontId="1" fillId="0" borderId="0" xfId="3" applyNumberFormat="1" applyFont="1" applyFill="1" applyBorder="1" applyProtection="1">
      <protection locked="0"/>
    </xf>
    <xf numFmtId="0" fontId="9" fillId="0" borderId="0" xfId="9" applyFont="1" applyBorder="1"/>
    <xf numFmtId="177" fontId="9" fillId="0" borderId="0" xfId="9" applyNumberFormat="1" applyFont="1" applyBorder="1" applyAlignment="1">
      <alignment horizontal="right"/>
    </xf>
    <xf numFmtId="170" fontId="8" fillId="0" borderId="0" xfId="9" applyNumberFormat="1" applyFont="1" applyBorder="1" applyAlignment="1">
      <alignment horizontal="right"/>
    </xf>
    <xf numFmtId="0" fontId="1" fillId="0" borderId="0" xfId="3" applyFont="1" applyBorder="1" applyAlignment="1"/>
    <xf numFmtId="0" fontId="8" fillId="0" borderId="0" xfId="9" applyFont="1" applyBorder="1"/>
    <xf numFmtId="177" fontId="8" fillId="0" borderId="0" xfId="9" applyNumberFormat="1" applyFont="1" applyBorder="1"/>
    <xf numFmtId="178" fontId="8" fillId="0" borderId="0" xfId="9" applyNumberFormat="1" applyFont="1" applyBorder="1"/>
    <xf numFmtId="166" fontId="8" fillId="0" borderId="0" xfId="9" applyNumberFormat="1" applyFont="1" applyBorder="1"/>
    <xf numFmtId="0" fontId="37" fillId="0" borderId="0" xfId="3" applyFont="1" applyFill="1" applyAlignment="1" applyProtection="1">
      <alignment horizontal="right" vertical="top"/>
    </xf>
    <xf numFmtId="0" fontId="38" fillId="0" borderId="0" xfId="3" applyFont="1" applyFill="1" applyAlignment="1" applyProtection="1">
      <alignment horizontal="left" vertical="top"/>
    </xf>
    <xf numFmtId="0" fontId="38" fillId="0" borderId="0" xfId="3" applyFont="1" applyFill="1" applyProtection="1">
      <protection locked="0"/>
    </xf>
    <xf numFmtId="0" fontId="39" fillId="0" borderId="0" xfId="3" applyFont="1" applyFill="1" applyAlignment="1" applyProtection="1">
      <alignment horizontal="right" vertical="top"/>
    </xf>
    <xf numFmtId="0" fontId="39" fillId="0" borderId="0" xfId="3" applyFont="1" applyFill="1" applyProtection="1">
      <protection locked="0"/>
    </xf>
    <xf numFmtId="0" fontId="39" fillId="0" borderId="0" xfId="3" applyFont="1" applyFill="1" applyBorder="1" applyProtection="1">
      <protection locked="0"/>
    </xf>
    <xf numFmtId="0" fontId="38" fillId="0" borderId="0" xfId="3" applyFont="1" applyFill="1" applyBorder="1" applyProtection="1">
      <protection locked="0"/>
    </xf>
    <xf numFmtId="166" fontId="5" fillId="0" borderId="0" xfId="4" applyNumberFormat="1" applyFont="1" applyFill="1" applyAlignment="1" applyProtection="1">
      <alignment horizontal="right" vertical="top"/>
      <protection locked="0"/>
    </xf>
    <xf numFmtId="0" fontId="1" fillId="0" borderId="0" xfId="4" applyFont="1" applyFill="1" applyAlignment="1" applyProtection="1">
      <alignment horizontal="left" vertical="top"/>
      <protection locked="0"/>
    </xf>
    <xf numFmtId="0" fontId="1" fillId="0" borderId="0" xfId="4" applyFont="1" applyFill="1" applyAlignment="1" applyProtection="1">
      <alignment horizontal="right" vertical="top"/>
      <protection locked="0"/>
    </xf>
    <xf numFmtId="0" fontId="1" fillId="0" borderId="0" xfId="4" applyFont="1" applyFill="1" applyProtection="1">
      <protection locked="0"/>
    </xf>
    <xf numFmtId="0" fontId="5" fillId="0" borderId="0" xfId="4" applyFont="1" applyFill="1" applyAlignment="1" applyProtection="1">
      <alignment horizontal="right" vertical="top"/>
      <protection locked="0"/>
    </xf>
    <xf numFmtId="0" fontId="5" fillId="0" borderId="0" xfId="4" applyFont="1" applyFill="1" applyAlignment="1" applyProtection="1">
      <alignment horizontal="left" vertical="top"/>
      <protection locked="0"/>
    </xf>
    <xf numFmtId="0" fontId="1" fillId="0" borderId="0" xfId="4" applyFont="1" applyFill="1" applyAlignment="1" applyProtection="1">
      <protection locked="0"/>
    </xf>
    <xf numFmtId="0" fontId="5" fillId="0" borderId="0" xfId="4" applyFont="1" applyFill="1" applyBorder="1" applyAlignment="1" applyProtection="1">
      <alignment horizontal="left" vertical="top"/>
      <protection locked="0"/>
    </xf>
    <xf numFmtId="0" fontId="9" fillId="0" borderId="0" xfId="4" applyFont="1" applyFill="1" applyBorder="1" applyAlignment="1" applyProtection="1">
      <protection locked="0"/>
    </xf>
    <xf numFmtId="0" fontId="8" fillId="0" borderId="0" xfId="4" applyFont="1" applyFill="1" applyBorder="1" applyProtection="1">
      <protection locked="0"/>
    </xf>
    <xf numFmtId="0" fontId="1" fillId="0" borderId="0" xfId="4" applyFont="1" applyFill="1" applyBorder="1" applyProtection="1">
      <protection locked="0"/>
    </xf>
    <xf numFmtId="0" fontId="3" fillId="0" borderId="0" xfId="4" applyFont="1" applyFill="1" applyAlignment="1" applyProtection="1">
      <alignment horizontal="left" vertical="top"/>
      <protection locked="0"/>
    </xf>
    <xf numFmtId="0" fontId="3" fillId="0" borderId="0" xfId="4" applyFont="1" applyFill="1" applyAlignment="1" applyProtection="1">
      <alignment horizontal="right" vertical="top"/>
      <protection locked="0"/>
    </xf>
    <xf numFmtId="0" fontId="41" fillId="3" borderId="5" xfId="4" applyFont="1" applyFill="1" applyBorder="1" applyAlignment="1" applyProtection="1">
      <alignment horizontal="left"/>
      <protection locked="0"/>
    </xf>
    <xf numFmtId="0" fontId="9" fillId="3" borderId="18" xfId="4" applyFont="1" applyFill="1" applyBorder="1" applyAlignment="1" applyProtection="1">
      <protection locked="0"/>
    </xf>
    <xf numFmtId="0" fontId="3" fillId="0" borderId="0" xfId="4" applyFont="1" applyFill="1" applyBorder="1" applyProtection="1">
      <protection locked="0"/>
    </xf>
    <xf numFmtId="0" fontId="3" fillId="0" borderId="0" xfId="4" applyFont="1" applyFill="1" applyProtection="1">
      <protection locked="0"/>
    </xf>
    <xf numFmtId="0" fontId="24" fillId="3" borderId="9" xfId="0" applyFont="1" applyFill="1" applyBorder="1" applyAlignment="1">
      <alignment wrapText="1"/>
    </xf>
    <xf numFmtId="179" fontId="17" fillId="3" borderId="0" xfId="0" applyNumberFormat="1" applyFont="1" applyFill="1" applyBorder="1"/>
    <xf numFmtId="166" fontId="17" fillId="3" borderId="0" xfId="0" applyNumberFormat="1" applyFont="1" applyFill="1" applyBorder="1"/>
    <xf numFmtId="0" fontId="42" fillId="0" borderId="0" xfId="4" applyFont="1" applyFill="1" applyAlignment="1" applyProtection="1">
      <alignment horizontal="right" vertical="top"/>
      <protection locked="0"/>
    </xf>
    <xf numFmtId="0" fontId="43" fillId="0" borderId="0" xfId="4" applyFont="1" applyFill="1" applyAlignment="1" applyProtection="1">
      <alignment horizontal="left" vertical="top"/>
      <protection locked="0"/>
    </xf>
    <xf numFmtId="0" fontId="43" fillId="0" borderId="0" xfId="4" applyFont="1" applyFill="1" applyAlignment="1" applyProtection="1">
      <alignment horizontal="right" vertical="top"/>
      <protection locked="0"/>
    </xf>
    <xf numFmtId="0" fontId="43" fillId="0" borderId="0" xfId="4" applyFont="1" applyFill="1" applyBorder="1" applyProtection="1">
      <protection locked="0"/>
    </xf>
    <xf numFmtId="0" fontId="43" fillId="0" borderId="0" xfId="4" applyFont="1" applyFill="1" applyProtection="1">
      <protection locked="0"/>
    </xf>
    <xf numFmtId="0" fontId="17" fillId="3" borderId="0" xfId="0" applyFont="1" applyFill="1" applyBorder="1"/>
    <xf numFmtId="0" fontId="24" fillId="3" borderId="13" xfId="0" applyFont="1" applyFill="1" applyBorder="1" applyAlignment="1">
      <alignment wrapText="1"/>
    </xf>
    <xf numFmtId="166" fontId="17" fillId="3" borderId="4" xfId="0" applyNumberFormat="1" applyFont="1" applyFill="1" applyBorder="1"/>
    <xf numFmtId="166" fontId="8" fillId="0" borderId="0" xfId="10" applyNumberFormat="1" applyFont="1" applyFill="1" applyAlignment="1" applyProtection="1">
      <alignment horizontal="center"/>
      <protection locked="0"/>
    </xf>
    <xf numFmtId="0" fontId="0" fillId="3" borderId="0" xfId="0" applyFill="1"/>
    <xf numFmtId="0" fontId="9" fillId="0" borderId="0" xfId="4" applyFont="1" applyFill="1" applyBorder="1" applyAlignment="1" applyProtection="1">
      <alignment horizontal="left"/>
      <protection locked="0"/>
    </xf>
    <xf numFmtId="0" fontId="8" fillId="0" borderId="0" xfId="4" applyFont="1" applyFill="1" applyBorder="1" applyAlignment="1" applyProtection="1">
      <alignment horizontal="left"/>
      <protection locked="0"/>
    </xf>
    <xf numFmtId="166" fontId="8" fillId="0" borderId="0" xfId="4" applyNumberFormat="1" applyFont="1" applyFill="1" applyBorder="1" applyProtection="1">
      <protection locked="0"/>
    </xf>
    <xf numFmtId="166" fontId="8" fillId="0" borderId="0" xfId="4" applyNumberFormat="1" applyFont="1" applyFill="1" applyBorder="1" applyAlignment="1" applyProtection="1">
      <protection locked="0"/>
    </xf>
    <xf numFmtId="166" fontId="8" fillId="3" borderId="0" xfId="4" applyNumberFormat="1" applyFont="1" applyFill="1" applyBorder="1" applyProtection="1">
      <protection locked="0"/>
    </xf>
    <xf numFmtId="0" fontId="5" fillId="0" borderId="0" xfId="4" applyFont="1" applyFill="1" applyBorder="1" applyAlignment="1" applyProtection="1">
      <alignment horizontal="right" vertical="top"/>
      <protection locked="0"/>
    </xf>
    <xf numFmtId="0" fontId="3" fillId="0" borderId="0" xfId="4" applyFont="1" applyFill="1" applyBorder="1" applyAlignment="1" applyProtection="1">
      <alignment horizontal="left" vertical="top"/>
      <protection locked="0"/>
    </xf>
    <xf numFmtId="0" fontId="3" fillId="0" borderId="0" xfId="4" applyFont="1" applyFill="1" applyBorder="1" applyAlignment="1" applyProtection="1">
      <alignment horizontal="right" vertical="top"/>
      <protection locked="0"/>
    </xf>
    <xf numFmtId="0" fontId="9" fillId="0" borderId="5" xfId="4" applyFont="1" applyFill="1" applyBorder="1" applyAlignment="1" applyProtection="1">
      <alignment horizontal="left"/>
      <protection locked="0"/>
    </xf>
    <xf numFmtId="0" fontId="9" fillId="0" borderId="18" xfId="4" applyFont="1" applyFill="1" applyBorder="1" applyAlignment="1" applyProtection="1">
      <alignment horizontal="left"/>
      <protection locked="0"/>
    </xf>
    <xf numFmtId="0" fontId="9" fillId="0" borderId="18" xfId="4" applyFont="1" applyFill="1" applyBorder="1" applyAlignment="1" applyProtection="1">
      <alignment horizontal="right"/>
      <protection locked="0"/>
    </xf>
    <xf numFmtId="0" fontId="9" fillId="3" borderId="18" xfId="4" applyFont="1" applyFill="1" applyBorder="1" applyAlignment="1" applyProtection="1">
      <alignment horizontal="right"/>
      <protection locked="0"/>
    </xf>
    <xf numFmtId="1" fontId="9" fillId="3" borderId="0" xfId="4" applyNumberFormat="1" applyFont="1" applyFill="1" applyBorder="1" applyProtection="1">
      <protection locked="0"/>
    </xf>
    <xf numFmtId="166" fontId="9" fillId="0" borderId="0" xfId="10" applyNumberFormat="1" applyFont="1" applyFill="1" applyBorder="1" applyAlignment="1" applyProtection="1">
      <alignment horizontal="center"/>
      <protection locked="0"/>
    </xf>
    <xf numFmtId="0" fontId="8" fillId="0" borderId="13" xfId="4" applyFont="1" applyFill="1" applyBorder="1" applyAlignment="1" applyProtection="1">
      <alignment horizontal="left"/>
      <protection locked="0"/>
    </xf>
    <xf numFmtId="0" fontId="8" fillId="0" borderId="4" xfId="4" applyFont="1" applyFill="1" applyBorder="1" applyAlignment="1" applyProtection="1">
      <alignment horizontal="left"/>
      <protection locked="0"/>
    </xf>
    <xf numFmtId="1" fontId="8" fillId="0" borderId="4" xfId="4" applyNumberFormat="1" applyFont="1" applyFill="1" applyBorder="1" applyAlignment="1" applyProtection="1">
      <alignment horizontal="right"/>
      <protection locked="0"/>
    </xf>
    <xf numFmtId="1" fontId="8" fillId="3" borderId="4" xfId="4" applyNumberFormat="1" applyFont="1" applyFill="1" applyBorder="1" applyAlignment="1" applyProtection="1">
      <alignment horizontal="right"/>
      <protection locked="0"/>
    </xf>
    <xf numFmtId="1" fontId="8" fillId="0" borderId="0" xfId="4" applyNumberFormat="1" applyFont="1" applyFill="1" applyBorder="1" applyAlignment="1" applyProtection="1">
      <alignment horizontal="right"/>
      <protection locked="0"/>
    </xf>
    <xf numFmtId="1" fontId="8" fillId="3" borderId="0" xfId="4" applyNumberFormat="1" applyFont="1" applyFill="1" applyBorder="1" applyAlignment="1" applyProtection="1">
      <alignment horizontal="right"/>
      <protection locked="0"/>
    </xf>
    <xf numFmtId="0" fontId="17" fillId="3" borderId="5" xfId="0" applyFont="1" applyFill="1" applyBorder="1" applyAlignment="1">
      <alignment vertical="center"/>
    </xf>
    <xf numFmtId="0" fontId="20" fillId="3" borderId="23" xfId="0" applyFont="1" applyFill="1" applyBorder="1" applyAlignment="1">
      <alignment horizontal="right" vertical="center" wrapText="1"/>
    </xf>
    <xf numFmtId="0" fontId="20" fillId="3" borderId="23" xfId="0" applyFont="1" applyFill="1" applyBorder="1" applyAlignment="1">
      <alignment horizontal="right" vertical="center"/>
    </xf>
    <xf numFmtId="0" fontId="17" fillId="3" borderId="9" xfId="0" applyFont="1" applyFill="1" applyBorder="1" applyAlignment="1">
      <alignment vertical="center"/>
    </xf>
    <xf numFmtId="0" fontId="17" fillId="3" borderId="0" xfId="0" applyFont="1" applyFill="1" applyBorder="1" applyAlignment="1">
      <alignment horizontal="right" vertical="center" wrapText="1"/>
    </xf>
    <xf numFmtId="10" fontId="17" fillId="3" borderId="0" xfId="0" applyNumberFormat="1" applyFont="1" applyFill="1" applyBorder="1" applyAlignment="1">
      <alignment horizontal="right" vertical="center"/>
    </xf>
    <xf numFmtId="0" fontId="44" fillId="3" borderId="0" xfId="0" applyFont="1" applyFill="1" applyBorder="1" applyAlignment="1">
      <alignment horizontal="right" vertical="center"/>
    </xf>
    <xf numFmtId="10" fontId="44" fillId="3" borderId="0" xfId="0" applyNumberFormat="1" applyFont="1" applyFill="1" applyBorder="1" applyAlignment="1">
      <alignment horizontal="right" vertical="center"/>
    </xf>
    <xf numFmtId="0" fontId="17" fillId="0" borderId="0" xfId="4" applyFont="1" applyFill="1" applyBorder="1" applyProtection="1">
      <protection locked="0"/>
    </xf>
    <xf numFmtId="10" fontId="44" fillId="0" borderId="0" xfId="0" applyNumberFormat="1" applyFont="1" applyFill="1" applyBorder="1" applyAlignment="1">
      <alignment horizontal="right" vertical="center"/>
    </xf>
    <xf numFmtId="0" fontId="45" fillId="3" borderId="0" xfId="0" applyFont="1" applyFill="1" applyBorder="1" applyAlignment="1">
      <alignment horizontal="right" vertical="center" wrapText="1"/>
    </xf>
    <xf numFmtId="0" fontId="17" fillId="3" borderId="13" xfId="0" applyFont="1" applyFill="1" applyBorder="1" applyAlignment="1">
      <alignment vertical="center"/>
    </xf>
    <xf numFmtId="0" fontId="45" fillId="3" borderId="4" xfId="0" applyFont="1" applyFill="1" applyBorder="1" applyAlignment="1">
      <alignment horizontal="right" vertical="center" wrapText="1"/>
    </xf>
    <xf numFmtId="0" fontId="17" fillId="3" borderId="4" xfId="0" applyFont="1" applyFill="1" applyBorder="1" applyAlignment="1">
      <alignment horizontal="right" vertical="center"/>
    </xf>
    <xf numFmtId="0" fontId="44" fillId="3" borderId="4" xfId="0" applyFont="1" applyFill="1" applyBorder="1" applyAlignment="1">
      <alignment horizontal="right" vertical="center"/>
    </xf>
    <xf numFmtId="10" fontId="44" fillId="3" borderId="4" xfId="0" applyNumberFormat="1" applyFont="1" applyFill="1" applyBorder="1" applyAlignment="1">
      <alignment horizontal="right" vertical="center"/>
    </xf>
    <xf numFmtId="0" fontId="17" fillId="0" borderId="4" xfId="4" applyFont="1" applyFill="1" applyBorder="1" applyProtection="1">
      <protection locked="0"/>
    </xf>
    <xf numFmtId="10" fontId="44" fillId="0" borderId="4" xfId="0" applyNumberFormat="1" applyFont="1" applyFill="1" applyBorder="1" applyAlignment="1">
      <alignment horizontal="right" vertical="center"/>
    </xf>
    <xf numFmtId="0" fontId="17" fillId="3" borderId="0" xfId="0" applyFont="1" applyFill="1" applyBorder="1" applyAlignment="1">
      <alignment horizontal="right" vertical="center"/>
    </xf>
    <xf numFmtId="0" fontId="17" fillId="3" borderId="23" xfId="0" applyFont="1" applyFill="1" applyBorder="1" applyAlignment="1">
      <alignment horizontal="right" vertical="center" wrapText="1"/>
    </xf>
    <xf numFmtId="10" fontId="17" fillId="3" borderId="23" xfId="0" applyNumberFormat="1" applyFont="1" applyFill="1" applyBorder="1" applyAlignment="1">
      <alignment horizontal="right" vertical="center"/>
    </xf>
    <xf numFmtId="10" fontId="8" fillId="0" borderId="23" xfId="11" applyNumberFormat="1" applyFont="1" applyFill="1" applyBorder="1">
      <protection locked="0"/>
    </xf>
    <xf numFmtId="10" fontId="44" fillId="0" borderId="23" xfId="2" applyNumberFormat="1" applyFont="1" applyFill="1" applyBorder="1" applyAlignment="1">
      <alignment horizontal="right" vertical="center"/>
    </xf>
    <xf numFmtId="10" fontId="44" fillId="0" borderId="23" xfId="0" applyNumberFormat="1" applyFont="1" applyFill="1" applyBorder="1" applyAlignment="1">
      <alignment horizontal="right" vertical="center"/>
    </xf>
    <xf numFmtId="10" fontId="17" fillId="0" borderId="23" xfId="2" applyNumberFormat="1" applyFont="1" applyFill="1" applyBorder="1" applyProtection="1">
      <protection locked="0"/>
    </xf>
    <xf numFmtId="10" fontId="8" fillId="0" borderId="23" xfId="2" applyNumberFormat="1" applyFont="1" applyFill="1" applyBorder="1" applyAlignment="1" applyProtection="1">
      <alignment horizontal="right"/>
      <protection locked="0"/>
    </xf>
    <xf numFmtId="10" fontId="44" fillId="0" borderId="23" xfId="0" applyNumberFormat="1" applyFont="1" applyFill="1" applyBorder="1" applyAlignment="1">
      <alignment horizontal="right"/>
    </xf>
    <xf numFmtId="180" fontId="8" fillId="0" borderId="23" xfId="12" applyNumberFormat="1" applyFont="1" applyFill="1" applyBorder="1" applyAlignment="1">
      <alignment horizontal="right"/>
      <protection locked="0"/>
    </xf>
    <xf numFmtId="180" fontId="8" fillId="0" borderId="23" xfId="12" applyNumberFormat="1" applyFont="1" applyFill="1" applyBorder="1">
      <protection locked="0"/>
    </xf>
    <xf numFmtId="10" fontId="8" fillId="0" borderId="23" xfId="2" applyNumberFormat="1" applyFont="1" applyFill="1" applyBorder="1" applyProtection="1">
      <protection locked="0"/>
    </xf>
    <xf numFmtId="10" fontId="8" fillId="0" borderId="0" xfId="2" applyNumberFormat="1" applyFont="1" applyFill="1" applyBorder="1" applyProtection="1">
      <protection locked="0"/>
    </xf>
    <xf numFmtId="180" fontId="8" fillId="0" borderId="0" xfId="12" applyNumberFormat="1" applyFont="1" applyFill="1" applyBorder="1">
      <protection locked="0"/>
    </xf>
    <xf numFmtId="0" fontId="44" fillId="0" borderId="0" xfId="0" applyFont="1" applyFill="1" applyBorder="1" applyAlignment="1">
      <alignment horizontal="right" vertical="center"/>
    </xf>
    <xf numFmtId="10" fontId="8" fillId="0" borderId="0" xfId="0" applyNumberFormat="1" applyFont="1" applyFill="1" applyBorder="1" applyAlignment="1">
      <alignment horizontal="right" vertical="center"/>
    </xf>
    <xf numFmtId="10" fontId="8" fillId="0" borderId="0" xfId="2" applyNumberFormat="1" applyFont="1" applyFill="1" applyProtection="1">
      <protection locked="0"/>
    </xf>
    <xf numFmtId="10" fontId="44" fillId="0" borderId="0" xfId="2" applyNumberFormat="1" applyFont="1" applyFill="1" applyBorder="1" applyAlignment="1">
      <alignment horizontal="right" vertical="center"/>
    </xf>
    <xf numFmtId="10" fontId="17" fillId="0" borderId="0" xfId="2" applyNumberFormat="1" applyFont="1" applyFill="1" applyBorder="1" applyProtection="1">
      <protection locked="0"/>
    </xf>
    <xf numFmtId="10" fontId="8" fillId="0" borderId="0" xfId="2" applyNumberFormat="1" applyFont="1" applyFill="1" applyBorder="1" applyAlignment="1" applyProtection="1">
      <alignment horizontal="right"/>
      <protection locked="0"/>
    </xf>
    <xf numFmtId="180" fontId="8" fillId="0" borderId="0" xfId="12" applyNumberFormat="1" applyFont="1" applyFill="1">
      <protection locked="0"/>
    </xf>
    <xf numFmtId="10" fontId="44" fillId="0" borderId="4" xfId="2" applyNumberFormat="1" applyFont="1" applyFill="1" applyBorder="1" applyAlignment="1">
      <alignment horizontal="right" vertical="center"/>
    </xf>
    <xf numFmtId="0" fontId="1" fillId="3" borderId="0" xfId="4" applyFont="1" applyFill="1" applyBorder="1" applyProtection="1">
      <protection locked="0"/>
    </xf>
    <xf numFmtId="0" fontId="5" fillId="0" borderId="0" xfId="4" applyFont="1" applyFill="1" applyAlignment="1" applyProtection="1">
      <alignment horizontal="right" vertical="top" wrapText="1"/>
      <protection locked="0"/>
    </xf>
    <xf numFmtId="0" fontId="5" fillId="0" borderId="0" xfId="4" applyFont="1" applyFill="1" applyAlignment="1" applyProtection="1">
      <alignment horizontal="left" vertical="top" wrapText="1"/>
      <protection locked="0"/>
    </xf>
    <xf numFmtId="175" fontId="7" fillId="0" borderId="0" xfId="10" applyNumberFormat="1" applyFont="1" applyFill="1" applyProtection="1">
      <protection locked="0"/>
    </xf>
    <xf numFmtId="166" fontId="7" fillId="0" borderId="0" xfId="4" applyNumberFormat="1" applyFont="1" applyFill="1" applyProtection="1">
      <protection locked="0"/>
    </xf>
    <xf numFmtId="0" fontId="8" fillId="0" borderId="0" xfId="4" applyFont="1" applyFill="1" applyProtection="1">
      <protection locked="0"/>
    </xf>
    <xf numFmtId="0" fontId="7" fillId="0" borderId="0" xfId="4" applyFont="1" applyFill="1" applyProtection="1">
      <protection locked="0"/>
    </xf>
    <xf numFmtId="0" fontId="23" fillId="0" borderId="0" xfId="4" applyFont="1" applyFill="1" applyProtection="1">
      <protection locked="0"/>
    </xf>
    <xf numFmtId="0" fontId="23" fillId="0" borderId="0" xfId="4" applyFont="1" applyFill="1" applyAlignment="1" applyProtection="1">
      <alignment horizontal="left" vertical="top" wrapText="1"/>
      <protection locked="0"/>
    </xf>
    <xf numFmtId="0" fontId="23" fillId="0" borderId="0" xfId="4" applyFont="1" applyFill="1" applyAlignment="1" applyProtection="1">
      <alignment horizontal="right" vertical="top" wrapText="1"/>
      <protection locked="0"/>
    </xf>
    <xf numFmtId="0" fontId="23" fillId="0" borderId="0" xfId="4" applyFont="1" applyFill="1" applyAlignment="1" applyProtection="1">
      <alignment vertical="top" wrapText="1"/>
      <protection locked="0"/>
    </xf>
    <xf numFmtId="0" fontId="1" fillId="0" borderId="2" xfId="4" applyFont="1" applyFill="1" applyBorder="1" applyProtection="1">
      <protection locked="0"/>
    </xf>
    <xf numFmtId="0" fontId="1" fillId="0" borderId="3" xfId="4" applyFont="1" applyFill="1" applyBorder="1" applyProtection="1">
      <protection locked="0"/>
    </xf>
    <xf numFmtId="0" fontId="23" fillId="0" borderId="0" xfId="4" applyFont="1" applyFill="1" applyAlignment="1" applyProtection="1">
      <alignment horizontal="left" vertical="top"/>
      <protection locked="0"/>
    </xf>
    <xf numFmtId="0" fontId="23" fillId="0" borderId="0" xfId="4" applyFont="1" applyFill="1" applyAlignment="1" applyProtection="1">
      <alignment horizontal="right" vertical="top"/>
      <protection locked="0"/>
    </xf>
    <xf numFmtId="0" fontId="23" fillId="0" borderId="0" xfId="4" applyFont="1" applyFill="1" applyAlignment="1" applyProtection="1">
      <protection locked="0"/>
    </xf>
    <xf numFmtId="3" fontId="8" fillId="0" borderId="4" xfId="3" applyNumberFormat="1" applyFont="1" applyFill="1" applyBorder="1" applyProtection="1"/>
    <xf numFmtId="0" fontId="9" fillId="0" borderId="5" xfId="3" applyFont="1" applyFill="1" applyBorder="1" applyAlignment="1" applyProtection="1"/>
    <xf numFmtId="0" fontId="9" fillId="0" borderId="18" xfId="3" applyFont="1" applyFill="1" applyBorder="1" applyAlignment="1" applyProtection="1"/>
    <xf numFmtId="0" fontId="8" fillId="0" borderId="9" xfId="3" applyFont="1" applyFill="1" applyBorder="1" applyAlignment="1" applyProtection="1"/>
    <xf numFmtId="177" fontId="8" fillId="0" borderId="0" xfId="3" applyNumberFormat="1" applyFont="1" applyFill="1" applyBorder="1" applyProtection="1"/>
    <xf numFmtId="177" fontId="8" fillId="3" borderId="0" xfId="3" applyNumberFormat="1" applyFont="1" applyFill="1" applyBorder="1" applyProtection="1"/>
    <xf numFmtId="0" fontId="8" fillId="0" borderId="13" xfId="3" applyFont="1" applyFill="1" applyBorder="1" applyAlignment="1" applyProtection="1"/>
    <xf numFmtId="177" fontId="8" fillId="0" borderId="4" xfId="3" applyNumberFormat="1" applyFont="1" applyFill="1" applyBorder="1" applyProtection="1"/>
    <xf numFmtId="177" fontId="8" fillId="3" borderId="4" xfId="3" applyNumberFormat="1" applyFont="1" applyFill="1" applyBorder="1" applyProtection="1"/>
    <xf numFmtId="0" fontId="8" fillId="0" borderId="0" xfId="3" applyFont="1" applyFill="1" applyBorder="1" applyAlignment="1" applyProtection="1">
      <alignment horizontal="right"/>
    </xf>
    <xf numFmtId="0" fontId="8" fillId="3" borderId="0" xfId="3" applyFont="1" applyFill="1" applyBorder="1" applyAlignment="1" applyProtection="1">
      <alignment horizontal="right"/>
    </xf>
    <xf numFmtId="0" fontId="8" fillId="3" borderId="0" xfId="3" quotePrefix="1" applyFont="1" applyFill="1" applyBorder="1" applyAlignment="1" applyProtection="1">
      <alignment horizontal="right"/>
    </xf>
    <xf numFmtId="3" fontId="8" fillId="3" borderId="0" xfId="3" applyNumberFormat="1" applyFont="1" applyFill="1" applyBorder="1" applyAlignment="1" applyProtection="1">
      <alignment horizontal="right"/>
    </xf>
    <xf numFmtId="3" fontId="8" fillId="0" borderId="0" xfId="3" applyNumberFormat="1" applyFont="1" applyFill="1" applyBorder="1" applyAlignment="1" applyProtection="1">
      <alignment horizontal="right"/>
    </xf>
    <xf numFmtId="0" fontId="8" fillId="0" borderId="9" xfId="3" applyFont="1" applyFill="1" applyBorder="1" applyProtection="1">
      <protection locked="0"/>
    </xf>
    <xf numFmtId="3" fontId="8" fillId="0" borderId="0" xfId="3" quotePrefix="1" applyNumberFormat="1" applyFont="1" applyFill="1" applyBorder="1" applyAlignment="1" applyProtection="1">
      <alignment horizontal="right"/>
    </xf>
    <xf numFmtId="0" fontId="8" fillId="0" borderId="29" xfId="3" applyFont="1" applyFill="1" applyBorder="1" applyProtection="1">
      <protection locked="0"/>
    </xf>
    <xf numFmtId="0" fontId="8" fillId="0" borderId="21" xfId="3" applyFont="1" applyFill="1" applyBorder="1" applyAlignment="1" applyProtection="1">
      <alignment horizontal="right"/>
    </xf>
    <xf numFmtId="3" fontId="8" fillId="0" borderId="21" xfId="3" applyNumberFormat="1" applyFont="1" applyFill="1" applyBorder="1" applyAlignment="1" applyProtection="1">
      <alignment horizontal="right"/>
    </xf>
    <xf numFmtId="3" fontId="8" fillId="0" borderId="21" xfId="3" quotePrefix="1" applyNumberFormat="1" applyFont="1" applyFill="1" applyBorder="1" applyAlignment="1" applyProtection="1">
      <alignment horizontal="right"/>
    </xf>
    <xf numFmtId="3" fontId="8" fillId="3" borderId="21" xfId="3" applyNumberFormat="1" applyFont="1" applyFill="1" applyBorder="1" applyAlignment="1" applyProtection="1">
      <alignment horizontal="right"/>
    </xf>
    <xf numFmtId="0" fontId="9" fillId="0" borderId="38" xfId="3" applyFont="1" applyFill="1" applyBorder="1" applyAlignment="1" applyProtection="1"/>
    <xf numFmtId="0" fontId="8" fillId="0" borderId="41" xfId="3" applyFont="1" applyFill="1" applyBorder="1" applyAlignment="1" applyProtection="1">
      <alignment horizontal="right"/>
    </xf>
    <xf numFmtId="0" fontId="8" fillId="3" borderId="41" xfId="3" applyFont="1" applyFill="1" applyBorder="1" applyAlignment="1" applyProtection="1">
      <alignment horizontal="right"/>
    </xf>
    <xf numFmtId="0" fontId="8" fillId="0" borderId="0" xfId="3" applyFont="1" applyFill="1" applyBorder="1" applyAlignment="1" applyProtection="1"/>
    <xf numFmtId="0" fontId="8" fillId="0" borderId="4" xfId="3" applyFont="1" applyFill="1" applyBorder="1" applyAlignment="1" applyProtection="1"/>
    <xf numFmtId="0" fontId="9" fillId="0" borderId="23" xfId="3" applyFont="1" applyFill="1" applyBorder="1" applyAlignment="1" applyProtection="1"/>
    <xf numFmtId="0" fontId="49" fillId="0" borderId="9" xfId="13" applyFont="1" applyBorder="1" applyAlignment="1">
      <alignment horizontal="left" wrapText="1"/>
    </xf>
    <xf numFmtId="0" fontId="49" fillId="0" borderId="0" xfId="13" applyFont="1" applyBorder="1" applyAlignment="1">
      <alignment horizontal="right" wrapText="1"/>
    </xf>
    <xf numFmtId="0" fontId="9" fillId="3" borderId="0" xfId="3" applyFont="1" applyFill="1" applyBorder="1" applyAlignment="1" applyProtection="1">
      <alignment horizontal="right"/>
    </xf>
    <xf numFmtId="0" fontId="44" fillId="0" borderId="9" xfId="13" applyFont="1" applyBorder="1" applyAlignment="1">
      <alignment horizontal="left" wrapText="1"/>
    </xf>
    <xf numFmtId="0" fontId="44" fillId="0" borderId="0" xfId="13" applyFont="1" applyBorder="1" applyAlignment="1">
      <alignment horizontal="right" wrapText="1"/>
    </xf>
    <xf numFmtId="0" fontId="8" fillId="3" borderId="0" xfId="3" applyFont="1" applyFill="1" applyProtection="1">
      <protection locked="0"/>
    </xf>
    <xf numFmtId="0" fontId="50" fillId="0" borderId="0" xfId="0" applyFont="1" applyAlignment="1">
      <alignment vertical="center"/>
    </xf>
    <xf numFmtId="0" fontId="50" fillId="0" borderId="0" xfId="0" applyFont="1" applyAlignment="1">
      <alignment horizontal="right" vertical="center"/>
    </xf>
    <xf numFmtId="0" fontId="44" fillId="0" borderId="0" xfId="13" applyFont="1" applyBorder="1" applyAlignment="1">
      <alignment horizontal="left"/>
    </xf>
    <xf numFmtId="0" fontId="44" fillId="0" borderId="0" xfId="13" applyFont="1" applyBorder="1" applyAlignment="1">
      <alignment horizontal="right"/>
    </xf>
    <xf numFmtId="0" fontId="44" fillId="0" borderId="13" xfId="13" applyFont="1" applyBorder="1" applyAlignment="1">
      <alignment horizontal="left" wrapText="1"/>
    </xf>
    <xf numFmtId="0" fontId="44" fillId="0" borderId="4" xfId="13" applyFont="1" applyBorder="1" applyAlignment="1">
      <alignment horizontal="right" wrapText="1"/>
    </xf>
    <xf numFmtId="0" fontId="8" fillId="3" borderId="4" xfId="3" applyFont="1" applyFill="1" applyBorder="1" applyAlignment="1" applyProtection="1">
      <alignment horizontal="right"/>
    </xf>
    <xf numFmtId="0" fontId="49" fillId="0" borderId="5" xfId="13" applyFont="1" applyBorder="1" applyAlignment="1">
      <alignment horizontal="left" wrapText="1"/>
    </xf>
    <xf numFmtId="0" fontId="49" fillId="0" borderId="23" xfId="13" applyFont="1" applyBorder="1" applyAlignment="1">
      <alignment horizontal="right" wrapText="1"/>
    </xf>
    <xf numFmtId="179" fontId="44" fillId="0" borderId="0" xfId="13" applyNumberFormat="1" applyFont="1" applyBorder="1" applyAlignment="1">
      <alignment horizontal="right" wrapText="1"/>
    </xf>
    <xf numFmtId="179" fontId="8" fillId="3" borderId="0" xfId="13" applyNumberFormat="1" applyFont="1" applyFill="1" applyBorder="1" applyAlignment="1">
      <alignment horizontal="right" wrapText="1"/>
    </xf>
    <xf numFmtId="0" fontId="51" fillId="0" borderId="0" xfId="3" applyFont="1" applyFill="1" applyAlignment="1" applyProtection="1">
      <alignment horizontal="right" vertical="top"/>
    </xf>
    <xf numFmtId="0" fontId="52" fillId="0" borderId="0" xfId="3" applyFont="1" applyFill="1" applyAlignment="1" applyProtection="1">
      <alignment horizontal="left" vertical="top"/>
    </xf>
    <xf numFmtId="0" fontId="52" fillId="0" borderId="0" xfId="3" applyFont="1" applyFill="1" applyAlignment="1" applyProtection="1">
      <alignment horizontal="right" vertical="top"/>
    </xf>
    <xf numFmtId="0" fontId="53" fillId="0" borderId="29" xfId="13" applyFont="1" applyBorder="1" applyAlignment="1">
      <alignment horizontal="left" wrapText="1"/>
    </xf>
    <xf numFmtId="0" fontId="53" fillId="0" borderId="21" xfId="13" applyFont="1" applyBorder="1" applyAlignment="1">
      <alignment horizontal="right" wrapText="1"/>
    </xf>
    <xf numFmtId="0" fontId="52" fillId="3" borderId="21" xfId="13" applyFont="1" applyFill="1" applyBorder="1" applyAlignment="1">
      <alignment horizontal="right" wrapText="1"/>
    </xf>
    <xf numFmtId="0" fontId="54" fillId="0" borderId="0" xfId="13" applyFont="1" applyAlignment="1">
      <alignment horizontal="right" wrapText="1"/>
    </xf>
    <xf numFmtId="0" fontId="52" fillId="0" borderId="0" xfId="3" applyFont="1" applyFill="1" applyProtection="1">
      <protection locked="0"/>
    </xf>
    <xf numFmtId="181" fontId="44" fillId="0" borderId="0" xfId="13" applyNumberFormat="1" applyFont="1" applyBorder="1" applyAlignment="1">
      <alignment horizontal="right" wrapText="1"/>
    </xf>
    <xf numFmtId="181" fontId="8" fillId="3" borderId="0" xfId="13" applyNumberFormat="1" applyFont="1" applyFill="1" applyBorder="1" applyAlignment="1">
      <alignment horizontal="right" wrapText="1"/>
    </xf>
    <xf numFmtId="0" fontId="55" fillId="0" borderId="0" xfId="13" applyFont="1" applyAlignment="1">
      <alignment horizontal="right" wrapText="1"/>
    </xf>
    <xf numFmtId="0" fontId="56" fillId="0" borderId="0" xfId="13" applyFont="1" applyAlignment="1">
      <alignment horizontal="right" wrapText="1"/>
    </xf>
    <xf numFmtId="0" fontId="53" fillId="0" borderId="13" xfId="13" applyFont="1" applyBorder="1" applyAlignment="1">
      <alignment horizontal="left" wrapText="1"/>
    </xf>
    <xf numFmtId="0" fontId="53" fillId="0" borderId="4" xfId="13" applyFont="1" applyBorder="1" applyAlignment="1">
      <alignment horizontal="right" wrapText="1"/>
    </xf>
    <xf numFmtId="0" fontId="52" fillId="3" borderId="4" xfId="13" applyFont="1" applyFill="1" applyBorder="1" applyAlignment="1">
      <alignment horizontal="right" wrapText="1"/>
    </xf>
    <xf numFmtId="0" fontId="53" fillId="0" borderId="0" xfId="13" applyFont="1" applyBorder="1" applyAlignment="1">
      <alignment horizontal="left" wrapText="1"/>
    </xf>
    <xf numFmtId="0" fontId="53" fillId="0" borderId="0" xfId="13" applyFont="1" applyBorder="1" applyAlignment="1">
      <alignment horizontal="right" wrapText="1"/>
    </xf>
    <xf numFmtId="0" fontId="53" fillId="0" borderId="0" xfId="13" applyFont="1" applyFill="1" applyBorder="1" applyAlignment="1">
      <alignment horizontal="right" wrapText="1"/>
    </xf>
    <xf numFmtId="0" fontId="56" fillId="0" borderId="0" xfId="13" applyFont="1" applyAlignment="1">
      <alignment horizontal="left" wrapText="1"/>
    </xf>
    <xf numFmtId="0" fontId="27" fillId="3" borderId="0" xfId="3" applyFont="1" applyFill="1" applyAlignment="1" applyProtection="1">
      <alignment horizontal="right" vertical="top"/>
    </xf>
    <xf numFmtId="0" fontId="26" fillId="3" borderId="0" xfId="3" applyFont="1" applyFill="1" applyAlignment="1" applyProtection="1">
      <alignment horizontal="right" vertical="top"/>
    </xf>
    <xf numFmtId="0" fontId="26" fillId="3" borderId="0" xfId="3" applyFont="1" applyFill="1" applyBorder="1" applyProtection="1"/>
    <xf numFmtId="0" fontId="26" fillId="3" borderId="0" xfId="3" applyFont="1" applyFill="1" applyProtection="1"/>
    <xf numFmtId="0" fontId="26" fillId="3" borderId="0" xfId="3" applyFont="1" applyFill="1" applyBorder="1" applyProtection="1">
      <protection locked="0"/>
    </xf>
    <xf numFmtId="0" fontId="26" fillId="3" borderId="0" xfId="3" applyFont="1" applyFill="1" applyProtection="1">
      <protection locked="0"/>
    </xf>
    <xf numFmtId="0" fontId="26" fillId="3" borderId="0" xfId="3" applyFont="1" applyFill="1" applyBorder="1" applyAlignment="1" applyProtection="1">
      <protection locked="0"/>
    </xf>
    <xf numFmtId="0" fontId="9" fillId="3" borderId="4" xfId="3" applyFont="1" applyFill="1" applyBorder="1" applyAlignment="1" applyProtection="1"/>
    <xf numFmtId="0" fontId="9" fillId="3" borderId="4" xfId="3" applyFont="1" applyFill="1" applyBorder="1" applyProtection="1"/>
    <xf numFmtId="0" fontId="8" fillId="3" borderId="4" xfId="3" applyFont="1" applyFill="1" applyBorder="1" applyProtection="1"/>
    <xf numFmtId="0" fontId="8" fillId="3" borderId="0" xfId="3" applyFont="1" applyFill="1" applyBorder="1" applyProtection="1"/>
    <xf numFmtId="171" fontId="8" fillId="3" borderId="0" xfId="7" applyNumberFormat="1" applyFont="1" applyFill="1" applyBorder="1" applyProtection="1"/>
    <xf numFmtId="0" fontId="8" fillId="3" borderId="5" xfId="3" applyFont="1" applyFill="1" applyBorder="1" applyAlignment="1" applyProtection="1"/>
    <xf numFmtId="171" fontId="9" fillId="3" borderId="0" xfId="7" applyNumberFormat="1" applyFont="1" applyFill="1" applyBorder="1" applyAlignment="1" applyProtection="1">
      <alignment horizontal="right"/>
    </xf>
    <xf numFmtId="171" fontId="41" fillId="3" borderId="0" xfId="7" applyNumberFormat="1" applyFont="1" applyFill="1" applyBorder="1" applyAlignment="1" applyProtection="1">
      <alignment horizontal="right"/>
    </xf>
    <xf numFmtId="171" fontId="41" fillId="3" borderId="23" xfId="7" applyNumberFormat="1" applyFont="1" applyFill="1" applyBorder="1" applyAlignment="1" applyProtection="1">
      <alignment horizontal="right"/>
    </xf>
    <xf numFmtId="49" fontId="41" fillId="3" borderId="23" xfId="7" applyNumberFormat="1" applyFont="1" applyFill="1" applyBorder="1" applyAlignment="1" applyProtection="1">
      <alignment horizontal="right"/>
    </xf>
    <xf numFmtId="49" fontId="57" fillId="3" borderId="24" xfId="7" applyNumberFormat="1" applyFont="1" applyFill="1" applyBorder="1" applyAlignment="1" applyProtection="1">
      <alignment horizontal="right"/>
    </xf>
    <xf numFmtId="49" fontId="57" fillId="3" borderId="0" xfId="7" applyNumberFormat="1" applyFont="1" applyFill="1" applyBorder="1" applyAlignment="1" applyProtection="1">
      <alignment horizontal="right"/>
    </xf>
    <xf numFmtId="0" fontId="8" fillId="3" borderId="9" xfId="3" applyFont="1" applyFill="1" applyBorder="1"/>
    <xf numFmtId="0" fontId="8" fillId="3" borderId="0" xfId="3" applyFont="1" applyFill="1" applyBorder="1"/>
    <xf numFmtId="166" fontId="8" fillId="3" borderId="0" xfId="0" applyNumberFormat="1" applyFont="1" applyFill="1"/>
    <xf numFmtId="166" fontId="25" fillId="3" borderId="0" xfId="0" applyNumberFormat="1" applyFont="1" applyFill="1"/>
    <xf numFmtId="166" fontId="24" fillId="3" borderId="0" xfId="0" applyNumberFormat="1" applyFont="1" applyFill="1"/>
    <xf numFmtId="166" fontId="24" fillId="3" borderId="0" xfId="0" applyNumberFormat="1" applyFont="1" applyFill="1" applyBorder="1"/>
    <xf numFmtId="166" fontId="24" fillId="3" borderId="12" xfId="0" applyNumberFormat="1" applyFont="1" applyFill="1" applyBorder="1"/>
    <xf numFmtId="0" fontId="8" fillId="3" borderId="29" xfId="3" applyFont="1" applyFill="1" applyBorder="1"/>
    <xf numFmtId="166" fontId="8" fillId="3" borderId="0" xfId="3" applyNumberFormat="1" applyFont="1" applyFill="1" applyBorder="1"/>
    <xf numFmtId="166" fontId="25" fillId="3" borderId="0" xfId="3" applyNumberFormat="1" applyFont="1" applyFill="1" applyBorder="1"/>
    <xf numFmtId="166" fontId="24" fillId="3" borderId="0" xfId="3" applyNumberFormat="1" applyFont="1" applyFill="1" applyBorder="1"/>
    <xf numFmtId="166" fontId="24" fillId="3" borderId="12" xfId="3" applyNumberFormat="1" applyFont="1" applyFill="1" applyBorder="1"/>
    <xf numFmtId="166" fontId="8" fillId="3" borderId="2" xfId="3" applyNumberFormat="1" applyFont="1" applyFill="1" applyBorder="1"/>
    <xf numFmtId="166" fontId="25" fillId="3" borderId="2" xfId="3" applyNumberFormat="1" applyFont="1" applyFill="1" applyBorder="1"/>
    <xf numFmtId="166" fontId="24" fillId="3" borderId="2" xfId="3" applyNumberFormat="1" applyFont="1" applyFill="1" applyBorder="1"/>
    <xf numFmtId="166" fontId="24" fillId="3" borderId="44" xfId="3" applyNumberFormat="1" applyFont="1" applyFill="1" applyBorder="1"/>
    <xf numFmtId="0" fontId="8" fillId="3" borderId="13" xfId="3" applyFont="1" applyFill="1" applyBorder="1" applyAlignment="1" applyProtection="1">
      <alignment wrapText="1"/>
    </xf>
    <xf numFmtId="0" fontId="8" fillId="3" borderId="4" xfId="3" applyFont="1" applyFill="1" applyBorder="1" applyAlignment="1" applyProtection="1">
      <alignment wrapText="1"/>
    </xf>
    <xf numFmtId="166" fontId="8" fillId="3" borderId="4" xfId="3" applyNumberFormat="1" applyFont="1" applyFill="1" applyBorder="1"/>
    <xf numFmtId="166" fontId="25" fillId="3" borderId="4" xfId="3" applyNumberFormat="1" applyFont="1" applyFill="1" applyBorder="1"/>
    <xf numFmtId="166" fontId="24" fillId="3" borderId="4" xfId="3" applyNumberFormat="1" applyFont="1" applyFill="1" applyBorder="1"/>
    <xf numFmtId="166" fontId="24" fillId="3" borderId="41" xfId="3" applyNumberFormat="1" applyFont="1" applyFill="1" applyBorder="1" applyProtection="1">
      <protection locked="0"/>
    </xf>
    <xf numFmtId="166" fontId="24" fillId="3" borderId="43" xfId="3" applyNumberFormat="1" applyFont="1" applyFill="1" applyBorder="1" applyProtection="1">
      <protection locked="0"/>
    </xf>
    <xf numFmtId="166" fontId="24" fillId="3" borderId="0" xfId="3" applyNumberFormat="1" applyFont="1" applyFill="1" applyBorder="1" applyProtection="1">
      <protection locked="0"/>
    </xf>
    <xf numFmtId="166" fontId="26" fillId="3" borderId="0" xfId="3" applyNumberFormat="1" applyFont="1" applyFill="1" applyProtection="1">
      <protection locked="0"/>
    </xf>
    <xf numFmtId="0" fontId="8" fillId="3" borderId="0" xfId="3" applyFont="1" applyFill="1" applyBorder="1" applyAlignment="1" applyProtection="1">
      <alignment wrapText="1"/>
    </xf>
    <xf numFmtId="166" fontId="26" fillId="3" borderId="0" xfId="3" applyNumberFormat="1" applyFont="1" applyFill="1" applyBorder="1" applyProtection="1">
      <protection locked="0"/>
    </xf>
    <xf numFmtId="0" fontId="8" fillId="3" borderId="0" xfId="3" applyFont="1" applyFill="1" applyProtection="1"/>
    <xf numFmtId="43" fontId="8" fillId="3" borderId="0" xfId="14" applyNumberFormat="1" applyFont="1" applyFill="1" applyAlignment="1">
      <alignment horizontal="center"/>
    </xf>
    <xf numFmtId="0" fontId="4" fillId="3" borderId="0" xfId="15" applyFont="1" applyFill="1"/>
    <xf numFmtId="0" fontId="9" fillId="3" borderId="0" xfId="3" applyFont="1" applyFill="1" applyProtection="1"/>
    <xf numFmtId="43" fontId="8" fillId="3" borderId="0" xfId="14" applyNumberFormat="1" applyFont="1" applyFill="1" applyBorder="1" applyAlignment="1">
      <alignment horizontal="center"/>
    </xf>
    <xf numFmtId="0" fontId="4" fillId="3" borderId="0" xfId="3" applyFont="1" applyFill="1" applyBorder="1" applyAlignment="1" applyProtection="1">
      <alignment horizontal="left" vertical="top" wrapText="1"/>
      <protection locked="0"/>
    </xf>
    <xf numFmtId="0" fontId="27" fillId="3" borderId="0" xfId="3" applyFont="1" applyFill="1" applyAlignment="1" applyProtection="1">
      <alignment horizontal="right" vertical="top" wrapText="1"/>
    </xf>
    <xf numFmtId="0" fontId="4" fillId="3" borderId="0" xfId="3" applyNumberFormat="1" applyFont="1" applyFill="1" applyBorder="1" applyAlignment="1" applyProtection="1">
      <alignment horizontal="left" vertical="top" wrapText="1"/>
      <protection locked="0"/>
    </xf>
    <xf numFmtId="0" fontId="4" fillId="3" borderId="0" xfId="3" applyFont="1" applyFill="1" applyBorder="1" applyProtection="1">
      <protection locked="0"/>
    </xf>
    <xf numFmtId="0" fontId="4" fillId="3" borderId="0" xfId="3" applyFont="1" applyFill="1" applyAlignment="1" applyProtection="1">
      <alignment horizontal="right" vertical="top"/>
    </xf>
    <xf numFmtId="0" fontId="8" fillId="3" borderId="0" xfId="3" applyFont="1" applyFill="1" applyBorder="1" applyAlignment="1" applyProtection="1">
      <alignment horizontal="right" vertical="top"/>
    </xf>
    <xf numFmtId="175" fontId="8" fillId="3" borderId="0" xfId="7" applyNumberFormat="1" applyFont="1" applyFill="1" applyProtection="1">
      <protection locked="0"/>
    </xf>
    <xf numFmtId="175" fontId="8" fillId="3" borderId="0" xfId="7" applyNumberFormat="1" applyFont="1" applyFill="1" applyBorder="1" applyProtection="1">
      <protection locked="0"/>
    </xf>
    <xf numFmtId="175" fontId="8" fillId="3" borderId="0" xfId="3" applyNumberFormat="1" applyFont="1" applyFill="1" applyBorder="1" applyAlignment="1" applyProtection="1">
      <alignment horizontal="center"/>
      <protection locked="0"/>
    </xf>
    <xf numFmtId="0" fontId="8" fillId="3" borderId="4" xfId="3" applyFont="1" applyFill="1" applyBorder="1" applyAlignment="1" applyProtection="1">
      <alignment horizontal="right" vertical="top" wrapText="1"/>
    </xf>
    <xf numFmtId="166" fontId="8" fillId="3" borderId="4" xfId="3" applyNumberFormat="1" applyFont="1" applyFill="1" applyBorder="1" applyProtection="1">
      <protection locked="0"/>
    </xf>
    <xf numFmtId="0" fontId="8" fillId="3" borderId="0" xfId="3" applyFont="1" applyFill="1"/>
    <xf numFmtId="175" fontId="9" fillId="3" borderId="0" xfId="7" applyNumberFormat="1" applyFont="1" applyFill="1"/>
    <xf numFmtId="0" fontId="8" fillId="3" borderId="0" xfId="7" applyFont="1" applyFill="1" applyAlignment="1"/>
    <xf numFmtId="1" fontId="8" fillId="3" borderId="0" xfId="7" applyNumberFormat="1" applyFont="1" applyFill="1" applyAlignment="1"/>
    <xf numFmtId="173" fontId="8" fillId="3" borderId="0" xfId="14" applyNumberFormat="1" applyFont="1" applyFill="1" applyAlignment="1"/>
    <xf numFmtId="0" fontId="8" fillId="3" borderId="0" xfId="3" applyFont="1" applyFill="1" applyAlignment="1"/>
    <xf numFmtId="166" fontId="8" fillId="3" borderId="0" xfId="3" applyNumberFormat="1" applyFont="1" applyFill="1" applyAlignment="1"/>
    <xf numFmtId="1" fontId="8" fillId="3" borderId="0" xfId="3" applyNumberFormat="1" applyFont="1" applyFill="1" applyAlignment="1"/>
    <xf numFmtId="173" fontId="8" fillId="3" borderId="0" xfId="3" applyNumberFormat="1" applyFont="1" applyFill="1" applyAlignment="1"/>
    <xf numFmtId="0" fontId="26" fillId="3" borderId="0" xfId="3" applyFont="1" applyFill="1" applyAlignment="1">
      <alignment vertical="top"/>
    </xf>
    <xf numFmtId="0" fontId="8" fillId="3" borderId="23" xfId="3" applyFont="1" applyFill="1" applyBorder="1" applyProtection="1"/>
    <xf numFmtId="0" fontId="9" fillId="3" borderId="23" xfId="3" applyFont="1" applyFill="1" applyBorder="1" applyAlignment="1" applyProtection="1">
      <alignment horizontal="right"/>
    </xf>
    <xf numFmtId="0" fontId="8" fillId="3" borderId="0" xfId="3" applyFont="1" applyFill="1" applyBorder="1" applyAlignment="1" applyProtection="1">
      <alignment horizontal="left" vertical="top"/>
    </xf>
    <xf numFmtId="2" fontId="8" fillId="3" borderId="0" xfId="3" applyNumberFormat="1" applyFont="1" applyFill="1" applyBorder="1" applyAlignment="1" applyProtection="1">
      <alignment horizontal="right"/>
    </xf>
    <xf numFmtId="0" fontId="8" fillId="3" borderId="4" xfId="3" applyFont="1" applyFill="1" applyBorder="1" applyAlignment="1" applyProtection="1">
      <alignment horizontal="left" vertical="top"/>
    </xf>
    <xf numFmtId="2" fontId="8" fillId="3" borderId="4" xfId="3" applyNumberFormat="1" applyFont="1" applyFill="1" applyBorder="1" applyAlignment="1" applyProtection="1">
      <alignment horizontal="right"/>
    </xf>
    <xf numFmtId="2" fontId="26" fillId="3" borderId="0" xfId="3" applyNumberFormat="1" applyFont="1" applyFill="1" applyBorder="1" applyAlignment="1">
      <alignment vertical="top"/>
    </xf>
    <xf numFmtId="2" fontId="26" fillId="3" borderId="0" xfId="3" applyNumberFormat="1" applyFont="1" applyFill="1" applyBorder="1"/>
    <xf numFmtId="0" fontId="4" fillId="3" borderId="0" xfId="3" applyFont="1" applyFill="1" applyBorder="1" applyAlignment="1">
      <alignment horizontal="left" wrapText="1"/>
    </xf>
    <xf numFmtId="0" fontId="4" fillId="3" borderId="19" xfId="3" quotePrefix="1" applyFont="1" applyFill="1" applyBorder="1" applyAlignment="1" applyProtection="1">
      <alignment vertical="top" wrapText="1"/>
    </xf>
    <xf numFmtId="0" fontId="21" fillId="3" borderId="19" xfId="3" quotePrefix="1" applyFont="1" applyFill="1" applyBorder="1" applyAlignment="1" applyProtection="1">
      <alignment vertical="top" wrapText="1"/>
    </xf>
    <xf numFmtId="17" fontId="4" fillId="3" borderId="24" xfId="3" applyNumberFormat="1" applyFont="1" applyFill="1" applyBorder="1" applyAlignment="1" applyProtection="1">
      <alignment horizontal="right" vertical="top" wrapText="1"/>
    </xf>
    <xf numFmtId="0" fontId="21" fillId="3" borderId="0" xfId="3" applyFont="1" applyFill="1" applyBorder="1" applyAlignment="1" applyProtection="1">
      <alignment horizontal="right" vertical="top" wrapText="1"/>
    </xf>
    <xf numFmtId="17" fontId="21" fillId="3" borderId="24" xfId="3" applyNumberFormat="1" applyFont="1" applyFill="1" applyBorder="1" applyAlignment="1" applyProtection="1">
      <alignment horizontal="right" vertical="top" wrapText="1"/>
    </xf>
    <xf numFmtId="166" fontId="4" fillId="3" borderId="0" xfId="15" applyNumberFormat="1" applyFont="1" applyFill="1"/>
    <xf numFmtId="166" fontId="22" fillId="3" borderId="0" xfId="3" applyNumberFormat="1" applyFont="1" applyFill="1" applyProtection="1">
      <protection locked="0"/>
    </xf>
    <xf numFmtId="0" fontId="22" fillId="3" borderId="0" xfId="3" applyFont="1" applyFill="1" applyProtection="1">
      <protection locked="0"/>
    </xf>
    <xf numFmtId="0" fontId="23" fillId="0" borderId="0" xfId="3" applyFont="1" applyAlignment="1">
      <alignment vertical="top"/>
    </xf>
    <xf numFmtId="0" fontId="14" fillId="0" borderId="0" xfId="3" applyFont="1" applyAlignment="1">
      <alignment vertical="top"/>
    </xf>
    <xf numFmtId="0" fontId="14" fillId="0" borderId="0" xfId="3" applyFont="1"/>
    <xf numFmtId="0" fontId="5" fillId="0" borderId="0" xfId="3" applyFont="1" applyAlignment="1">
      <alignment vertical="top"/>
    </xf>
    <xf numFmtId="0" fontId="4" fillId="0" borderId="0" xfId="4" applyFont="1" applyFill="1" applyBorder="1" applyAlignment="1">
      <alignment horizontal="left" vertical="top"/>
    </xf>
    <xf numFmtId="0" fontId="4" fillId="0" borderId="0" xfId="3" applyFont="1" applyFill="1" applyBorder="1" applyAlignment="1">
      <alignment vertical="top" wrapText="1"/>
    </xf>
    <xf numFmtId="0" fontId="4" fillId="0" borderId="0" xfId="3" applyFont="1" applyBorder="1" applyAlignment="1"/>
    <xf numFmtId="0" fontId="4" fillId="0" borderId="0" xfId="4" applyFont="1" applyFill="1" applyBorder="1" applyAlignment="1">
      <alignment vertical="top" wrapText="1"/>
    </xf>
    <xf numFmtId="0" fontId="4" fillId="0" borderId="0" xfId="3" applyFont="1" applyFill="1" applyBorder="1" applyAlignment="1">
      <alignment wrapText="1"/>
    </xf>
    <xf numFmtId="0" fontId="4" fillId="0" borderId="0" xfId="4" applyFont="1" applyFill="1" applyBorder="1" applyAlignment="1">
      <alignment vertical="top" wrapText="1"/>
    </xf>
    <xf numFmtId="0" fontId="31" fillId="0" borderId="0" xfId="3" applyFont="1" applyAlignment="1">
      <alignment vertical="top"/>
    </xf>
    <xf numFmtId="0" fontId="19" fillId="0" borderId="0" xfId="3" applyFont="1" applyAlignment="1">
      <alignment vertical="top"/>
    </xf>
    <xf numFmtId="0" fontId="19" fillId="3" borderId="0" xfId="3" applyFont="1" applyFill="1"/>
    <xf numFmtId="0" fontId="19" fillId="0" borderId="0" xfId="3" applyFont="1"/>
    <xf numFmtId="0" fontId="9" fillId="3" borderId="0" xfId="3" applyFont="1" applyFill="1"/>
    <xf numFmtId="0" fontId="19" fillId="3" borderId="0" xfId="3" applyFont="1" applyFill="1" applyBorder="1"/>
    <xf numFmtId="0" fontId="19" fillId="0" borderId="0" xfId="3" applyFont="1" applyBorder="1"/>
    <xf numFmtId="0" fontId="8" fillId="3" borderId="5" xfId="3" applyFont="1" applyFill="1" applyBorder="1"/>
    <xf numFmtId="17" fontId="9" fillId="3" borderId="23" xfId="3" quotePrefix="1" applyNumberFormat="1" applyFont="1" applyFill="1" applyBorder="1" applyAlignment="1">
      <alignment horizontal="right"/>
    </xf>
    <xf numFmtId="173" fontId="9" fillId="3" borderId="23" xfId="14" quotePrefix="1" applyNumberFormat="1" applyFont="1" applyFill="1" applyBorder="1" applyAlignment="1">
      <alignment horizontal="right"/>
    </xf>
    <xf numFmtId="173" fontId="9" fillId="3" borderId="24" xfId="14" quotePrefix="1" applyNumberFormat="1" applyFont="1" applyFill="1" applyBorder="1" applyAlignment="1">
      <alignment horizontal="right"/>
    </xf>
    <xf numFmtId="173" fontId="9" fillId="3" borderId="0" xfId="14" quotePrefix="1" applyNumberFormat="1" applyFont="1" applyFill="1" applyBorder="1" applyAlignment="1">
      <alignment horizontal="right"/>
    </xf>
    <xf numFmtId="0" fontId="8" fillId="3" borderId="9" xfId="3" applyFont="1" applyFill="1" applyBorder="1" applyAlignment="1">
      <alignment horizontal="left"/>
    </xf>
    <xf numFmtId="0" fontId="8" fillId="3" borderId="0" xfId="3" applyFont="1" applyFill="1" applyBorder="1" applyAlignment="1">
      <alignment horizontal="right"/>
    </xf>
    <xf numFmtId="0" fontId="8" fillId="3" borderId="0" xfId="3" applyFont="1" applyFill="1" applyAlignment="1">
      <alignment horizontal="right"/>
    </xf>
    <xf numFmtId="0" fontId="8" fillId="3" borderId="12" xfId="3" applyFont="1" applyFill="1" applyBorder="1" applyAlignment="1">
      <alignment horizontal="right"/>
    </xf>
    <xf numFmtId="0" fontId="58" fillId="3" borderId="9" xfId="3" applyFont="1" applyFill="1" applyBorder="1"/>
    <xf numFmtId="0" fontId="58" fillId="3" borderId="0" xfId="3" applyFont="1" applyFill="1"/>
    <xf numFmtId="0" fontId="59" fillId="3" borderId="0" xfId="3" applyFont="1" applyFill="1" applyBorder="1" applyAlignment="1">
      <alignment horizontal="right"/>
    </xf>
    <xf numFmtId="0" fontId="60" fillId="3" borderId="9" xfId="3" applyFont="1" applyFill="1" applyBorder="1" applyAlignment="1">
      <alignment horizontal="left"/>
    </xf>
    <xf numFmtId="0" fontId="8" fillId="3" borderId="13" xfId="3" applyFont="1" applyFill="1" applyBorder="1" applyAlignment="1">
      <alignment horizontal="left"/>
    </xf>
    <xf numFmtId="0" fontId="8" fillId="3" borderId="4" xfId="3" applyFont="1" applyFill="1" applyBorder="1" applyAlignment="1">
      <alignment horizontal="right"/>
    </xf>
    <xf numFmtId="0" fontId="16" fillId="3" borderId="17" xfId="3" applyFont="1" applyFill="1" applyBorder="1" applyAlignment="1">
      <alignment horizontal="left"/>
    </xf>
    <xf numFmtId="0" fontId="9" fillId="3" borderId="18" xfId="3" applyFont="1" applyFill="1" applyBorder="1"/>
    <xf numFmtId="0" fontId="9" fillId="3" borderId="19" xfId="3" applyFont="1" applyFill="1" applyBorder="1"/>
    <xf numFmtId="0" fontId="9" fillId="3" borderId="0" xfId="3" applyFont="1" applyFill="1" applyBorder="1"/>
    <xf numFmtId="0" fontId="60" fillId="3" borderId="0" xfId="3" applyFont="1" applyFill="1" applyBorder="1" applyAlignment="1">
      <alignment horizontal="left"/>
    </xf>
    <xf numFmtId="0" fontId="9" fillId="3" borderId="0" xfId="3" applyFont="1" applyFill="1" applyBorder="1" applyAlignment="1"/>
    <xf numFmtId="0" fontId="8" fillId="3" borderId="0" xfId="3" applyFont="1" applyFill="1" applyBorder="1" applyAlignment="1">
      <alignment horizontal="left"/>
    </xf>
    <xf numFmtId="0" fontId="8" fillId="0" borderId="0" xfId="3" applyFont="1" applyFill="1" applyBorder="1" applyAlignment="1">
      <alignment horizontal="right"/>
    </xf>
    <xf numFmtId="0" fontId="9" fillId="3" borderId="23" xfId="3" applyFont="1" applyFill="1" applyBorder="1"/>
    <xf numFmtId="0" fontId="9" fillId="3" borderId="24" xfId="3" applyFont="1" applyFill="1" applyBorder="1"/>
    <xf numFmtId="0" fontId="19" fillId="4" borderId="0" xfId="3" applyFont="1" applyFill="1"/>
    <xf numFmtId="0" fontId="9" fillId="3" borderId="29" xfId="3" applyFont="1" applyFill="1" applyBorder="1"/>
    <xf numFmtId="0" fontId="9" fillId="3" borderId="21" xfId="3" applyFont="1" applyFill="1" applyBorder="1"/>
    <xf numFmtId="0" fontId="9" fillId="3" borderId="42" xfId="3" applyFont="1" applyFill="1" applyBorder="1"/>
    <xf numFmtId="0" fontId="27" fillId="0" borderId="0" xfId="3" applyFont="1" applyAlignment="1">
      <alignment vertical="top"/>
    </xf>
    <xf numFmtId="0" fontId="8" fillId="3" borderId="45" xfId="3" applyFont="1" applyFill="1" applyBorder="1"/>
    <xf numFmtId="0" fontId="8" fillId="3" borderId="46" xfId="3" applyFont="1" applyFill="1" applyBorder="1"/>
    <xf numFmtId="0" fontId="30" fillId="0" borderId="0" xfId="3" applyFont="1" applyFill="1" applyAlignment="1">
      <alignment horizontal="left"/>
    </xf>
    <xf numFmtId="0" fontId="19" fillId="0" borderId="0" xfId="3" applyFont="1" applyFill="1"/>
    <xf numFmtId="0" fontId="27" fillId="0" borderId="0" xfId="3" applyFont="1" applyFill="1" applyBorder="1" applyAlignment="1">
      <alignment vertical="top" wrapText="1"/>
    </xf>
    <xf numFmtId="0" fontId="8" fillId="3" borderId="12" xfId="3" applyFont="1" applyFill="1" applyBorder="1"/>
    <xf numFmtId="0" fontId="27" fillId="0" borderId="0" xfId="16" applyFont="1" applyFill="1" applyBorder="1" applyAlignment="1">
      <alignment vertical="top"/>
    </xf>
    <xf numFmtId="0" fontId="58" fillId="3" borderId="0" xfId="3" applyFont="1" applyFill="1" applyBorder="1"/>
    <xf numFmtId="0" fontId="58" fillId="3" borderId="12" xfId="3" applyFont="1" applyFill="1" applyBorder="1"/>
    <xf numFmtId="0" fontId="8" fillId="3" borderId="29" xfId="3" applyFont="1" applyFill="1" applyBorder="1" applyAlignment="1">
      <alignment horizontal="left"/>
    </xf>
    <xf numFmtId="0" fontId="8" fillId="3" borderId="21" xfId="3" applyFont="1" applyFill="1" applyBorder="1" applyAlignment="1">
      <alignment horizontal="right"/>
    </xf>
    <xf numFmtId="0" fontId="8" fillId="3" borderId="21" xfId="3" applyFont="1" applyFill="1" applyBorder="1"/>
    <xf numFmtId="0" fontId="8" fillId="3" borderId="42" xfId="3" applyFont="1" applyFill="1" applyBorder="1"/>
    <xf numFmtId="0" fontId="9" fillId="3" borderId="9" xfId="3" applyFont="1" applyFill="1" applyBorder="1"/>
    <xf numFmtId="0" fontId="8" fillId="3" borderId="47" xfId="3" applyFont="1" applyFill="1" applyBorder="1"/>
    <xf numFmtId="0" fontId="8" fillId="3" borderId="13" xfId="3" applyFont="1" applyFill="1" applyBorder="1"/>
    <xf numFmtId="0" fontId="8" fillId="3" borderId="4" xfId="3" applyFont="1" applyFill="1" applyBorder="1"/>
    <xf numFmtId="0" fontId="8" fillId="3" borderId="16" xfId="3" applyFont="1" applyFill="1" applyBorder="1"/>
    <xf numFmtId="0" fontId="16" fillId="0" borderId="0" xfId="3" applyFont="1" applyFill="1" applyBorder="1" applyAlignment="1">
      <alignment horizontal="left"/>
    </xf>
    <xf numFmtId="0" fontId="9" fillId="0" borderId="0" xfId="3" applyFont="1" applyFill="1" applyBorder="1"/>
    <xf numFmtId="0" fontId="9" fillId="4" borderId="0" xfId="3" applyFont="1" applyFill="1" applyBorder="1"/>
    <xf numFmtId="0" fontId="19" fillId="0" borderId="0" xfId="3" applyFont="1" applyFill="1" applyAlignment="1">
      <alignment horizontal="left"/>
    </xf>
    <xf numFmtId="0" fontId="5" fillId="0" borderId="0" xfId="3" applyFont="1" applyAlignment="1">
      <alignment vertical="top" wrapText="1"/>
    </xf>
    <xf numFmtId="0" fontId="19" fillId="0" borderId="0" xfId="3" applyFont="1" applyAlignment="1" applyProtection="1">
      <alignment vertical="top"/>
      <protection hidden="1"/>
    </xf>
    <xf numFmtId="0" fontId="27" fillId="0" borderId="0" xfId="3" applyFont="1" applyBorder="1" applyAlignment="1"/>
    <xf numFmtId="0" fontId="9" fillId="0" borderId="0" xfId="3" applyFont="1" applyBorder="1" applyAlignment="1"/>
    <xf numFmtId="0" fontId="9" fillId="0" borderId="4" xfId="3" applyFont="1" applyBorder="1" applyAlignment="1"/>
    <xf numFmtId="0" fontId="8" fillId="0" borderId="0" xfId="3" applyFont="1" applyBorder="1" applyAlignment="1">
      <alignment horizontal="right"/>
    </xf>
    <xf numFmtId="173" fontId="8" fillId="0" borderId="0" xfId="14" applyNumberFormat="1" applyFont="1" applyFill="1" applyBorder="1" applyAlignment="1">
      <alignment horizontal="left"/>
    </xf>
    <xf numFmtId="0" fontId="8" fillId="0" borderId="0" xfId="3" applyFont="1" applyBorder="1" applyAlignment="1">
      <alignment horizontal="left"/>
    </xf>
    <xf numFmtId="0" fontId="8" fillId="0" borderId="4" xfId="3" applyFont="1" applyBorder="1" applyAlignment="1">
      <alignment horizontal="left"/>
    </xf>
    <xf numFmtId="0" fontId="61" fillId="11" borderId="51" xfId="3" applyFont="1" applyFill="1" applyBorder="1" applyAlignment="1">
      <alignment horizontal="center" wrapText="1"/>
    </xf>
    <xf numFmtId="0" fontId="61" fillId="11" borderId="25" xfId="3" applyFont="1" applyFill="1" applyBorder="1" applyAlignment="1">
      <alignment horizontal="center" wrapText="1"/>
    </xf>
    <xf numFmtId="0" fontId="61" fillId="11" borderId="52" xfId="3" applyFont="1" applyFill="1" applyBorder="1" applyAlignment="1">
      <alignment horizontal="center" wrapText="1"/>
    </xf>
    <xf numFmtId="0" fontId="9" fillId="0" borderId="0" xfId="3" applyFont="1" applyBorder="1"/>
    <xf numFmtId="0" fontId="9" fillId="0" borderId="4" xfId="3" applyFont="1" applyBorder="1"/>
    <xf numFmtId="0" fontId="9" fillId="0" borderId="0" xfId="3" applyFont="1" applyBorder="1" applyAlignment="1">
      <alignment horizontal="right"/>
    </xf>
    <xf numFmtId="0" fontId="8" fillId="0" borderId="4" xfId="3" applyFont="1" applyFill="1" applyBorder="1" applyAlignment="1">
      <alignment horizontal="right"/>
    </xf>
    <xf numFmtId="0" fontId="27" fillId="9" borderId="51" xfId="3" applyFont="1" applyFill="1" applyBorder="1"/>
    <xf numFmtId="0" fontId="61" fillId="9" borderId="25" xfId="3" applyFont="1" applyFill="1" applyBorder="1" applyAlignment="1">
      <alignment horizontal="left" wrapText="1"/>
    </xf>
    <xf numFmtId="0" fontId="61" fillId="9" borderId="25" xfId="3" applyFont="1" applyFill="1" applyBorder="1" applyAlignment="1">
      <alignment horizontal="center" wrapText="1"/>
    </xf>
    <xf numFmtId="0" fontId="61" fillId="9" borderId="52" xfId="3" applyFont="1" applyFill="1" applyBorder="1" applyAlignment="1">
      <alignment horizontal="center" wrapText="1"/>
    </xf>
    <xf numFmtId="166" fontId="8" fillId="0" borderId="0" xfId="3" applyNumberFormat="1" applyFont="1" applyFill="1" applyBorder="1"/>
    <xf numFmtId="0" fontId="8" fillId="0" borderId="4" xfId="3" applyFont="1" applyBorder="1"/>
    <xf numFmtId="0" fontId="62" fillId="9" borderId="25" xfId="3" applyFont="1" applyFill="1" applyBorder="1" applyAlignment="1">
      <alignment horizontal="left" wrapText="1"/>
    </xf>
    <xf numFmtId="0" fontId="62" fillId="9" borderId="25" xfId="3" applyFont="1" applyFill="1" applyBorder="1" applyAlignment="1">
      <alignment horizontal="center" wrapText="1"/>
    </xf>
    <xf numFmtId="0" fontId="62" fillId="9" borderId="52" xfId="3" applyFont="1" applyFill="1" applyBorder="1" applyAlignment="1">
      <alignment horizontal="center" wrapText="1"/>
    </xf>
    <xf numFmtId="0" fontId="1" fillId="9" borderId="51" xfId="3" applyFont="1" applyFill="1" applyBorder="1"/>
    <xf numFmtId="0" fontId="16" fillId="0" borderId="0" xfId="3" applyFont="1" applyFill="1" applyBorder="1" applyAlignment="1">
      <alignment horizontal="right"/>
    </xf>
    <xf numFmtId="0" fontId="62" fillId="9" borderId="54" xfId="3" applyFont="1" applyFill="1" applyBorder="1" applyAlignment="1">
      <alignment horizontal="left" wrapText="1"/>
    </xf>
    <xf numFmtId="0" fontId="62" fillId="9" borderId="54" xfId="3" applyFont="1" applyFill="1" applyBorder="1" applyAlignment="1">
      <alignment horizontal="center" wrapText="1"/>
    </xf>
    <xf numFmtId="0" fontId="62" fillId="9" borderId="55" xfId="3" applyFont="1" applyFill="1" applyBorder="1" applyAlignment="1">
      <alignment horizontal="center" wrapText="1"/>
    </xf>
    <xf numFmtId="0" fontId="5" fillId="0" borderId="0" xfId="3" applyFont="1" applyFill="1" applyAlignment="1" applyProtection="1">
      <alignment vertical="top"/>
    </xf>
    <xf numFmtId="0" fontId="1" fillId="0" borderId="0" xfId="3" applyFont="1" applyFill="1" applyAlignment="1" applyProtection="1">
      <alignment vertical="top"/>
    </xf>
    <xf numFmtId="0" fontId="2" fillId="0" borderId="0" xfId="3" applyFont="1" applyFill="1" applyProtection="1"/>
    <xf numFmtId="0" fontId="2" fillId="0" borderId="0" xfId="3" applyFont="1" applyFill="1" applyProtection="1">
      <protection locked="0"/>
    </xf>
    <xf numFmtId="0" fontId="2" fillId="0" borderId="0" xfId="3" applyFont="1" applyFill="1" applyBorder="1" applyProtection="1">
      <protection locked="0"/>
    </xf>
    <xf numFmtId="0" fontId="10" fillId="0" borderId="0" xfId="3" applyFont="1" applyFill="1" applyProtection="1"/>
    <xf numFmtId="0" fontId="11" fillId="0" borderId="0" xfId="3" applyFont="1" applyFill="1" applyProtection="1"/>
    <xf numFmtId="49" fontId="20" fillId="0" borderId="56" xfId="3" applyNumberFormat="1" applyFont="1" applyFill="1" applyBorder="1" applyAlignment="1" applyProtection="1">
      <alignment horizontal="right"/>
    </xf>
    <xf numFmtId="49" fontId="20" fillId="3" borderId="56" xfId="3" applyNumberFormat="1" applyFont="1" applyFill="1" applyBorder="1" applyAlignment="1" applyProtection="1">
      <alignment horizontal="right"/>
    </xf>
    <xf numFmtId="49" fontId="20" fillId="3" borderId="57" xfId="3" applyNumberFormat="1" applyFont="1" applyFill="1" applyBorder="1" applyAlignment="1" applyProtection="1">
      <alignment horizontal="right"/>
    </xf>
    <xf numFmtId="49" fontId="20" fillId="0" borderId="0" xfId="3" applyNumberFormat="1" applyFont="1" applyFill="1" applyBorder="1" applyAlignment="1" applyProtection="1">
      <alignment horizontal="right"/>
    </xf>
    <xf numFmtId="0" fontId="8" fillId="0" borderId="9" xfId="3" applyFont="1" applyFill="1" applyBorder="1" applyAlignment="1" applyProtection="1">
      <alignment wrapText="1"/>
    </xf>
    <xf numFmtId="170" fontId="17" fillId="0" borderId="11" xfId="17" applyNumberFormat="1" applyFont="1" applyFill="1" applyBorder="1" applyProtection="1"/>
    <xf numFmtId="170" fontId="17" fillId="3" borderId="11" xfId="17" applyNumberFormat="1" applyFont="1" applyFill="1" applyBorder="1" applyProtection="1"/>
    <xf numFmtId="170" fontId="17" fillId="3" borderId="58" xfId="17" applyNumberFormat="1" applyFont="1" applyFill="1" applyBorder="1" applyProtection="1"/>
    <xf numFmtId="170" fontId="17" fillId="3" borderId="58" xfId="2" applyNumberFormat="1" applyFont="1" applyFill="1" applyBorder="1" applyProtection="1"/>
    <xf numFmtId="170" fontId="17" fillId="0" borderId="15" xfId="17" applyNumberFormat="1" applyFont="1" applyFill="1" applyBorder="1" applyProtection="1"/>
    <xf numFmtId="170" fontId="17" fillId="3" borderId="15" xfId="17" applyNumberFormat="1" applyFont="1" applyFill="1" applyBorder="1" applyProtection="1"/>
    <xf numFmtId="170" fontId="17" fillId="0" borderId="15" xfId="2" applyNumberFormat="1" applyFont="1" applyFill="1" applyBorder="1" applyProtection="1"/>
    <xf numFmtId="170" fontId="17" fillId="3" borderId="15" xfId="2" applyNumberFormat="1" applyFont="1" applyFill="1" applyBorder="1" applyProtection="1"/>
    <xf numFmtId="170" fontId="17" fillId="3" borderId="60" xfId="2" applyNumberFormat="1" applyFont="1" applyFill="1" applyBorder="1" applyProtection="1"/>
    <xf numFmtId="170" fontId="17" fillId="0" borderId="0" xfId="17" applyNumberFormat="1" applyFont="1" applyFill="1" applyBorder="1" applyProtection="1"/>
    <xf numFmtId="170" fontId="17" fillId="3" borderId="0" xfId="17" applyNumberFormat="1" applyFont="1" applyFill="1" applyBorder="1" applyProtection="1"/>
    <xf numFmtId="0" fontId="20" fillId="0" borderId="0" xfId="3" applyFont="1" applyFill="1" applyBorder="1" applyAlignment="1" applyProtection="1">
      <alignment wrapText="1"/>
    </xf>
    <xf numFmtId="170" fontId="20" fillId="0" borderId="0" xfId="17" applyNumberFormat="1" applyFont="1" applyFill="1" applyBorder="1" applyProtection="1"/>
    <xf numFmtId="0" fontId="17" fillId="0" borderId="17" xfId="3" applyFont="1" applyFill="1" applyBorder="1" applyAlignment="1" applyProtection="1">
      <alignment wrapText="1"/>
    </xf>
    <xf numFmtId="0" fontId="17" fillId="0" borderId="9" xfId="3" applyFont="1" applyFill="1" applyBorder="1" applyAlignment="1" applyProtection="1">
      <alignment wrapText="1"/>
    </xf>
    <xf numFmtId="0" fontId="17" fillId="0" borderId="13" xfId="3" applyFont="1" applyFill="1" applyBorder="1" applyAlignment="1" applyProtection="1">
      <alignment wrapText="1"/>
    </xf>
    <xf numFmtId="170" fontId="17" fillId="3" borderId="60" xfId="17" applyNumberFormat="1" applyFont="1" applyFill="1" applyBorder="1" applyProtection="1"/>
    <xf numFmtId="0" fontId="17" fillId="0" borderId="0" xfId="3" applyFont="1" applyFill="1" applyBorder="1" applyAlignment="1" applyProtection="1">
      <alignment wrapText="1"/>
    </xf>
    <xf numFmtId="170" fontId="11" fillId="0" borderId="0" xfId="17" applyNumberFormat="1" applyFont="1" applyFill="1" applyBorder="1" applyProtection="1"/>
    <xf numFmtId="170" fontId="11" fillId="3" borderId="0" xfId="17" applyNumberFormat="1" applyFont="1" applyFill="1" applyBorder="1" applyProtection="1"/>
    <xf numFmtId="170" fontId="8" fillId="0" borderId="0" xfId="17" applyNumberFormat="1" applyFont="1" applyFill="1" applyBorder="1" applyProtection="1"/>
    <xf numFmtId="170" fontId="8" fillId="3" borderId="0" xfId="17" applyNumberFormat="1" applyFont="1" applyFill="1" applyBorder="1" applyProtection="1"/>
    <xf numFmtId="0" fontId="11" fillId="0" borderId="0" xfId="3" applyFont="1" applyFill="1" applyBorder="1" applyProtection="1"/>
    <xf numFmtId="0" fontId="11" fillId="0" borderId="0" xfId="3" applyFont="1" applyFill="1" applyBorder="1" applyAlignment="1" applyProtection="1">
      <alignment wrapText="1"/>
    </xf>
    <xf numFmtId="0" fontId="5" fillId="0" borderId="0" xfId="3" applyFont="1" applyFill="1" applyAlignment="1" applyProtection="1">
      <alignment vertical="top" wrapText="1"/>
    </xf>
    <xf numFmtId="0" fontId="1" fillId="0" borderId="0" xfId="3" applyFont="1" applyFill="1" applyAlignment="1" applyProtection="1">
      <alignment wrapText="1"/>
      <protection locked="0"/>
    </xf>
    <xf numFmtId="0" fontId="8" fillId="0" borderId="23" xfId="3" applyFont="1" applyFill="1" applyBorder="1" applyProtection="1"/>
    <xf numFmtId="0" fontId="8" fillId="0" borderId="4" xfId="3" applyFont="1" applyFill="1" applyBorder="1" applyAlignment="1" applyProtection="1">
      <alignment wrapText="1"/>
    </xf>
    <xf numFmtId="0" fontId="8" fillId="0" borderId="23" xfId="3" applyFont="1" applyFill="1" applyBorder="1" applyAlignment="1" applyProtection="1">
      <alignment wrapText="1"/>
    </xf>
    <xf numFmtId="1" fontId="9" fillId="0" borderId="24" xfId="6" quotePrefix="1" applyNumberFormat="1" applyFont="1" applyFill="1" applyBorder="1" applyAlignment="1" applyProtection="1">
      <alignment horizontal="right"/>
    </xf>
    <xf numFmtId="166" fontId="8" fillId="0" borderId="12" xfId="3" applyNumberFormat="1" applyFont="1" applyFill="1" applyBorder="1" applyProtection="1"/>
    <xf numFmtId="166" fontId="8" fillId="0" borderId="16" xfId="3" applyNumberFormat="1" applyFont="1" applyFill="1" applyBorder="1" applyProtection="1"/>
    <xf numFmtId="167" fontId="20" fillId="0" borderId="19" xfId="6" quotePrefix="1" applyFont="1" applyFill="1" applyBorder="1" applyAlignment="1" applyProtection="1">
      <alignment horizontal="right"/>
    </xf>
    <xf numFmtId="166" fontId="17" fillId="0" borderId="16" xfId="3" applyNumberFormat="1" applyFont="1" applyFill="1" applyBorder="1" applyProtection="1"/>
    <xf numFmtId="49" fontId="20" fillId="0" borderId="28" xfId="8" applyNumberFormat="1" applyFont="1" applyFill="1" applyBorder="1" applyAlignment="1" applyProtection="1">
      <alignment horizontal="right"/>
    </xf>
    <xf numFmtId="176" fontId="8" fillId="0" borderId="12" xfId="8" applyNumberFormat="1" applyFont="1" applyFill="1" applyBorder="1" applyAlignment="1" applyProtection="1">
      <alignment horizontal="right"/>
    </xf>
    <xf numFmtId="176" fontId="8" fillId="0" borderId="31" xfId="8" applyNumberFormat="1" applyFont="1" applyFill="1" applyBorder="1" applyAlignment="1" applyProtection="1">
      <alignment horizontal="right"/>
    </xf>
    <xf numFmtId="176" fontId="9" fillId="0" borderId="12" xfId="8" applyNumberFormat="1" applyFont="1" applyFill="1" applyBorder="1" applyAlignment="1" applyProtection="1">
      <alignment horizontal="right"/>
    </xf>
    <xf numFmtId="2" fontId="8" fillId="0" borderId="12" xfId="8" applyNumberFormat="1" applyFont="1" applyFill="1" applyBorder="1" applyAlignment="1" applyProtection="1">
      <alignment horizontal="right"/>
    </xf>
    <xf numFmtId="176" fontId="8" fillId="0" borderId="34" xfId="8" applyNumberFormat="1" applyFont="1" applyFill="1" applyBorder="1" applyAlignment="1" applyProtection="1">
      <alignment horizontal="right"/>
    </xf>
    <xf numFmtId="176" fontId="8" fillId="0" borderId="37" xfId="8" applyNumberFormat="1" applyFont="1" applyFill="1" applyBorder="1" applyAlignment="1" applyProtection="1">
      <alignment horizontal="right"/>
    </xf>
    <xf numFmtId="0" fontId="8" fillId="0" borderId="40" xfId="8" applyFont="1" applyFill="1" applyBorder="1" applyAlignment="1" applyProtection="1">
      <alignment horizontal="right"/>
    </xf>
    <xf numFmtId="0" fontId="9" fillId="0" borderId="18" xfId="4" applyFont="1" applyFill="1" applyBorder="1" applyAlignment="1" applyProtection="1">
      <protection locked="0"/>
    </xf>
    <xf numFmtId="0" fontId="9" fillId="0" borderId="19" xfId="4" applyFont="1" applyFill="1" applyBorder="1" applyAlignment="1" applyProtection="1">
      <protection locked="0"/>
    </xf>
    <xf numFmtId="179" fontId="17" fillId="0" borderId="0" xfId="0" applyNumberFormat="1" applyFont="1" applyFill="1" applyBorder="1"/>
    <xf numFmtId="179" fontId="17" fillId="0" borderId="12" xfId="0" applyNumberFormat="1" applyFont="1" applyFill="1" applyBorder="1"/>
    <xf numFmtId="166" fontId="17" fillId="0" borderId="0" xfId="0" applyNumberFormat="1" applyFont="1" applyFill="1" applyBorder="1"/>
    <xf numFmtId="166" fontId="17" fillId="0" borderId="12" xfId="0" applyNumberFormat="1" applyFont="1" applyFill="1" applyBorder="1"/>
    <xf numFmtId="166" fontId="17" fillId="0" borderId="4" xfId="0" applyNumberFormat="1" applyFont="1" applyFill="1" applyBorder="1"/>
    <xf numFmtId="166" fontId="17" fillId="0" borderId="16" xfId="0" applyNumberFormat="1" applyFont="1" applyFill="1" applyBorder="1"/>
    <xf numFmtId="1" fontId="9" fillId="0" borderId="19" xfId="4" applyNumberFormat="1" applyFont="1" applyFill="1" applyBorder="1" applyProtection="1">
      <protection locked="0"/>
    </xf>
    <xf numFmtId="1" fontId="8" fillId="0" borderId="18" xfId="4" applyNumberFormat="1" applyFont="1" applyFill="1" applyBorder="1" applyAlignment="1" applyProtection="1">
      <alignment horizontal="right"/>
      <protection locked="0"/>
    </xf>
    <xf numFmtId="166" fontId="8" fillId="0" borderId="16" xfId="4" applyNumberFormat="1" applyFont="1" applyFill="1" applyBorder="1" applyProtection="1">
      <protection locked="0"/>
    </xf>
    <xf numFmtId="0" fontId="9" fillId="0" borderId="24" xfId="4" applyFont="1" applyFill="1" applyBorder="1" applyAlignment="1" applyProtection="1">
      <protection locked="0"/>
    </xf>
    <xf numFmtId="10" fontId="44" fillId="0" borderId="12" xfId="0" applyNumberFormat="1" applyFont="1" applyFill="1" applyBorder="1" applyAlignment="1">
      <alignment horizontal="right" vertical="center"/>
    </xf>
    <xf numFmtId="10" fontId="44" fillId="0" borderId="16" xfId="0" applyNumberFormat="1" applyFont="1" applyFill="1" applyBorder="1" applyAlignment="1">
      <alignment horizontal="right" vertical="center"/>
    </xf>
    <xf numFmtId="10" fontId="8" fillId="0" borderId="24" xfId="2" applyNumberFormat="1" applyFont="1" applyFill="1" applyBorder="1" applyProtection="1">
      <protection locked="0"/>
    </xf>
    <xf numFmtId="10" fontId="8" fillId="0" borderId="12" xfId="2" applyNumberFormat="1" applyFont="1" applyFill="1" applyBorder="1" applyProtection="1">
      <protection locked="0"/>
    </xf>
    <xf numFmtId="0" fontId="9" fillId="0" borderId="19" xfId="3" applyFont="1" applyFill="1" applyBorder="1" applyAlignment="1" applyProtection="1">
      <alignment horizontal="right"/>
    </xf>
    <xf numFmtId="0" fontId="8" fillId="0" borderId="0" xfId="3" quotePrefix="1" applyFont="1" applyFill="1" applyBorder="1" applyAlignment="1" applyProtection="1">
      <alignment horizontal="right"/>
    </xf>
    <xf numFmtId="0" fontId="8" fillId="0" borderId="12" xfId="3" applyFont="1" applyFill="1" applyBorder="1" applyAlignment="1" applyProtection="1">
      <alignment horizontal="right"/>
    </xf>
    <xf numFmtId="0" fontId="8" fillId="0" borderId="12" xfId="3" quotePrefix="1" applyFont="1" applyFill="1" applyBorder="1" applyAlignment="1" applyProtection="1">
      <alignment horizontal="right"/>
    </xf>
    <xf numFmtId="3" fontId="8" fillId="0" borderId="12" xfId="3" applyNumberFormat="1" applyFont="1" applyFill="1" applyBorder="1" applyAlignment="1" applyProtection="1">
      <alignment horizontal="right"/>
    </xf>
    <xf numFmtId="3" fontId="8" fillId="0" borderId="42" xfId="3" applyNumberFormat="1" applyFont="1" applyFill="1" applyBorder="1" applyAlignment="1" applyProtection="1">
      <alignment horizontal="right"/>
    </xf>
    <xf numFmtId="0" fontId="8" fillId="0" borderId="43" xfId="3" applyFont="1" applyFill="1" applyBorder="1" applyAlignment="1" applyProtection="1">
      <alignment horizontal="right"/>
    </xf>
    <xf numFmtId="0" fontId="9" fillId="0" borderId="24" xfId="3" applyFont="1" applyFill="1" applyBorder="1" applyAlignment="1" applyProtection="1"/>
    <xf numFmtId="0" fontId="9" fillId="0" borderId="12" xfId="3" applyFont="1" applyFill="1" applyBorder="1" applyAlignment="1" applyProtection="1">
      <alignment horizontal="right"/>
    </xf>
    <xf numFmtId="0" fontId="8" fillId="0" borderId="16" xfId="3" applyFont="1" applyFill="1" applyBorder="1" applyAlignment="1" applyProtection="1">
      <alignment horizontal="right"/>
    </xf>
    <xf numFmtId="0" fontId="9" fillId="0" borderId="23" xfId="13" applyFont="1" applyFill="1" applyBorder="1" applyAlignment="1">
      <alignment horizontal="right" wrapText="1"/>
    </xf>
    <xf numFmtId="0" fontId="9" fillId="0" borderId="24" xfId="13" applyFont="1" applyFill="1" applyBorder="1" applyAlignment="1">
      <alignment horizontal="right" wrapText="1"/>
    </xf>
    <xf numFmtId="179" fontId="8" fillId="0" borderId="0" xfId="13" applyNumberFormat="1" applyFont="1" applyFill="1" applyBorder="1" applyAlignment="1">
      <alignment horizontal="right" wrapText="1"/>
    </xf>
    <xf numFmtId="179" fontId="8" fillId="0" borderId="12" xfId="13" applyNumberFormat="1" applyFont="1" applyFill="1" applyBorder="1" applyAlignment="1">
      <alignment horizontal="right" wrapText="1"/>
    </xf>
    <xf numFmtId="0" fontId="52" fillId="0" borderId="21" xfId="13" applyFont="1" applyFill="1" applyBorder="1" applyAlignment="1">
      <alignment horizontal="right" wrapText="1"/>
    </xf>
    <xf numFmtId="0" fontId="52" fillId="0" borderId="42" xfId="13" applyFont="1" applyFill="1" applyBorder="1" applyAlignment="1">
      <alignment horizontal="right" wrapText="1"/>
    </xf>
    <xf numFmtId="181" fontId="8" fillId="0" borderId="0" xfId="13" applyNumberFormat="1" applyFont="1" applyFill="1" applyBorder="1" applyAlignment="1">
      <alignment horizontal="right" wrapText="1"/>
    </xf>
    <xf numFmtId="181" fontId="8" fillId="0" borderId="12" xfId="13" applyNumberFormat="1" applyFont="1" applyFill="1" applyBorder="1" applyAlignment="1">
      <alignment horizontal="right" wrapText="1"/>
    </xf>
    <xf numFmtId="0" fontId="52" fillId="0" borderId="4" xfId="13" applyFont="1" applyFill="1" applyBorder="1" applyAlignment="1">
      <alignment horizontal="right" wrapText="1"/>
    </xf>
    <xf numFmtId="0" fontId="52" fillId="0" borderId="16" xfId="13" applyFont="1" applyFill="1" applyBorder="1" applyAlignment="1">
      <alignment horizontal="right" wrapText="1"/>
    </xf>
    <xf numFmtId="179" fontId="8" fillId="0" borderId="0" xfId="13" applyNumberFormat="1" applyFont="1" applyBorder="1" applyAlignment="1">
      <alignment horizontal="right" wrapText="1"/>
    </xf>
    <xf numFmtId="0" fontId="52" fillId="0" borderId="21" xfId="13" applyFont="1" applyBorder="1" applyAlignment="1">
      <alignment horizontal="right" wrapText="1"/>
    </xf>
    <xf numFmtId="0" fontId="63" fillId="0" borderId="0" xfId="13" applyFont="1" applyAlignment="1">
      <alignment horizontal="right" wrapText="1"/>
    </xf>
    <xf numFmtId="181" fontId="8" fillId="0" borderId="0" xfId="13" applyNumberFormat="1" applyFont="1" applyBorder="1" applyAlignment="1">
      <alignment horizontal="right" wrapText="1"/>
    </xf>
    <xf numFmtId="0" fontId="19" fillId="0" borderId="0" xfId="13" applyFont="1" applyAlignment="1">
      <alignment horizontal="right" wrapText="1"/>
    </xf>
    <xf numFmtId="0" fontId="64" fillId="0" borderId="0" xfId="13" applyFont="1" applyAlignment="1">
      <alignment horizontal="right" wrapText="1"/>
    </xf>
    <xf numFmtId="0" fontId="9" fillId="0" borderId="19" xfId="3" applyFont="1" applyFill="1" applyBorder="1" applyAlignment="1" applyProtection="1"/>
    <xf numFmtId="177" fontId="8" fillId="0" borderId="12" xfId="3" applyNumberFormat="1" applyFont="1" applyFill="1" applyBorder="1" applyProtection="1"/>
    <xf numFmtId="177" fontId="8" fillId="0" borderId="16" xfId="3" applyNumberFormat="1" applyFont="1" applyFill="1" applyBorder="1" applyProtection="1"/>
    <xf numFmtId="170" fontId="17" fillId="0" borderId="59" xfId="17" applyNumberFormat="1" applyFont="1" applyFill="1" applyBorder="1" applyProtection="1"/>
    <xf numFmtId="0" fontId="1" fillId="0" borderId="15" xfId="3" applyFont="1" applyFill="1" applyBorder="1" applyProtection="1">
      <protection locked="0"/>
    </xf>
    <xf numFmtId="170" fontId="17" fillId="0" borderId="59" xfId="2" applyNumberFormat="1" applyFont="1" applyFill="1" applyBorder="1" applyProtection="1"/>
    <xf numFmtId="0" fontId="65" fillId="3" borderId="9" xfId="3" applyFont="1" applyFill="1" applyBorder="1"/>
    <xf numFmtId="0" fontId="65" fillId="3" borderId="0" xfId="3" applyFont="1" applyFill="1"/>
    <xf numFmtId="0" fontId="65" fillId="3" borderId="0" xfId="3" applyFont="1" applyFill="1" applyAlignment="1">
      <alignment horizontal="right"/>
    </xf>
    <xf numFmtId="0" fontId="65" fillId="3" borderId="0" xfId="3" applyFont="1" applyFill="1" applyBorder="1" applyAlignment="1">
      <alignment horizontal="right"/>
    </xf>
    <xf numFmtId="0" fontId="65" fillId="3" borderId="12" xfId="3" applyFont="1" applyFill="1" applyBorder="1" applyAlignment="1">
      <alignment horizontal="right"/>
    </xf>
    <xf numFmtId="167" fontId="9" fillId="0" borderId="19" xfId="6" quotePrefix="1" applyFont="1" applyFill="1" applyBorder="1" applyAlignment="1" applyProtection="1">
      <alignment horizontal="right"/>
    </xf>
    <xf numFmtId="166" fontId="25" fillId="0" borderId="16" xfId="3" applyNumberFormat="1" applyFont="1" applyFill="1" applyBorder="1" applyProtection="1">
      <protection locked="0"/>
    </xf>
    <xf numFmtId="168" fontId="8" fillId="0" borderId="4" xfId="6" applyNumberFormat="1" applyFont="1" applyFill="1" applyBorder="1" applyProtection="1"/>
    <xf numFmtId="49" fontId="9" fillId="0" borderId="19" xfId="6" applyNumberFormat="1" applyFont="1" applyFill="1" applyBorder="1" applyAlignment="1" applyProtection="1">
      <alignment horizontal="right"/>
    </xf>
    <xf numFmtId="0" fontId="25" fillId="0" borderId="4" xfId="0" applyFont="1" applyFill="1" applyBorder="1"/>
    <xf numFmtId="166" fontId="25" fillId="0" borderId="4" xfId="0" applyNumberFormat="1" applyFont="1" applyFill="1" applyBorder="1"/>
    <xf numFmtId="168" fontId="8" fillId="0" borderId="16" xfId="6" applyNumberFormat="1" applyFont="1" applyFill="1" applyBorder="1" applyProtection="1"/>
    <xf numFmtId="166" fontId="25" fillId="0" borderId="16" xfId="0" applyNumberFormat="1" applyFont="1" applyFill="1" applyBorder="1" applyAlignment="1">
      <alignment horizontal="right"/>
    </xf>
    <xf numFmtId="171" fontId="9" fillId="0" borderId="24" xfId="6" quotePrefix="1" applyNumberFormat="1" applyFont="1" applyFill="1" applyBorder="1" applyAlignment="1" applyProtection="1">
      <alignment horizontal="right"/>
    </xf>
    <xf numFmtId="4" fontId="25" fillId="0" borderId="16" xfId="3" applyNumberFormat="1" applyFont="1" applyFill="1" applyBorder="1" applyAlignment="1" applyProtection="1"/>
    <xf numFmtId="0" fontId="0" fillId="0" borderId="0" xfId="3" applyFont="1" applyFill="1" applyAlignment="1" applyProtection="1">
      <alignment vertical="top"/>
    </xf>
    <xf numFmtId="0" fontId="0" fillId="0" borderId="0" xfId="3" applyFont="1" applyFill="1" applyProtection="1"/>
    <xf numFmtId="0" fontId="0" fillId="0" borderId="0" xfId="3" applyFont="1" applyFill="1" applyAlignment="1" applyProtection="1">
      <protection locked="0"/>
    </xf>
    <xf numFmtId="0" fontId="5" fillId="0" borderId="0" xfId="3" applyFont="1" applyFill="1" applyBorder="1" applyAlignment="1" applyProtection="1">
      <alignment vertical="top"/>
    </xf>
    <xf numFmtId="0" fontId="0" fillId="0" borderId="0" xfId="3" applyFont="1" applyFill="1" applyBorder="1" applyProtection="1">
      <protection locked="0"/>
    </xf>
    <xf numFmtId="0" fontId="8" fillId="0" borderId="23" xfId="3" applyFont="1" applyFill="1" applyBorder="1"/>
    <xf numFmtId="0" fontId="8" fillId="0" borderId="18" xfId="3" applyFont="1" applyFill="1" applyBorder="1"/>
    <xf numFmtId="0" fontId="9" fillId="0" borderId="56" xfId="3" applyFont="1" applyBorder="1"/>
    <xf numFmtId="0" fontId="9" fillId="0" borderId="57" xfId="3" applyFont="1" applyBorder="1"/>
    <xf numFmtId="0" fontId="41" fillId="0" borderId="56" xfId="3" applyFont="1" applyFill="1" applyBorder="1" applyAlignment="1" applyProtection="1">
      <alignment horizontal="right"/>
    </xf>
    <xf numFmtId="0" fontId="41" fillId="3" borderId="56" xfId="3" applyFont="1" applyFill="1" applyBorder="1" applyAlignment="1" applyProtection="1">
      <alignment horizontal="right"/>
    </xf>
    <xf numFmtId="0" fontId="41" fillId="3" borderId="61" xfId="3" applyFont="1" applyFill="1" applyBorder="1" applyAlignment="1" applyProtection="1">
      <alignment horizontal="right"/>
    </xf>
    <xf numFmtId="0" fontId="41" fillId="3" borderId="0" xfId="3" applyFont="1" applyFill="1" applyBorder="1" applyAlignment="1" applyProtection="1">
      <alignment horizontal="right"/>
    </xf>
    <xf numFmtId="0" fontId="58" fillId="0" borderId="0" xfId="3" applyFont="1" applyFill="1" applyAlignment="1" applyProtection="1"/>
    <xf numFmtId="166" fontId="8" fillId="0" borderId="11" xfId="3" applyNumberFormat="1" applyFont="1" applyBorder="1"/>
    <xf numFmtId="166" fontId="8" fillId="0" borderId="58" xfId="3" applyNumberFormat="1" applyFont="1" applyBorder="1"/>
    <xf numFmtId="166" fontId="8" fillId="0" borderId="11" xfId="3" applyNumberFormat="1" applyFont="1" applyBorder="1" applyProtection="1"/>
    <xf numFmtId="166" fontId="8" fillId="3" borderId="11" xfId="3" applyNumberFormat="1" applyFont="1" applyFill="1" applyBorder="1" applyProtection="1"/>
    <xf numFmtId="166" fontId="8" fillId="3" borderId="62" xfId="3" applyNumberFormat="1" applyFont="1" applyFill="1" applyBorder="1" applyProtection="1"/>
    <xf numFmtId="0" fontId="58" fillId="0" borderId="0" xfId="3" applyFont="1" applyFill="1" applyAlignment="1" applyProtection="1">
      <alignment vertical="top"/>
    </xf>
    <xf numFmtId="166" fontId="8" fillId="3" borderId="63" xfId="3" applyNumberFormat="1" applyFont="1" applyFill="1" applyBorder="1" applyProtection="1"/>
    <xf numFmtId="0" fontId="6" fillId="0" borderId="0" xfId="3" applyFont="1" applyFill="1" applyAlignment="1" applyProtection="1">
      <alignment vertical="top" wrapText="1"/>
    </xf>
    <xf numFmtId="0" fontId="0" fillId="3" borderId="0" xfId="3" applyFont="1" applyFill="1" applyProtection="1">
      <protection locked="0"/>
    </xf>
    <xf numFmtId="0" fontId="58" fillId="0" borderId="0" xfId="3" applyFont="1" applyFill="1" applyBorder="1" applyAlignment="1" applyProtection="1">
      <alignment vertical="top"/>
    </xf>
    <xf numFmtId="166" fontId="8" fillId="4" borderId="4" xfId="3" applyNumberFormat="1" applyFont="1" applyFill="1" applyBorder="1"/>
    <xf numFmtId="166" fontId="8" fillId="0" borderId="15" xfId="3" applyNumberFormat="1" applyFont="1" applyBorder="1" applyProtection="1"/>
    <xf numFmtId="166" fontId="8" fillId="3" borderId="15" xfId="3" applyNumberFormat="1" applyFont="1" applyFill="1" applyBorder="1" applyProtection="1"/>
    <xf numFmtId="166" fontId="8" fillId="3" borderId="64" xfId="3" applyNumberFormat="1" applyFont="1" applyFill="1" applyBorder="1" applyProtection="1"/>
    <xf numFmtId="166" fontId="0" fillId="0" borderId="0" xfId="3" applyNumberFormat="1" applyFont="1" applyFill="1" applyProtection="1">
      <protection locked="0"/>
    </xf>
    <xf numFmtId="170" fontId="4" fillId="0" borderId="0" xfId="17" applyNumberFormat="1" applyFill="1" applyProtection="1">
      <protection locked="0"/>
    </xf>
    <xf numFmtId="0" fontId="0" fillId="0" borderId="4" xfId="3" applyFont="1" applyFill="1" applyBorder="1" applyProtection="1">
      <protection locked="0"/>
    </xf>
    <xf numFmtId="0" fontId="8" fillId="0" borderId="64" xfId="3" applyFont="1" applyFill="1" applyBorder="1"/>
    <xf numFmtId="0" fontId="8" fillId="0" borderId="60" xfId="3" applyFont="1" applyFill="1" applyBorder="1"/>
    <xf numFmtId="0" fontId="8" fillId="0" borderId="0" xfId="3" applyFont="1" applyFill="1" applyBorder="1" applyAlignment="1">
      <alignment horizontal="left"/>
    </xf>
    <xf numFmtId="166" fontId="8" fillId="0" borderId="0" xfId="3" applyNumberFormat="1" applyFont="1" applyFill="1" applyBorder="1" applyAlignment="1">
      <alignment horizontal="center"/>
    </xf>
    <xf numFmtId="166" fontId="8" fillId="0" borderId="63" xfId="3" applyNumberFormat="1" applyFont="1" applyFill="1" applyBorder="1" applyAlignment="1">
      <alignment horizontal="center"/>
    </xf>
    <xf numFmtId="166" fontId="8" fillId="0" borderId="9" xfId="3" applyNumberFormat="1" applyFont="1" applyFill="1" applyBorder="1" applyAlignment="1">
      <alignment horizontal="center"/>
    </xf>
    <xf numFmtId="166" fontId="8" fillId="0" borderId="58" xfId="3" applyNumberFormat="1" applyFont="1" applyFill="1" applyBorder="1" applyAlignment="1">
      <alignment horizontal="center"/>
    </xf>
    <xf numFmtId="0" fontId="8" fillId="0" borderId="4" xfId="3" applyFont="1" applyFill="1" applyBorder="1" applyAlignment="1">
      <alignment horizontal="left"/>
    </xf>
    <xf numFmtId="166" fontId="8" fillId="0" borderId="4" xfId="3" applyNumberFormat="1" applyFont="1" applyFill="1" applyBorder="1" applyAlignment="1">
      <alignment horizontal="center"/>
    </xf>
    <xf numFmtId="166" fontId="8" fillId="0" borderId="64" xfId="3" applyNumberFormat="1" applyFont="1" applyFill="1" applyBorder="1" applyAlignment="1">
      <alignment horizontal="center"/>
    </xf>
    <xf numFmtId="166" fontId="8" fillId="0" borderId="13" xfId="3" applyNumberFormat="1" applyFont="1" applyFill="1" applyBorder="1" applyAlignment="1">
      <alignment horizontal="center"/>
    </xf>
    <xf numFmtId="166" fontId="8" fillId="0" borderId="60" xfId="3" applyNumberFormat="1" applyFont="1" applyFill="1" applyBorder="1" applyAlignment="1">
      <alignment horizontal="center"/>
    </xf>
    <xf numFmtId="0" fontId="0" fillId="0" borderId="0" xfId="3" applyNumberFormat="1" applyFont="1" applyFill="1" applyAlignment="1" applyProtection="1">
      <alignment vertical="top"/>
    </xf>
    <xf numFmtId="0" fontId="14" fillId="0" borderId="0" xfId="3" applyFont="1" applyFill="1"/>
    <xf numFmtId="0" fontId="0" fillId="0" borderId="4" xfId="3" applyFont="1" applyFill="1" applyBorder="1" applyProtection="1"/>
    <xf numFmtId="0" fontId="0" fillId="0" borderId="0" xfId="3" applyFont="1" applyFill="1" applyBorder="1" applyProtection="1"/>
    <xf numFmtId="0" fontId="9" fillId="0" borderId="56" xfId="3" applyFont="1" applyFill="1" applyBorder="1" applyAlignment="1" applyProtection="1">
      <alignment horizontal="right"/>
    </xf>
    <xf numFmtId="0" fontId="41" fillId="0" borderId="57" xfId="3" applyFont="1" applyFill="1" applyBorder="1" applyAlignment="1" applyProtection="1">
      <alignment horizontal="right"/>
    </xf>
    <xf numFmtId="0" fontId="41" fillId="0" borderId="61" xfId="3" applyFont="1" applyFill="1" applyBorder="1" applyAlignment="1" applyProtection="1">
      <alignment horizontal="right"/>
    </xf>
    <xf numFmtId="0" fontId="41" fillId="0" borderId="0" xfId="3" applyFont="1" applyFill="1" applyBorder="1" applyAlignment="1" applyProtection="1">
      <alignment horizontal="right"/>
    </xf>
    <xf numFmtId="165" fontId="8" fillId="0" borderId="11" xfId="3" applyNumberFormat="1" applyFont="1" applyFill="1" applyBorder="1" applyAlignment="1" applyProtection="1">
      <alignment horizontal="right"/>
    </xf>
    <xf numFmtId="165" fontId="25" fillId="0" borderId="11" xfId="3" applyNumberFormat="1" applyFont="1" applyFill="1" applyBorder="1" applyAlignment="1" applyProtection="1">
      <alignment horizontal="right"/>
    </xf>
    <xf numFmtId="165" fontId="25" fillId="0" borderId="63" xfId="3" applyNumberFormat="1" applyFont="1" applyFill="1" applyBorder="1" applyAlignment="1" applyProtection="1">
      <alignment horizontal="right"/>
    </xf>
    <xf numFmtId="165" fontId="25" fillId="3" borderId="0" xfId="3" applyNumberFormat="1" applyFont="1" applyFill="1" applyBorder="1" applyAlignment="1" applyProtection="1">
      <alignment horizontal="right"/>
    </xf>
    <xf numFmtId="182" fontId="25" fillId="3" borderId="0" xfId="3" applyNumberFormat="1" applyFont="1" applyFill="1" applyBorder="1" applyAlignment="1" applyProtection="1">
      <alignment horizontal="right"/>
    </xf>
    <xf numFmtId="165" fontId="25" fillId="0" borderId="0" xfId="3" applyNumberFormat="1" applyFont="1" applyFill="1" applyBorder="1" applyAlignment="1" applyProtection="1">
      <alignment horizontal="right"/>
    </xf>
    <xf numFmtId="0" fontId="66" fillId="0" borderId="0" xfId="3" applyFont="1" applyFill="1" applyProtection="1">
      <protection locked="0"/>
    </xf>
    <xf numFmtId="0" fontId="8" fillId="0" borderId="0" xfId="3" applyFont="1" applyFill="1" applyBorder="1" applyAlignment="1" applyProtection="1">
      <alignment vertical="top" wrapText="1"/>
    </xf>
    <xf numFmtId="1" fontId="8" fillId="0" borderId="15" xfId="3" applyNumberFormat="1" applyFont="1" applyFill="1" applyBorder="1" applyAlignment="1" applyProtection="1">
      <alignment horizontal="right"/>
    </xf>
    <xf numFmtId="1" fontId="25" fillId="0" borderId="15" xfId="3" applyNumberFormat="1" applyFont="1" applyFill="1" applyBorder="1" applyAlignment="1" applyProtection="1">
      <alignment horizontal="right"/>
    </xf>
    <xf numFmtId="166" fontId="25" fillId="0" borderId="15" xfId="3" applyNumberFormat="1" applyFont="1" applyFill="1" applyBorder="1" applyAlignment="1" applyProtection="1">
      <alignment horizontal="right"/>
    </xf>
    <xf numFmtId="1" fontId="25" fillId="0" borderId="64" xfId="3" applyNumberFormat="1" applyFont="1" applyFill="1" applyBorder="1" applyAlignment="1" applyProtection="1">
      <alignment horizontal="right"/>
    </xf>
    <xf numFmtId="1" fontId="25" fillId="3" borderId="0" xfId="3" applyNumberFormat="1" applyFont="1" applyFill="1" applyBorder="1" applyAlignment="1" applyProtection="1">
      <alignment horizontal="right"/>
    </xf>
    <xf numFmtId="1" fontId="25" fillId="0" borderId="0" xfId="3" applyNumberFormat="1" applyFont="1" applyFill="1" applyBorder="1" applyAlignment="1" applyProtection="1">
      <alignment horizontal="right"/>
    </xf>
    <xf numFmtId="1" fontId="8" fillId="0" borderId="23" xfId="3" applyNumberFormat="1" applyFont="1" applyFill="1" applyBorder="1" applyAlignment="1" applyProtection="1">
      <alignment horizontal="right"/>
    </xf>
    <xf numFmtId="1" fontId="8" fillId="0" borderId="0" xfId="3" applyNumberFormat="1" applyFont="1" applyFill="1" applyBorder="1" applyAlignment="1" applyProtection="1">
      <alignment horizontal="right"/>
    </xf>
    <xf numFmtId="0" fontId="8" fillId="0" borderId="4" xfId="3" applyFont="1" applyFill="1" applyBorder="1" applyAlignment="1">
      <alignment horizontal="justify"/>
    </xf>
    <xf numFmtId="0" fontId="8" fillId="0" borderId="0" xfId="3" applyFont="1" applyFill="1" applyBorder="1" applyAlignment="1">
      <alignment horizontal="justify"/>
    </xf>
    <xf numFmtId="0" fontId="8" fillId="0" borderId="18" xfId="3" applyFont="1" applyFill="1" applyBorder="1" applyAlignment="1">
      <alignment horizontal="justify"/>
    </xf>
    <xf numFmtId="0" fontId="8" fillId="0" borderId="17" xfId="3" applyFont="1" applyFill="1" applyBorder="1" applyAlignment="1">
      <alignment horizontal="center" vertical="top"/>
    </xf>
    <xf numFmtId="0" fontId="8" fillId="0" borderId="66" xfId="3" applyFont="1" applyFill="1" applyBorder="1" applyAlignment="1">
      <alignment horizontal="center" vertical="top" wrapText="1"/>
    </xf>
    <xf numFmtId="0" fontId="8" fillId="0" borderId="57" xfId="3" applyFont="1" applyFill="1" applyBorder="1" applyAlignment="1">
      <alignment horizontal="center" vertical="top"/>
    </xf>
    <xf numFmtId="0" fontId="8" fillId="0" borderId="18" xfId="3" applyFont="1" applyFill="1" applyBorder="1" applyAlignment="1">
      <alignment horizontal="center" vertical="top" wrapText="1"/>
    </xf>
    <xf numFmtId="0" fontId="8" fillId="0" borderId="25" xfId="3" applyFont="1" applyFill="1" applyBorder="1" applyAlignment="1">
      <alignment horizontal="center" vertical="top" wrapText="1"/>
    </xf>
    <xf numFmtId="165" fontId="8" fillId="0" borderId="9" xfId="3" applyNumberFormat="1" applyFont="1" applyFill="1" applyBorder="1" applyAlignment="1" applyProtection="1">
      <alignment horizontal="right"/>
    </xf>
    <xf numFmtId="9" fontId="8" fillId="0" borderId="10" xfId="17" applyFont="1" applyFill="1" applyBorder="1" applyAlignment="1" applyProtection="1">
      <alignment horizontal="right"/>
    </xf>
    <xf numFmtId="165" fontId="8" fillId="0" borderId="58" xfId="3" applyNumberFormat="1" applyFont="1" applyFill="1" applyBorder="1" applyAlignment="1" applyProtection="1">
      <alignment horizontal="right"/>
    </xf>
    <xf numFmtId="9" fontId="8" fillId="0" borderId="0" xfId="17" applyFont="1" applyFill="1" applyBorder="1" applyAlignment="1" applyProtection="1">
      <alignment horizontal="right"/>
    </xf>
    <xf numFmtId="1" fontId="8" fillId="0" borderId="67" xfId="3" applyNumberFormat="1" applyFont="1" applyFill="1" applyBorder="1" applyProtection="1"/>
    <xf numFmtId="165" fontId="17" fillId="0" borderId="9" xfId="3" applyNumberFormat="1" applyFont="1" applyFill="1" applyBorder="1" applyAlignment="1" applyProtection="1">
      <alignment horizontal="right"/>
    </xf>
    <xf numFmtId="9" fontId="17" fillId="0" borderId="10" xfId="17" applyFont="1" applyFill="1" applyBorder="1" applyAlignment="1" applyProtection="1">
      <alignment horizontal="right"/>
    </xf>
    <xf numFmtId="0" fontId="8" fillId="0" borderId="41" xfId="3" applyFont="1" applyFill="1" applyBorder="1" applyAlignment="1">
      <alignment horizontal="justify"/>
    </xf>
    <xf numFmtId="165" fontId="8" fillId="0" borderId="38" xfId="3" applyNumberFormat="1" applyFont="1" applyFill="1" applyBorder="1" applyAlignment="1" applyProtection="1">
      <alignment horizontal="right"/>
    </xf>
    <xf numFmtId="9" fontId="8" fillId="0" borderId="68" xfId="17" applyFont="1" applyFill="1" applyBorder="1" applyAlignment="1" applyProtection="1">
      <alignment horizontal="right"/>
    </xf>
    <xf numFmtId="165" fontId="8" fillId="0" borderId="69" xfId="3" applyNumberFormat="1" applyFont="1" applyFill="1" applyBorder="1" applyAlignment="1" applyProtection="1">
      <alignment horizontal="right"/>
    </xf>
    <xf numFmtId="9" fontId="8" fillId="0" borderId="41" xfId="17" applyFont="1" applyFill="1" applyBorder="1" applyAlignment="1" applyProtection="1">
      <alignment horizontal="right"/>
    </xf>
    <xf numFmtId="1" fontId="8" fillId="0" borderId="70" xfId="3" applyNumberFormat="1" applyFont="1" applyFill="1" applyBorder="1" applyAlignment="1" applyProtection="1">
      <alignment horizontal="right"/>
    </xf>
    <xf numFmtId="1" fontId="8" fillId="0" borderId="26" xfId="3" applyNumberFormat="1" applyFont="1" applyFill="1" applyBorder="1" applyProtection="1"/>
    <xf numFmtId="0" fontId="6" fillId="0" borderId="0" xfId="3" applyFont="1" applyFill="1" applyAlignment="1" applyProtection="1">
      <alignment vertical="top"/>
    </xf>
    <xf numFmtId="0" fontId="5" fillId="0" borderId="0" xfId="3" applyNumberFormat="1" applyFont="1" applyFill="1" applyAlignment="1" applyProtection="1">
      <alignment vertical="top"/>
    </xf>
    <xf numFmtId="0" fontId="9" fillId="0" borderId="18" xfId="3" applyNumberFormat="1" applyFont="1" applyFill="1" applyBorder="1" applyProtection="1"/>
    <xf numFmtId="0" fontId="9" fillId="0" borderId="56" xfId="3" applyNumberFormat="1" applyFont="1" applyFill="1" applyBorder="1" applyProtection="1"/>
    <xf numFmtId="0" fontId="9" fillId="0" borderId="56" xfId="3" applyNumberFormat="1" applyFont="1" applyFill="1" applyBorder="1" applyAlignment="1" applyProtection="1">
      <alignment horizontal="right"/>
    </xf>
    <xf numFmtId="0" fontId="9" fillId="0" borderId="57" xfId="3" applyNumberFormat="1" applyFont="1" applyFill="1" applyBorder="1" applyAlignment="1" applyProtection="1">
      <alignment horizontal="right"/>
    </xf>
    <xf numFmtId="0" fontId="9" fillId="0" borderId="61" xfId="3" applyNumberFormat="1" applyFont="1" applyFill="1" applyBorder="1" applyAlignment="1" applyProtection="1">
      <alignment horizontal="right"/>
    </xf>
    <xf numFmtId="0" fontId="9" fillId="3" borderId="0" xfId="3" applyNumberFormat="1" applyFont="1" applyFill="1" applyBorder="1" applyAlignment="1" applyProtection="1">
      <alignment horizontal="right"/>
    </xf>
    <xf numFmtId="0" fontId="9" fillId="2" borderId="0" xfId="3" applyNumberFormat="1" applyFont="1" applyFill="1" applyBorder="1" applyAlignment="1" applyProtection="1">
      <alignment horizontal="right"/>
    </xf>
    <xf numFmtId="0" fontId="9" fillId="0" borderId="0" xfId="3" applyNumberFormat="1" applyFont="1" applyFill="1" applyBorder="1" applyAlignment="1" applyProtection="1">
      <alignment horizontal="right"/>
    </xf>
    <xf numFmtId="0" fontId="0" fillId="0" borderId="0" xfId="3" applyNumberFormat="1" applyFont="1" applyFill="1" applyProtection="1">
      <protection locked="0"/>
    </xf>
    <xf numFmtId="0" fontId="27" fillId="0" borderId="0" xfId="3" applyFont="1" applyFill="1" applyAlignment="1" applyProtection="1">
      <alignment vertical="top"/>
    </xf>
    <xf numFmtId="0" fontId="4" fillId="0" borderId="0" xfId="3" applyFont="1" applyFill="1" applyAlignment="1" applyProtection="1">
      <alignment vertical="top"/>
    </xf>
    <xf numFmtId="2" fontId="8" fillId="0" borderId="11" xfId="3" applyNumberFormat="1" applyFont="1" applyFill="1" applyBorder="1" applyProtection="1"/>
    <xf numFmtId="2" fontId="8" fillId="0" borderId="11" xfId="3" applyNumberFormat="1" applyFont="1" applyFill="1" applyBorder="1" applyAlignment="1" applyProtection="1">
      <alignment horizontal="right"/>
    </xf>
    <xf numFmtId="2" fontId="8" fillId="0" borderId="58" xfId="3" applyNumberFormat="1" applyFont="1" applyFill="1" applyBorder="1" applyAlignment="1" applyProtection="1">
      <alignment horizontal="right"/>
    </xf>
    <xf numFmtId="2" fontId="8" fillId="0" borderId="63" xfId="3" applyNumberFormat="1" applyFont="1" applyFill="1" applyBorder="1" applyAlignment="1" applyProtection="1">
      <alignment horizontal="right"/>
    </xf>
    <xf numFmtId="2" fontId="8" fillId="2" borderId="0" xfId="3" applyNumberFormat="1" applyFont="1" applyFill="1" applyBorder="1" applyAlignment="1" applyProtection="1">
      <alignment horizontal="right"/>
    </xf>
    <xf numFmtId="2" fontId="8" fillId="0" borderId="0" xfId="3" applyNumberFormat="1" applyFont="1" applyFill="1" applyBorder="1" applyAlignment="1" applyProtection="1">
      <alignment horizontal="right"/>
    </xf>
    <xf numFmtId="166" fontId="8" fillId="0" borderId="11" xfId="3" applyNumberFormat="1" applyFont="1" applyFill="1" applyBorder="1" applyProtection="1"/>
    <xf numFmtId="166" fontId="8" fillId="0" borderId="11" xfId="3" applyNumberFormat="1" applyFont="1" applyFill="1" applyBorder="1" applyAlignment="1" applyProtection="1">
      <alignment horizontal="right"/>
    </xf>
    <xf numFmtId="1" fontId="8" fillId="0" borderId="58" xfId="3" applyNumberFormat="1" applyFont="1" applyFill="1" applyBorder="1" applyAlignment="1" applyProtection="1">
      <alignment horizontal="right"/>
    </xf>
    <xf numFmtId="1" fontId="8" fillId="0" borderId="63" xfId="3" applyNumberFormat="1" applyFont="1" applyFill="1" applyBorder="1" applyAlignment="1" applyProtection="1">
      <alignment horizontal="right"/>
    </xf>
    <xf numFmtId="166" fontId="8" fillId="3" borderId="0" xfId="3" applyNumberFormat="1" applyFont="1" applyFill="1" applyBorder="1" applyAlignment="1" applyProtection="1">
      <alignment horizontal="right"/>
    </xf>
    <xf numFmtId="166" fontId="8" fillId="2" borderId="0" xfId="3" applyNumberFormat="1" applyFont="1" applyFill="1" applyBorder="1" applyAlignment="1" applyProtection="1">
      <alignment horizontal="right"/>
    </xf>
    <xf numFmtId="166" fontId="8" fillId="0" borderId="0" xfId="3" applyNumberFormat="1" applyFont="1" applyFill="1" applyBorder="1" applyAlignment="1" applyProtection="1">
      <alignment horizontal="right"/>
    </xf>
    <xf numFmtId="0" fontId="8" fillId="0" borderId="22" xfId="3" applyFont="1" applyFill="1" applyBorder="1" applyProtection="1"/>
    <xf numFmtId="174" fontId="8" fillId="0" borderId="7" xfId="3" applyNumberFormat="1" applyFont="1" applyFill="1" applyBorder="1" applyProtection="1"/>
    <xf numFmtId="174" fontId="8" fillId="0" borderId="7" xfId="3" applyNumberFormat="1" applyFont="1" applyFill="1" applyBorder="1" applyAlignment="1" applyProtection="1">
      <alignment horizontal="right"/>
    </xf>
    <xf numFmtId="174" fontId="8" fillId="0" borderId="20" xfId="3" applyNumberFormat="1" applyFont="1" applyFill="1" applyBorder="1" applyAlignment="1" applyProtection="1">
      <alignment horizontal="right"/>
    </xf>
    <xf numFmtId="174" fontId="8" fillId="0" borderId="71" xfId="3" applyNumberFormat="1" applyFont="1" applyFill="1" applyBorder="1" applyAlignment="1" applyProtection="1">
      <alignment horizontal="right"/>
    </xf>
    <xf numFmtId="174" fontId="8" fillId="3" borderId="0" xfId="3" applyNumberFormat="1" applyFont="1" applyFill="1" applyBorder="1" applyAlignment="1" applyProtection="1">
      <alignment horizontal="right"/>
    </xf>
    <xf numFmtId="174" fontId="8" fillId="2" borderId="0" xfId="3" applyNumberFormat="1" applyFont="1" applyFill="1" applyBorder="1" applyAlignment="1" applyProtection="1">
      <alignment horizontal="right"/>
    </xf>
    <xf numFmtId="174" fontId="8" fillId="0" borderId="0" xfId="3" applyNumberFormat="1" applyFont="1" applyFill="1" applyBorder="1" applyAlignment="1" applyProtection="1">
      <alignment horizontal="right"/>
    </xf>
    <xf numFmtId="174" fontId="8" fillId="0" borderId="11" xfId="3" applyNumberFormat="1" applyFont="1" applyFill="1" applyBorder="1" applyAlignment="1" applyProtection="1">
      <alignment horizontal="right"/>
    </xf>
    <xf numFmtId="174" fontId="8" fillId="0" borderId="58" xfId="3" applyNumberFormat="1" applyFont="1" applyFill="1" applyBorder="1" applyAlignment="1" applyProtection="1">
      <alignment horizontal="right"/>
    </xf>
    <xf numFmtId="174" fontId="8" fillId="0" borderId="63" xfId="3" applyNumberFormat="1" applyFont="1" applyFill="1" applyBorder="1" applyAlignment="1" applyProtection="1">
      <alignment horizontal="right"/>
    </xf>
    <xf numFmtId="174" fontId="8" fillId="0" borderId="11" xfId="3" applyNumberFormat="1" applyFont="1" applyFill="1" applyBorder="1" applyProtection="1"/>
    <xf numFmtId="0" fontId="8" fillId="0" borderId="11" xfId="3" applyFont="1" applyFill="1" applyBorder="1" applyProtection="1"/>
    <xf numFmtId="0" fontId="8" fillId="0" borderId="11" xfId="3" applyFont="1" applyFill="1" applyBorder="1" applyAlignment="1" applyProtection="1">
      <alignment horizontal="right"/>
    </xf>
    <xf numFmtId="174" fontId="8" fillId="0" borderId="15" xfId="3" applyNumberFormat="1" applyFont="1" applyFill="1" applyBorder="1" applyProtection="1"/>
    <xf numFmtId="174" fontId="8" fillId="0" borderId="15" xfId="3" applyNumberFormat="1" applyFont="1" applyFill="1" applyBorder="1" applyAlignment="1" applyProtection="1">
      <alignment horizontal="right"/>
    </xf>
    <xf numFmtId="174" fontId="8" fillId="0" borderId="60" xfId="3" applyNumberFormat="1" applyFont="1" applyFill="1" applyBorder="1" applyAlignment="1" applyProtection="1">
      <alignment horizontal="right"/>
    </xf>
    <xf numFmtId="174" fontId="8" fillId="0" borderId="64" xfId="3" applyNumberFormat="1" applyFont="1" applyFill="1" applyBorder="1" applyAlignment="1" applyProtection="1">
      <alignment horizontal="right"/>
    </xf>
    <xf numFmtId="174" fontId="8" fillId="0" borderId="0" xfId="3" applyNumberFormat="1" applyFont="1" applyFill="1" applyBorder="1" applyProtection="1"/>
    <xf numFmtId="174" fontId="8" fillId="0" borderId="4" xfId="3" applyNumberFormat="1" applyFont="1" applyFill="1" applyBorder="1" applyProtection="1"/>
    <xf numFmtId="174" fontId="8" fillId="0" borderId="4" xfId="3" applyNumberFormat="1" applyFont="1" applyFill="1" applyBorder="1" applyAlignment="1" applyProtection="1">
      <alignment horizontal="right"/>
    </xf>
    <xf numFmtId="0" fontId="4" fillId="0" borderId="4" xfId="3" applyFont="1" applyFill="1" applyBorder="1" applyProtection="1">
      <protection locked="0"/>
    </xf>
    <xf numFmtId="0" fontId="27" fillId="0" borderId="0" xfId="3" applyFont="1" applyFill="1" applyBorder="1" applyAlignment="1" applyProtection="1">
      <alignment vertical="top"/>
    </xf>
    <xf numFmtId="0" fontId="9" fillId="0" borderId="18" xfId="3" applyFont="1" applyFill="1" applyBorder="1" applyProtection="1"/>
    <xf numFmtId="0" fontId="4" fillId="0" borderId="11" xfId="3" applyFont="1" applyFill="1" applyBorder="1" applyProtection="1">
      <protection locked="0"/>
    </xf>
    <xf numFmtId="0" fontId="4" fillId="0" borderId="58" xfId="3" applyFont="1" applyFill="1" applyBorder="1" applyProtection="1">
      <protection locked="0"/>
    </xf>
    <xf numFmtId="0" fontId="4" fillId="0" borderId="63" xfId="3" applyFont="1" applyFill="1" applyBorder="1" applyProtection="1">
      <protection locked="0"/>
    </xf>
    <xf numFmtId="0" fontId="4" fillId="2" borderId="0" xfId="3" applyFont="1" applyFill="1" applyBorder="1" applyProtection="1">
      <protection locked="0"/>
    </xf>
    <xf numFmtId="2" fontId="8" fillId="0" borderId="11" xfId="19" applyNumberFormat="1" applyFont="1" applyFill="1" applyBorder="1"/>
    <xf numFmtId="2" fontId="8" fillId="0" borderId="11" xfId="19" applyNumberFormat="1" applyFont="1" applyFill="1" applyBorder="1" applyAlignment="1">
      <alignment horizontal="right"/>
    </xf>
    <xf numFmtId="2" fontId="8" fillId="0" borderId="58" xfId="19" applyNumberFormat="1" applyFont="1" applyFill="1" applyBorder="1" applyAlignment="1">
      <alignment horizontal="right"/>
    </xf>
    <xf numFmtId="2" fontId="8" fillId="0" borderId="63" xfId="19" applyNumberFormat="1" applyFont="1" applyFill="1" applyBorder="1" applyAlignment="1">
      <alignment horizontal="right"/>
    </xf>
    <xf numFmtId="2" fontId="8" fillId="3" borderId="0" xfId="19" applyNumberFormat="1" applyFont="1" applyFill="1" applyBorder="1" applyAlignment="1">
      <alignment horizontal="right"/>
    </xf>
    <xf numFmtId="2" fontId="8" fillId="2" borderId="0" xfId="19" applyNumberFormat="1" applyFont="1" applyFill="1" applyBorder="1" applyAlignment="1">
      <alignment horizontal="right"/>
    </xf>
    <xf numFmtId="2" fontId="8" fillId="0" borderId="0" xfId="19" applyNumberFormat="1" applyFont="1" applyFill="1" applyBorder="1" applyAlignment="1">
      <alignment horizontal="right"/>
    </xf>
    <xf numFmtId="2" fontId="8" fillId="0" borderId="15" xfId="3" applyNumberFormat="1" applyFont="1" applyFill="1" applyBorder="1" applyProtection="1"/>
    <xf numFmtId="2" fontId="8" fillId="0" borderId="15" xfId="0" applyNumberFormat="1" applyFont="1" applyFill="1" applyBorder="1"/>
    <xf numFmtId="2" fontId="8" fillId="0" borderId="15" xfId="19" applyNumberFormat="1" applyFont="1" applyFill="1" applyBorder="1"/>
    <xf numFmtId="2" fontId="8" fillId="0" borderId="15" xfId="0" applyNumberFormat="1" applyFont="1" applyFill="1" applyBorder="1" applyAlignment="1">
      <alignment horizontal="right"/>
    </xf>
    <xf numFmtId="2" fontId="8" fillId="0" borderId="60" xfId="0" applyNumberFormat="1" applyFont="1" applyFill="1" applyBorder="1" applyAlignment="1">
      <alignment horizontal="right"/>
    </xf>
    <xf numFmtId="2" fontId="8" fillId="0" borderId="64" xfId="0" applyNumberFormat="1" applyFont="1" applyFill="1" applyBorder="1" applyAlignment="1">
      <alignment horizontal="right"/>
    </xf>
    <xf numFmtId="2" fontId="8" fillId="3" borderId="0" xfId="0" applyNumberFormat="1" applyFont="1" applyFill="1" applyBorder="1" applyAlignment="1">
      <alignment horizontal="right"/>
    </xf>
    <xf numFmtId="2" fontId="8" fillId="2" borderId="0" xfId="0" applyNumberFormat="1" applyFont="1" applyFill="1" applyBorder="1" applyAlignment="1">
      <alignment horizontal="right"/>
    </xf>
    <xf numFmtId="2" fontId="8" fillId="0" borderId="0" xfId="0" applyNumberFormat="1" applyFont="1" applyFill="1" applyBorder="1" applyAlignment="1">
      <alignment horizontal="right"/>
    </xf>
    <xf numFmtId="0" fontId="67" fillId="0" borderId="0" xfId="3" applyFont="1" applyFill="1" applyBorder="1" applyAlignment="1" applyProtection="1">
      <alignment vertical="top"/>
    </xf>
    <xf numFmtId="0" fontId="4" fillId="0" borderId="0" xfId="3" applyFont="1" applyFill="1" applyProtection="1"/>
    <xf numFmtId="2" fontId="8" fillId="0" borderId="0" xfId="3" applyNumberFormat="1" applyFont="1" applyFill="1" applyBorder="1" applyProtection="1"/>
    <xf numFmtId="0" fontId="52" fillId="0" borderId="0" xfId="19" applyFont="1" applyFill="1"/>
    <xf numFmtId="0" fontId="14" fillId="0" borderId="0" xfId="3" applyFont="1" applyFill="1" applyBorder="1" applyAlignment="1" applyProtection="1">
      <alignment vertical="top" wrapText="1"/>
      <protection locked="0"/>
    </xf>
    <xf numFmtId="0" fontId="0" fillId="0" borderId="23" xfId="3" applyFont="1" applyFill="1" applyBorder="1" applyProtection="1">
      <protection locked="0"/>
    </xf>
    <xf numFmtId="0" fontId="27" fillId="0" borderId="0" xfId="19" applyFont="1" applyFill="1" applyBorder="1"/>
    <xf numFmtId="0" fontId="27" fillId="0" borderId="0" xfId="19" applyFont="1" applyFill="1" applyBorder="1" applyAlignment="1">
      <alignment horizontal="right"/>
    </xf>
    <xf numFmtId="0" fontId="68" fillId="0" borderId="0" xfId="19" applyFont="1" applyFill="1" applyBorder="1"/>
    <xf numFmtId="0" fontId="8" fillId="0" borderId="0" xfId="19" applyFont="1" applyFill="1" applyBorder="1" applyAlignment="1" applyProtection="1">
      <alignment horizontal="left"/>
      <protection locked="0"/>
    </xf>
    <xf numFmtId="0" fontId="8" fillId="0" borderId="0" xfId="19" applyFont="1" applyFill="1" applyBorder="1" applyAlignment="1" applyProtection="1">
      <alignment horizontal="right"/>
      <protection locked="0"/>
    </xf>
    <xf numFmtId="166" fontId="8" fillId="0" borderId="0" xfId="19" applyNumberFormat="1" applyFont="1" applyFill="1" applyBorder="1"/>
    <xf numFmtId="0" fontId="8" fillId="0" borderId="0" xfId="19" applyFont="1" applyFill="1" applyBorder="1"/>
    <xf numFmtId="166" fontId="34" fillId="0" borderId="0" xfId="19" applyNumberFormat="1" applyFont="1" applyFill="1" applyBorder="1"/>
    <xf numFmtId="0" fontId="9" fillId="0" borderId="4" xfId="19" applyFont="1" applyFill="1" applyBorder="1"/>
    <xf numFmtId="0" fontId="9" fillId="0" borderId="4" xfId="19" applyFont="1" applyFill="1" applyBorder="1" applyAlignment="1" applyProtection="1">
      <alignment horizontal="right"/>
      <protection locked="0"/>
    </xf>
    <xf numFmtId="166" fontId="9" fillId="0" borderId="4" xfId="19" applyNumberFormat="1" applyFont="1" applyFill="1" applyBorder="1"/>
    <xf numFmtId="166" fontId="40" fillId="0" borderId="4" xfId="19" applyNumberFormat="1" applyFont="1" applyFill="1" applyBorder="1"/>
    <xf numFmtId="0" fontId="23" fillId="0" borderId="0" xfId="3" applyFont="1" applyFill="1" applyAlignment="1" applyProtection="1">
      <alignment vertical="top"/>
    </xf>
    <xf numFmtId="0" fontId="14" fillId="0" borderId="0" xfId="3" applyFont="1" applyFill="1" applyAlignment="1" applyProtection="1">
      <alignment vertical="top"/>
    </xf>
    <xf numFmtId="0" fontId="14" fillId="0" borderId="0" xfId="3" applyFont="1" applyFill="1" applyProtection="1"/>
    <xf numFmtId="0" fontId="14" fillId="0" borderId="0" xfId="3" applyFont="1" applyFill="1" applyProtection="1">
      <protection locked="0"/>
    </xf>
    <xf numFmtId="0" fontId="14" fillId="0" borderId="0" xfId="3" applyFont="1" applyFill="1" applyAlignment="1" applyProtection="1">
      <alignment vertical="top"/>
      <protection locked="0"/>
    </xf>
    <xf numFmtId="0" fontId="69" fillId="0" borderId="0" xfId="3" applyFont="1" applyFill="1" applyProtection="1">
      <protection locked="0"/>
    </xf>
    <xf numFmtId="0" fontId="8" fillId="0" borderId="0" xfId="3" applyFont="1" applyFill="1" applyAlignment="1" applyProtection="1">
      <alignment vertical="top"/>
    </xf>
    <xf numFmtId="0" fontId="7" fillId="0" borderId="0" xfId="3" applyFont="1" applyFill="1" applyAlignment="1" applyProtection="1">
      <alignment vertical="top"/>
    </xf>
    <xf numFmtId="0" fontId="8" fillId="0" borderId="18" xfId="3" applyFont="1" applyFill="1" applyBorder="1" applyAlignment="1" applyProtection="1">
      <alignment horizontal="left"/>
    </xf>
    <xf numFmtId="0" fontId="20" fillId="0" borderId="56" xfId="3" applyFont="1" applyFill="1" applyBorder="1" applyAlignment="1" applyProtection="1">
      <alignment horizontal="right"/>
    </xf>
    <xf numFmtId="0" fontId="20" fillId="0" borderId="62" xfId="3" applyFont="1" applyFill="1" applyBorder="1" applyAlignment="1" applyProtection="1">
      <alignment horizontal="right"/>
    </xf>
    <xf numFmtId="166" fontId="8" fillId="0" borderId="0" xfId="3" applyNumberFormat="1" applyFont="1" applyFill="1" applyBorder="1" applyAlignment="1" applyProtection="1">
      <alignment horizontal="left"/>
    </xf>
    <xf numFmtId="166" fontId="14" fillId="0" borderId="11" xfId="3" applyNumberFormat="1" applyFont="1" applyFill="1" applyBorder="1" applyAlignment="1" applyProtection="1">
      <alignment horizontal="right"/>
    </xf>
    <xf numFmtId="176" fontId="8" fillId="0" borderId="11" xfId="3" applyNumberFormat="1" applyFont="1" applyFill="1" applyBorder="1" applyAlignment="1" applyProtection="1">
      <alignment horizontal="right"/>
    </xf>
    <xf numFmtId="3" fontId="60" fillId="0" borderId="11" xfId="3" applyNumberFormat="1" applyFont="1" applyFill="1" applyBorder="1" applyAlignment="1"/>
    <xf numFmtId="3" fontId="17" fillId="0" borderId="11" xfId="3" applyNumberFormat="1" applyFont="1" applyFill="1" applyBorder="1" applyAlignment="1"/>
    <xf numFmtId="3" fontId="17" fillId="0" borderId="62" xfId="3" applyNumberFormat="1" applyFont="1" applyFill="1" applyBorder="1" applyAlignment="1"/>
    <xf numFmtId="176" fontId="8" fillId="0" borderId="11" xfId="17" applyNumberFormat="1" applyFont="1" applyFill="1" applyBorder="1" applyAlignment="1" applyProtection="1">
      <alignment horizontal="right"/>
    </xf>
    <xf numFmtId="3" fontId="17" fillId="0" borderId="63" xfId="3" applyNumberFormat="1" applyFont="1" applyFill="1" applyBorder="1" applyAlignment="1"/>
    <xf numFmtId="166" fontId="8" fillId="0" borderId="4" xfId="3" applyNumberFormat="1" applyFont="1" applyFill="1" applyBorder="1" applyAlignment="1" applyProtection="1">
      <alignment horizontal="left"/>
    </xf>
    <xf numFmtId="170" fontId="8" fillId="0" borderId="15" xfId="17" applyNumberFormat="1" applyFont="1" applyFill="1" applyBorder="1" applyAlignment="1" applyProtection="1">
      <alignment horizontal="right"/>
    </xf>
    <xf numFmtId="170" fontId="17" fillId="0" borderId="15" xfId="17" applyNumberFormat="1" applyFont="1" applyFill="1" applyBorder="1" applyAlignment="1" applyProtection="1">
      <alignment horizontal="right"/>
    </xf>
    <xf numFmtId="170" fontId="20" fillId="0" borderId="64" xfId="17" applyNumberFormat="1" applyFont="1" applyFill="1" applyBorder="1" applyAlignment="1" applyProtection="1">
      <alignment horizontal="right"/>
    </xf>
    <xf numFmtId="170" fontId="8" fillId="0" borderId="0" xfId="17" applyNumberFormat="1" applyFont="1" applyFill="1" applyBorder="1" applyAlignment="1" applyProtection="1">
      <alignment horizontal="right"/>
    </xf>
    <xf numFmtId="0" fontId="9" fillId="0" borderId="0" xfId="3" applyFont="1" applyFill="1" applyBorder="1" applyAlignment="1">
      <alignment horizontal="justify"/>
    </xf>
    <xf numFmtId="168" fontId="10" fillId="0" borderId="0" xfId="3" applyNumberFormat="1" applyFont="1" applyFill="1" applyBorder="1" applyAlignment="1"/>
    <xf numFmtId="168" fontId="60" fillId="0" borderId="0" xfId="3" applyNumberFormat="1" applyFont="1" applyFill="1" applyBorder="1" applyAlignment="1"/>
    <xf numFmtId="0" fontId="8" fillId="0" borderId="23" xfId="3" applyFont="1" applyFill="1" applyBorder="1" applyAlignment="1">
      <alignment horizontal="justify"/>
    </xf>
    <xf numFmtId="0" fontId="20" fillId="0" borderId="0" xfId="3" applyFont="1" applyFill="1" applyBorder="1" applyAlignment="1" applyProtection="1">
      <alignment horizontal="center"/>
    </xf>
    <xf numFmtId="0" fontId="9" fillId="0" borderId="4" xfId="3" applyFont="1" applyFill="1" applyBorder="1" applyAlignment="1">
      <alignment horizontal="justify"/>
    </xf>
    <xf numFmtId="170" fontId="8" fillId="0" borderId="13" xfId="17" applyNumberFormat="1" applyFont="1" applyFill="1" applyBorder="1" applyAlignment="1" applyProtection="1">
      <alignment horizontal="right" wrapText="1"/>
    </xf>
    <xf numFmtId="170" fontId="8" fillId="0" borderId="4" xfId="17" applyNumberFormat="1" applyFont="1" applyFill="1" applyBorder="1" applyAlignment="1" applyProtection="1">
      <alignment horizontal="right" wrapText="1"/>
    </xf>
    <xf numFmtId="170" fontId="8" fillId="0" borderId="14" xfId="17" applyNumberFormat="1" applyFont="1" applyFill="1" applyBorder="1" applyAlignment="1" applyProtection="1">
      <alignment horizontal="right"/>
    </xf>
    <xf numFmtId="170" fontId="17" fillId="0" borderId="4" xfId="17" applyNumberFormat="1" applyFont="1" applyFill="1" applyBorder="1" applyAlignment="1" applyProtection="1">
      <alignment horizontal="right" wrapText="1"/>
    </xf>
    <xf numFmtId="170" fontId="17" fillId="0" borderId="14" xfId="17" applyNumberFormat="1" applyFont="1" applyFill="1" applyBorder="1" applyAlignment="1" applyProtection="1">
      <alignment horizontal="right"/>
    </xf>
    <xf numFmtId="170" fontId="17" fillId="0" borderId="16" xfId="17" applyNumberFormat="1" applyFont="1" applyFill="1" applyBorder="1" applyAlignment="1" applyProtection="1">
      <alignment horizontal="right"/>
    </xf>
    <xf numFmtId="170" fontId="17" fillId="0" borderId="0" xfId="17" applyNumberFormat="1" applyFont="1" applyFill="1" applyBorder="1" applyAlignment="1" applyProtection="1">
      <alignment horizontal="right"/>
    </xf>
    <xf numFmtId="176" fontId="8" fillId="0" borderId="9" xfId="17" applyNumberFormat="1" applyFont="1" applyFill="1" applyBorder="1" applyAlignment="1" applyProtection="1">
      <alignment horizontal="right"/>
    </xf>
    <xf numFmtId="176" fontId="60" fillId="0" borderId="0" xfId="3" applyNumberFormat="1" applyFont="1" applyFill="1" applyBorder="1" applyAlignment="1"/>
    <xf numFmtId="170" fontId="8" fillId="0" borderId="10" xfId="17" applyNumberFormat="1" applyFont="1" applyFill="1" applyBorder="1" applyAlignment="1" applyProtection="1">
      <alignment horizontal="right"/>
    </xf>
    <xf numFmtId="176" fontId="8" fillId="0" borderId="0" xfId="17" applyNumberFormat="1" applyFont="1" applyFill="1" applyBorder="1" applyAlignment="1" applyProtection="1">
      <alignment horizontal="right"/>
    </xf>
    <xf numFmtId="176" fontId="17" fillId="0" borderId="0" xfId="17" applyNumberFormat="1" applyFont="1" applyFill="1" applyBorder="1" applyAlignment="1" applyProtection="1">
      <alignment horizontal="right"/>
    </xf>
    <xf numFmtId="176" fontId="17" fillId="0" borderId="0" xfId="3" applyNumberFormat="1" applyFont="1" applyFill="1" applyBorder="1" applyAlignment="1"/>
    <xf numFmtId="170" fontId="17" fillId="0" borderId="10" xfId="17" applyNumberFormat="1" applyFont="1" applyFill="1" applyBorder="1" applyAlignment="1" applyProtection="1">
      <alignment horizontal="right"/>
    </xf>
    <xf numFmtId="170" fontId="8" fillId="0" borderId="12" xfId="17" applyNumberFormat="1" applyFont="1" applyFill="1" applyBorder="1" applyAlignment="1" applyProtection="1">
      <alignment horizontal="right"/>
    </xf>
    <xf numFmtId="0" fontId="8" fillId="0" borderId="21" xfId="3" applyFont="1" applyFill="1" applyBorder="1" applyAlignment="1">
      <alignment horizontal="justify"/>
    </xf>
    <xf numFmtId="176" fontId="8" fillId="0" borderId="29" xfId="17" applyNumberFormat="1" applyFont="1" applyFill="1" applyBorder="1" applyAlignment="1" applyProtection="1">
      <alignment horizontal="right"/>
    </xf>
    <xf numFmtId="176" fontId="60" fillId="0" borderId="21" xfId="3" applyNumberFormat="1" applyFont="1" applyFill="1" applyBorder="1" applyAlignment="1"/>
    <xf numFmtId="170" fontId="8" fillId="0" borderId="22" xfId="17" applyNumberFormat="1" applyFont="1" applyFill="1" applyBorder="1" applyAlignment="1" applyProtection="1">
      <alignment horizontal="right"/>
    </xf>
    <xf numFmtId="176" fontId="8" fillId="0" borderId="21" xfId="17" applyNumberFormat="1" applyFont="1" applyFill="1" applyBorder="1" applyAlignment="1" applyProtection="1">
      <alignment horizontal="right"/>
    </xf>
    <xf numFmtId="176" fontId="17" fillId="0" borderId="21" xfId="17" applyNumberFormat="1" applyFont="1" applyFill="1" applyBorder="1" applyAlignment="1" applyProtection="1">
      <alignment horizontal="right"/>
    </xf>
    <xf numFmtId="176" fontId="17" fillId="0" borderId="21" xfId="3" applyNumberFormat="1" applyFont="1" applyFill="1" applyBorder="1" applyAlignment="1"/>
    <xf numFmtId="170" fontId="17" fillId="0" borderId="22" xfId="17" applyNumberFormat="1" applyFont="1" applyFill="1" applyBorder="1" applyAlignment="1" applyProtection="1">
      <alignment horizontal="right"/>
    </xf>
    <xf numFmtId="176" fontId="8" fillId="0" borderId="13" xfId="3" applyNumberFormat="1" applyFont="1" applyFill="1" applyBorder="1" applyAlignment="1" applyProtection="1">
      <alignment horizontal="right"/>
    </xf>
    <xf numFmtId="176" fontId="8" fillId="0" borderId="4" xfId="3" applyNumberFormat="1" applyFont="1" applyFill="1" applyBorder="1" applyAlignment="1" applyProtection="1">
      <alignment horizontal="right"/>
    </xf>
    <xf numFmtId="170" fontId="8" fillId="0" borderId="68" xfId="17" applyNumberFormat="1" applyFont="1" applyFill="1" applyBorder="1" applyAlignment="1" applyProtection="1">
      <alignment horizontal="right"/>
    </xf>
    <xf numFmtId="176" fontId="8" fillId="0" borderId="4" xfId="3" applyNumberFormat="1" applyFont="1" applyFill="1" applyBorder="1" applyAlignment="1">
      <alignment horizontal="right"/>
    </xf>
    <xf numFmtId="176" fontId="17" fillId="0" borderId="4" xfId="3" applyNumberFormat="1" applyFont="1" applyFill="1" applyBorder="1" applyAlignment="1" applyProtection="1">
      <alignment horizontal="right"/>
    </xf>
    <xf numFmtId="176" fontId="17" fillId="0" borderId="69" xfId="3" applyNumberFormat="1" applyFont="1" applyFill="1" applyBorder="1" applyAlignment="1" applyProtection="1">
      <alignment horizontal="right"/>
    </xf>
    <xf numFmtId="176" fontId="17" fillId="0" borderId="41" xfId="3" applyNumberFormat="1" applyFont="1" applyFill="1" applyBorder="1" applyAlignment="1" applyProtection="1">
      <alignment horizontal="right"/>
    </xf>
    <xf numFmtId="170" fontId="17" fillId="0" borderId="68" xfId="17" applyNumberFormat="1" applyFont="1" applyFill="1" applyBorder="1" applyAlignment="1" applyProtection="1">
      <alignment horizontal="right"/>
    </xf>
    <xf numFmtId="170" fontId="17" fillId="0" borderId="43" xfId="17" applyNumberFormat="1" applyFont="1" applyFill="1" applyBorder="1" applyAlignment="1" applyProtection="1">
      <alignment horizontal="right"/>
    </xf>
    <xf numFmtId="176" fontId="8" fillId="0" borderId="0" xfId="3" applyNumberFormat="1" applyFont="1" applyFill="1" applyBorder="1" applyAlignment="1" applyProtection="1">
      <alignment horizontal="right"/>
    </xf>
    <xf numFmtId="165" fontId="8" fillId="0" borderId="0" xfId="3" applyNumberFormat="1" applyFont="1" applyFill="1" applyBorder="1" applyAlignment="1" applyProtection="1">
      <alignment horizontal="right"/>
    </xf>
    <xf numFmtId="0" fontId="23" fillId="0" borderId="0" xfId="3" applyFont="1" applyFill="1" applyBorder="1" applyAlignment="1" applyProtection="1">
      <alignment vertical="top"/>
      <protection locked="0"/>
    </xf>
    <xf numFmtId="0" fontId="23" fillId="0" borderId="0" xfId="3" applyFont="1" applyFill="1" applyAlignment="1" applyProtection="1">
      <alignment vertical="top"/>
      <protection locked="0"/>
    </xf>
    <xf numFmtId="0" fontId="14" fillId="0" borderId="0" xfId="3" applyFont="1" applyFill="1" applyBorder="1" applyAlignment="1" applyProtection="1">
      <alignment vertical="top"/>
      <protection locked="0"/>
    </xf>
    <xf numFmtId="0" fontId="14" fillId="0" borderId="0" xfId="3" applyFont="1" applyFill="1" applyBorder="1" applyProtection="1">
      <protection locked="0"/>
    </xf>
    <xf numFmtId="0" fontId="25" fillId="0" borderId="23" xfId="3" applyFont="1" applyFill="1" applyBorder="1" applyProtection="1"/>
    <xf numFmtId="0" fontId="41" fillId="0" borderId="18" xfId="3" applyFont="1" applyFill="1" applyBorder="1" applyAlignment="1" applyProtection="1">
      <alignment horizontal="right"/>
    </xf>
    <xf numFmtId="183" fontId="8" fillId="0" borderId="0" xfId="20" applyNumberFormat="1" applyFont="1" applyFill="1" applyBorder="1" applyAlignment="1" applyProtection="1">
      <alignment horizontal="right"/>
    </xf>
    <xf numFmtId="0" fontId="8" fillId="0" borderId="0" xfId="15" applyFont="1" applyFill="1" applyBorder="1"/>
    <xf numFmtId="3" fontId="8" fillId="0" borderId="0" xfId="15" applyNumberFormat="1" applyFont="1" applyFill="1" applyBorder="1"/>
    <xf numFmtId="166" fontId="8" fillId="0" borderId="0" xfId="15" applyNumberFormat="1" applyFont="1" applyFill="1" applyBorder="1"/>
    <xf numFmtId="183" fontId="25" fillId="0" borderId="0" xfId="20" applyNumberFormat="1" applyFont="1" applyFill="1" applyBorder="1" applyAlignment="1" applyProtection="1">
      <alignment horizontal="right"/>
    </xf>
    <xf numFmtId="183" fontId="24" fillId="0" borderId="0" xfId="20" applyNumberFormat="1" applyFont="1" applyFill="1" applyBorder="1" applyAlignment="1" applyProtection="1">
      <alignment horizontal="right"/>
    </xf>
    <xf numFmtId="3" fontId="24" fillId="0" borderId="11" xfId="15" applyNumberFormat="1" applyFont="1" applyFill="1" applyBorder="1"/>
    <xf numFmtId="3" fontId="24" fillId="3" borderId="63" xfId="15" applyNumberFormat="1" applyFont="1" applyFill="1" applyBorder="1"/>
    <xf numFmtId="3" fontId="24" fillId="0" borderId="0" xfId="15" applyNumberFormat="1" applyFont="1" applyFill="1" applyBorder="1"/>
    <xf numFmtId="0" fontId="10" fillId="0" borderId="0" xfId="3" applyFont="1" applyFill="1" applyAlignment="1" applyProtection="1">
      <alignment vertical="top"/>
    </xf>
    <xf numFmtId="0" fontId="11" fillId="0" borderId="0" xfId="3" applyFont="1" applyFill="1" applyAlignment="1" applyProtection="1">
      <alignment vertical="top"/>
    </xf>
    <xf numFmtId="0" fontId="17" fillId="0" borderId="0" xfId="3" applyFont="1" applyFill="1" applyBorder="1" applyAlignment="1" applyProtection="1">
      <alignment horizontal="right" wrapText="1"/>
    </xf>
    <xf numFmtId="183" fontId="11" fillId="0" borderId="0" xfId="20" applyNumberFormat="1" applyFont="1" applyFill="1" applyBorder="1" applyAlignment="1" applyProtection="1">
      <alignment horizontal="right"/>
    </xf>
    <xf numFmtId="0" fontId="11" fillId="0" borderId="0" xfId="15" applyFont="1" applyFill="1" applyBorder="1"/>
    <xf numFmtId="3" fontId="11" fillId="0" borderId="0" xfId="15" applyNumberFormat="1" applyFont="1" applyFill="1" applyBorder="1"/>
    <xf numFmtId="0" fontId="11" fillId="0" borderId="0" xfId="3" applyFont="1" applyFill="1" applyBorder="1" applyProtection="1">
      <protection locked="0"/>
    </xf>
    <xf numFmtId="166" fontId="11" fillId="0" borderId="0" xfId="15" applyNumberFormat="1" applyFont="1" applyFill="1" applyBorder="1"/>
    <xf numFmtId="183" fontId="24" fillId="0" borderId="11" xfId="20" applyNumberFormat="1" applyFont="1" applyFill="1" applyBorder="1" applyAlignment="1" applyProtection="1">
      <alignment horizontal="right"/>
    </xf>
    <xf numFmtId="0" fontId="11" fillId="0" borderId="0" xfId="3" applyFont="1" applyFill="1" applyProtection="1">
      <protection locked="0"/>
    </xf>
    <xf numFmtId="0" fontId="7" fillId="0" borderId="0" xfId="3" applyFont="1" applyFill="1" applyBorder="1" applyAlignment="1" applyProtection="1">
      <alignment vertical="top"/>
    </xf>
    <xf numFmtId="0" fontId="8" fillId="0" borderId="0" xfId="3" applyFont="1" applyFill="1" applyBorder="1" applyAlignment="1" applyProtection="1">
      <alignment vertical="top"/>
    </xf>
    <xf numFmtId="0" fontId="8" fillId="0" borderId="0" xfId="3" applyFont="1" applyFill="1" applyBorder="1" applyAlignment="1" applyProtection="1">
      <alignment horizontal="left" wrapText="1"/>
    </xf>
    <xf numFmtId="183" fontId="8" fillId="0" borderId="0" xfId="3" applyNumberFormat="1" applyFont="1" applyFill="1" applyBorder="1" applyAlignment="1" applyProtection="1">
      <alignment horizontal="right"/>
    </xf>
    <xf numFmtId="183" fontId="25" fillId="0" borderId="0" xfId="3" applyNumberFormat="1" applyFont="1" applyFill="1" applyBorder="1" applyAlignment="1" applyProtection="1">
      <alignment horizontal="right"/>
    </xf>
    <xf numFmtId="183" fontId="24" fillId="3" borderId="63" xfId="20" applyNumberFormat="1" applyFont="1" applyFill="1" applyBorder="1" applyAlignment="1" applyProtection="1">
      <alignment horizontal="right"/>
    </xf>
    <xf numFmtId="0" fontId="17" fillId="0" borderId="4" xfId="3" applyFont="1" applyFill="1" applyBorder="1" applyAlignment="1" applyProtection="1">
      <alignment horizontal="right" wrapText="1"/>
    </xf>
    <xf numFmtId="183" fontId="11" fillId="0" borderId="4" xfId="3" applyNumberFormat="1" applyFont="1" applyFill="1" applyBorder="1" applyAlignment="1" applyProtection="1">
      <alignment horizontal="right"/>
    </xf>
    <xf numFmtId="0" fontId="11" fillId="0" borderId="4" xfId="15" applyFont="1" applyFill="1" applyBorder="1"/>
    <xf numFmtId="3" fontId="11" fillId="0" borderId="4" xfId="15" applyNumberFormat="1" applyFont="1" applyFill="1" applyBorder="1"/>
    <xf numFmtId="0" fontId="11" fillId="0" borderId="4" xfId="3" applyFont="1" applyFill="1" applyBorder="1" applyProtection="1">
      <protection locked="0"/>
    </xf>
    <xf numFmtId="166" fontId="11" fillId="0" borderId="4" xfId="15" applyNumberFormat="1" applyFont="1" applyFill="1" applyBorder="1"/>
    <xf numFmtId="183" fontId="24" fillId="0" borderId="4" xfId="20" applyNumberFormat="1" applyFont="1" applyFill="1" applyBorder="1" applyAlignment="1" applyProtection="1">
      <alignment horizontal="right"/>
    </xf>
    <xf numFmtId="183" fontId="24" fillId="0" borderId="15" xfId="20" applyNumberFormat="1" applyFont="1" applyFill="1" applyBorder="1" applyAlignment="1" applyProtection="1">
      <alignment horizontal="right"/>
    </xf>
    <xf numFmtId="183" fontId="24" fillId="3" borderId="64" xfId="20" applyNumberFormat="1" applyFont="1" applyFill="1" applyBorder="1" applyAlignment="1" applyProtection="1">
      <alignment horizontal="right"/>
    </xf>
    <xf numFmtId="0" fontId="70" fillId="0" borderId="0" xfId="3" applyFont="1" applyFill="1" applyProtection="1">
      <protection locked="0"/>
    </xf>
    <xf numFmtId="3" fontId="25" fillId="0" borderId="0" xfId="15" applyNumberFormat="1" applyFont="1" applyFill="1" applyBorder="1"/>
    <xf numFmtId="183" fontId="25" fillId="0" borderId="4" xfId="3" applyNumberFormat="1" applyFont="1" applyFill="1" applyBorder="1" applyAlignment="1" applyProtection="1">
      <alignment horizontal="right"/>
    </xf>
    <xf numFmtId="3" fontId="25" fillId="0" borderId="4" xfId="15" applyNumberFormat="1" applyFont="1" applyFill="1" applyBorder="1"/>
    <xf numFmtId="0" fontId="0" fillId="0" borderId="0" xfId="3" applyFont="1" applyFill="1" applyBorder="1" applyAlignment="1" applyProtection="1">
      <alignment wrapText="1"/>
    </xf>
    <xf numFmtId="9" fontId="8" fillId="0" borderId="0" xfId="3" applyNumberFormat="1" applyFont="1" applyFill="1" applyBorder="1" applyProtection="1">
      <protection locked="0"/>
    </xf>
    <xf numFmtId="0" fontId="67" fillId="0" borderId="0" xfId="3" applyFont="1" applyFill="1" applyProtection="1">
      <protection locked="0"/>
    </xf>
    <xf numFmtId="0" fontId="9" fillId="0" borderId="4" xfId="3" applyFont="1" applyFill="1" applyBorder="1" applyAlignment="1" applyProtection="1">
      <alignment wrapText="1"/>
    </xf>
    <xf numFmtId="9" fontId="9" fillId="0" borderId="4" xfId="3" applyNumberFormat="1" applyFont="1" applyFill="1" applyBorder="1" applyProtection="1"/>
    <xf numFmtId="9" fontId="8" fillId="0" borderId="4" xfId="3" applyNumberFormat="1" applyFont="1" applyFill="1" applyBorder="1" applyProtection="1"/>
    <xf numFmtId="0" fontId="9" fillId="0" borderId="0" xfId="3" applyFont="1" applyFill="1" applyAlignment="1" applyProtection="1">
      <alignment vertical="top"/>
    </xf>
    <xf numFmtId="0" fontId="8" fillId="0" borderId="18" xfId="3" applyFont="1" applyFill="1" applyBorder="1" applyAlignment="1" applyProtection="1">
      <alignment wrapText="1"/>
    </xf>
    <xf numFmtId="0" fontId="9" fillId="0" borderId="61" xfId="3" applyFont="1" applyFill="1" applyBorder="1" applyAlignment="1" applyProtection="1">
      <alignment horizontal="right"/>
    </xf>
    <xf numFmtId="0" fontId="71" fillId="0" borderId="0" xfId="3" applyFont="1" applyFill="1" applyAlignment="1" applyProtection="1">
      <alignment horizontal="right" vertical="top"/>
    </xf>
    <xf numFmtId="0" fontId="8" fillId="0" borderId="11" xfId="3" applyFont="1" applyFill="1" applyBorder="1" applyAlignment="1" applyProtection="1">
      <alignment horizontal="right" wrapText="1"/>
    </xf>
    <xf numFmtId="0" fontId="9" fillId="0" borderId="11" xfId="3" applyFont="1" applyFill="1" applyBorder="1" applyAlignment="1" applyProtection="1">
      <alignment horizontal="right"/>
      <protection locked="0"/>
    </xf>
    <xf numFmtId="170" fontId="8" fillId="0" borderId="11" xfId="17" applyNumberFormat="1" applyFont="1" applyFill="1" applyBorder="1" applyAlignment="1" applyProtection="1">
      <alignment horizontal="right"/>
    </xf>
    <xf numFmtId="170" fontId="8" fillId="0" borderId="63" xfId="17" applyNumberFormat="1" applyFont="1" applyFill="1" applyBorder="1" applyAlignment="1" applyProtection="1">
      <alignment horizontal="right"/>
    </xf>
    <xf numFmtId="170" fontId="8" fillId="3" borderId="0" xfId="17" applyNumberFormat="1" applyFont="1" applyFill="1" applyBorder="1" applyAlignment="1" applyProtection="1">
      <alignment horizontal="right"/>
    </xf>
    <xf numFmtId="0" fontId="8" fillId="0" borderId="11" xfId="3" applyFont="1" applyFill="1" applyBorder="1" applyAlignment="1" applyProtection="1">
      <alignment horizontal="right"/>
      <protection locked="0"/>
    </xf>
    <xf numFmtId="0" fontId="71" fillId="0" borderId="0" xfId="3" applyFont="1" applyFill="1" applyBorder="1" applyAlignment="1" applyProtection="1">
      <alignment horizontal="right" vertical="top"/>
    </xf>
    <xf numFmtId="0" fontId="8" fillId="0" borderId="21" xfId="3" applyFont="1" applyFill="1" applyBorder="1" applyAlignment="1" applyProtection="1">
      <alignment horizontal="left" wrapText="1"/>
    </xf>
    <xf numFmtId="170" fontId="8" fillId="0" borderId="7" xfId="17" applyNumberFormat="1" applyFont="1" applyFill="1" applyBorder="1" applyAlignment="1" applyProtection="1">
      <alignment horizontal="right"/>
    </xf>
    <xf numFmtId="0" fontId="8" fillId="0" borderId="7" xfId="3" applyFont="1" applyFill="1" applyBorder="1" applyAlignment="1" applyProtection="1">
      <alignment horizontal="right" wrapText="1"/>
    </xf>
    <xf numFmtId="170" fontId="8" fillId="0" borderId="71" xfId="17" applyNumberFormat="1" applyFont="1" applyFill="1" applyBorder="1" applyAlignment="1" applyProtection="1">
      <alignment horizontal="right"/>
    </xf>
    <xf numFmtId="0" fontId="8" fillId="0" borderId="4" xfId="3" applyFont="1" applyFill="1" applyBorder="1" applyAlignment="1" applyProtection="1">
      <alignment horizontal="left" wrapText="1"/>
    </xf>
    <xf numFmtId="170" fontId="8" fillId="0" borderId="77" xfId="17" applyNumberFormat="1" applyFont="1" applyFill="1" applyBorder="1" applyAlignment="1" applyProtection="1">
      <alignment horizontal="right"/>
    </xf>
    <xf numFmtId="170" fontId="8" fillId="0" borderId="78" xfId="17" applyNumberFormat="1" applyFont="1" applyFill="1" applyBorder="1" applyAlignment="1" applyProtection="1">
      <alignment horizontal="right"/>
    </xf>
    <xf numFmtId="0" fontId="9" fillId="0" borderId="0" xfId="3" applyFont="1" applyFill="1" applyBorder="1" applyAlignment="1" applyProtection="1">
      <alignment horizontal="left" wrapText="1"/>
    </xf>
    <xf numFmtId="0" fontId="9" fillId="0" borderId="0" xfId="2" applyNumberFormat="1" applyFont="1" applyFill="1" applyBorder="1" applyAlignment="1" applyProtection="1">
      <alignment horizontal="right"/>
    </xf>
    <xf numFmtId="170" fontId="8" fillId="0" borderId="0" xfId="2" applyNumberFormat="1" applyFont="1" applyFill="1" applyBorder="1" applyAlignment="1" applyProtection="1">
      <alignment horizontal="right"/>
    </xf>
    <xf numFmtId="9" fontId="8" fillId="0" borderId="0" xfId="2" applyFont="1" applyFill="1" applyBorder="1" applyAlignment="1" applyProtection="1">
      <alignment horizontal="right"/>
    </xf>
    <xf numFmtId="0" fontId="8" fillId="0" borderId="0" xfId="2" applyNumberFormat="1" applyFont="1" applyFill="1" applyBorder="1" applyAlignment="1" applyProtection="1">
      <alignment horizontal="right" wrapText="1"/>
    </xf>
    <xf numFmtId="170" fontId="8" fillId="0" borderId="0" xfId="2" applyNumberFormat="1" applyFont="1" applyFill="1" applyBorder="1" applyAlignment="1" applyProtection="1">
      <alignment horizontal="right" wrapText="1"/>
    </xf>
    <xf numFmtId="9" fontId="8" fillId="0" borderId="0" xfId="2" applyFont="1" applyFill="1" applyBorder="1" applyAlignment="1" applyProtection="1">
      <alignment horizontal="right"/>
      <protection locked="0"/>
    </xf>
    <xf numFmtId="0" fontId="8" fillId="0" borderId="21" xfId="2" applyNumberFormat="1" applyFont="1" applyFill="1" applyBorder="1" applyAlignment="1" applyProtection="1">
      <alignment horizontal="right"/>
    </xf>
    <xf numFmtId="170" fontId="8" fillId="0" borderId="21" xfId="2" applyNumberFormat="1" applyFont="1" applyFill="1" applyBorder="1" applyAlignment="1" applyProtection="1">
      <alignment horizontal="right" wrapText="1"/>
    </xf>
    <xf numFmtId="9" fontId="8" fillId="0" borderId="21" xfId="2" applyFont="1" applyFill="1" applyBorder="1" applyAlignment="1" applyProtection="1">
      <alignment horizontal="right"/>
    </xf>
    <xf numFmtId="170" fontId="8" fillId="0" borderId="21" xfId="2" applyNumberFormat="1" applyFont="1" applyFill="1" applyBorder="1" applyAlignment="1" applyProtection="1">
      <alignment horizontal="right"/>
    </xf>
    <xf numFmtId="0" fontId="8" fillId="0" borderId="4" xfId="2" applyNumberFormat="1" applyFont="1" applyFill="1" applyBorder="1" applyAlignment="1" applyProtection="1">
      <alignment horizontal="right"/>
    </xf>
    <xf numFmtId="170" fontId="8" fillId="0" borderId="4" xfId="2" applyNumberFormat="1" applyFont="1" applyFill="1" applyBorder="1" applyAlignment="1" applyProtection="1">
      <alignment horizontal="right" wrapText="1"/>
    </xf>
    <xf numFmtId="9" fontId="8" fillId="0" borderId="4" xfId="2" applyFont="1" applyFill="1" applyBorder="1" applyAlignment="1" applyProtection="1">
      <alignment horizontal="right"/>
    </xf>
    <xf numFmtId="170" fontId="8" fillId="0" borderId="4" xfId="2" applyNumberFormat="1" applyFont="1" applyFill="1" applyBorder="1" applyAlignment="1" applyProtection="1">
      <alignment horizontal="right"/>
    </xf>
    <xf numFmtId="170" fontId="9" fillId="0" borderId="0" xfId="17" applyNumberFormat="1" applyFont="1" applyFill="1" applyBorder="1" applyAlignment="1" applyProtection="1">
      <alignment horizontal="right"/>
    </xf>
    <xf numFmtId="170" fontId="9" fillId="0" borderId="0" xfId="2" applyNumberFormat="1" applyFont="1" applyFill="1" applyBorder="1" applyAlignment="1" applyProtection="1">
      <alignment horizontal="right" wrapText="1"/>
    </xf>
    <xf numFmtId="9" fontId="9" fillId="0" borderId="0" xfId="2" applyFont="1" applyFill="1" applyBorder="1" applyAlignment="1" applyProtection="1">
      <alignment horizontal="right" wrapText="1"/>
    </xf>
    <xf numFmtId="0" fontId="9" fillId="0" borderId="0" xfId="3" applyFont="1" applyFill="1" applyProtection="1">
      <protection locked="0"/>
    </xf>
    <xf numFmtId="9" fontId="14" fillId="0" borderId="0" xfId="17" applyFont="1" applyFill="1" applyProtection="1">
      <protection locked="0"/>
    </xf>
    <xf numFmtId="0" fontId="9" fillId="0" borderId="23" xfId="3" applyFont="1" applyFill="1" applyBorder="1" applyAlignment="1" applyProtection="1">
      <alignment horizontal="right"/>
    </xf>
    <xf numFmtId="0" fontId="40" fillId="0" borderId="23" xfId="3" applyFont="1" applyFill="1" applyBorder="1" applyAlignment="1" applyProtection="1">
      <alignment horizontal="right"/>
    </xf>
    <xf numFmtId="0" fontId="40" fillId="0" borderId="0" xfId="3" applyFont="1" applyFill="1" applyBorder="1" applyAlignment="1" applyProtection="1">
      <alignment horizontal="right"/>
    </xf>
    <xf numFmtId="0" fontId="9" fillId="0" borderId="0" xfId="3" applyFont="1" applyFill="1" applyBorder="1" applyAlignment="1" applyProtection="1">
      <alignment horizontal="right"/>
      <protection locked="0"/>
    </xf>
    <xf numFmtId="170" fontId="8" fillId="2" borderId="11" xfId="17" applyNumberFormat="1" applyFont="1" applyFill="1" applyBorder="1" applyAlignment="1" applyProtection="1">
      <alignment horizontal="right"/>
    </xf>
    <xf numFmtId="170" fontId="8" fillId="2" borderId="63" xfId="17" applyNumberFormat="1" applyFont="1" applyFill="1" applyBorder="1" applyAlignment="1" applyProtection="1">
      <alignment horizontal="right"/>
    </xf>
    <xf numFmtId="0" fontId="8" fillId="0" borderId="0" xfId="3" applyFont="1" applyFill="1" applyBorder="1" applyAlignment="1" applyProtection="1">
      <alignment horizontal="right"/>
      <protection locked="0"/>
    </xf>
    <xf numFmtId="170" fontId="8" fillId="0" borderId="21" xfId="17" applyNumberFormat="1" applyFont="1" applyFill="1" applyBorder="1" applyAlignment="1" applyProtection="1">
      <alignment horizontal="right"/>
    </xf>
    <xf numFmtId="0" fontId="8" fillId="0" borderId="21" xfId="3" applyFont="1" applyFill="1" applyBorder="1" applyAlignment="1" applyProtection="1">
      <alignment horizontal="right" wrapText="1"/>
    </xf>
    <xf numFmtId="170" fontId="8" fillId="2" borderId="7" xfId="17" applyNumberFormat="1" applyFont="1" applyFill="1" applyBorder="1" applyAlignment="1" applyProtection="1">
      <alignment horizontal="right"/>
    </xf>
    <xf numFmtId="170" fontId="8" fillId="2" borderId="71" xfId="17" applyNumberFormat="1" applyFont="1" applyFill="1" applyBorder="1" applyAlignment="1" applyProtection="1">
      <alignment horizontal="right"/>
    </xf>
    <xf numFmtId="170" fontId="8" fillId="0" borderId="4" xfId="17" applyNumberFormat="1" applyFont="1" applyFill="1" applyBorder="1" applyAlignment="1" applyProtection="1">
      <alignment horizontal="right"/>
    </xf>
    <xf numFmtId="170" fontId="8" fillId="2" borderId="77" xfId="17" applyNumberFormat="1" applyFont="1" applyFill="1" applyBorder="1" applyAlignment="1" applyProtection="1">
      <alignment horizontal="right"/>
    </xf>
    <xf numFmtId="170" fontId="8" fillId="2" borderId="78" xfId="17" applyNumberFormat="1" applyFont="1" applyFill="1" applyBorder="1" applyAlignment="1" applyProtection="1">
      <alignment horizontal="right"/>
    </xf>
    <xf numFmtId="3" fontId="14" fillId="0" borderId="0" xfId="3" applyNumberFormat="1" applyFont="1" applyFill="1" applyProtection="1">
      <protection locked="0"/>
    </xf>
    <xf numFmtId="0" fontId="72" fillId="0" borderId="0" xfId="15" applyFont="1" applyFill="1"/>
    <xf numFmtId="170" fontId="14" fillId="0" borderId="0" xfId="17" applyNumberFormat="1" applyFont="1" applyFill="1" applyProtection="1">
      <protection locked="0"/>
    </xf>
    <xf numFmtId="0" fontId="5" fillId="3" borderId="0" xfId="3" applyFont="1" applyFill="1" applyAlignment="1" applyProtection="1">
      <alignment vertical="top"/>
    </xf>
    <xf numFmtId="0" fontId="0" fillId="3" borderId="0" xfId="3" applyFont="1" applyFill="1" applyAlignment="1" applyProtection="1">
      <alignment vertical="top"/>
    </xf>
    <xf numFmtId="0" fontId="0" fillId="3" borderId="0" xfId="3" applyFont="1" applyFill="1" applyProtection="1"/>
    <xf numFmtId="0" fontId="0" fillId="3" borderId="0" xfId="3" applyFont="1" applyFill="1" applyBorder="1" applyProtection="1"/>
    <xf numFmtId="0" fontId="5" fillId="3" borderId="0" xfId="3" applyFont="1" applyFill="1" applyAlignment="1" applyProtection="1">
      <alignment vertical="top"/>
      <protection locked="0"/>
    </xf>
    <xf numFmtId="0" fontId="0" fillId="3" borderId="0" xfId="3" applyFont="1" applyFill="1" applyAlignment="1" applyProtection="1">
      <alignment vertical="top"/>
      <protection locked="0"/>
    </xf>
    <xf numFmtId="0" fontId="0" fillId="3" borderId="0" xfId="3" applyFont="1" applyFill="1" applyBorder="1" applyProtection="1">
      <protection locked="0"/>
    </xf>
    <xf numFmtId="0" fontId="8" fillId="3" borderId="0" xfId="3" applyFont="1" applyFill="1" applyBorder="1" applyProtection="1">
      <protection locked="0"/>
    </xf>
    <xf numFmtId="0" fontId="0" fillId="3" borderId="4" xfId="3" applyFont="1" applyFill="1" applyBorder="1" applyProtection="1"/>
    <xf numFmtId="0" fontId="8" fillId="3" borderId="18" xfId="3" applyFont="1" applyFill="1" applyBorder="1" applyProtection="1"/>
    <xf numFmtId="0" fontId="9" fillId="3" borderId="56" xfId="3" applyFont="1" applyFill="1" applyBorder="1" applyAlignment="1" applyProtection="1">
      <alignment horizontal="right"/>
    </xf>
    <xf numFmtId="0" fontId="9" fillId="3" borderId="61" xfId="3" applyFont="1" applyFill="1" applyBorder="1" applyAlignment="1" applyProtection="1">
      <alignment horizontal="right"/>
    </xf>
    <xf numFmtId="0" fontId="71" fillId="3" borderId="0" xfId="3" applyFont="1" applyFill="1" applyAlignment="1" applyProtection="1">
      <alignment horizontal="right" vertical="top"/>
    </xf>
    <xf numFmtId="0" fontId="73" fillId="3" borderId="0" xfId="3" applyFont="1" applyFill="1" applyBorder="1" applyAlignment="1">
      <alignment horizontal="left"/>
    </xf>
    <xf numFmtId="0" fontId="73" fillId="3" borderId="0" xfId="3" applyFont="1" applyFill="1" applyBorder="1" applyAlignment="1">
      <alignment horizontal="center"/>
    </xf>
    <xf numFmtId="3" fontId="9" fillId="3" borderId="7" xfId="3" applyNumberFormat="1" applyFont="1" applyFill="1" applyBorder="1"/>
    <xf numFmtId="3" fontId="9" fillId="3" borderId="71" xfId="3" applyNumberFormat="1" applyFont="1" applyFill="1" applyBorder="1"/>
    <xf numFmtId="3" fontId="9" fillId="0" borderId="71" xfId="3" applyNumberFormat="1" applyFont="1" applyFill="1" applyBorder="1"/>
    <xf numFmtId="3" fontId="9" fillId="3" borderId="0" xfId="3" applyNumberFormat="1" applyFont="1" applyFill="1" applyBorder="1"/>
    <xf numFmtId="0" fontId="74" fillId="3" borderId="45" xfId="3" applyFont="1" applyFill="1" applyBorder="1" applyAlignment="1">
      <alignment horizontal="right"/>
    </xf>
    <xf numFmtId="0" fontId="74" fillId="3" borderId="45" xfId="3" applyFont="1" applyFill="1" applyBorder="1" applyAlignment="1">
      <alignment horizontal="center"/>
    </xf>
    <xf numFmtId="3" fontId="8" fillId="3" borderId="11" xfId="3" applyNumberFormat="1" applyFont="1" applyFill="1" applyBorder="1"/>
    <xf numFmtId="3" fontId="8" fillId="3" borderId="79" xfId="3" applyNumberFormat="1" applyFont="1" applyFill="1" applyBorder="1"/>
    <xf numFmtId="3" fontId="8" fillId="3" borderId="80" xfId="3" applyNumberFormat="1" applyFont="1" applyFill="1" applyBorder="1"/>
    <xf numFmtId="3" fontId="8" fillId="0" borderId="80" xfId="3" applyNumberFormat="1" applyFont="1" applyFill="1" applyBorder="1"/>
    <xf numFmtId="3" fontId="8" fillId="3" borderId="0" xfId="3" applyNumberFormat="1" applyFont="1" applyFill="1" applyBorder="1"/>
    <xf numFmtId="0" fontId="74" fillId="3" borderId="0" xfId="3" applyFont="1" applyFill="1" applyBorder="1" applyAlignment="1">
      <alignment horizontal="right"/>
    </xf>
    <xf numFmtId="0" fontId="74" fillId="3" borderId="0" xfId="3" applyFont="1" applyFill="1" applyBorder="1" applyAlignment="1">
      <alignment horizontal="center"/>
    </xf>
    <xf numFmtId="3" fontId="8" fillId="3" borderId="63" xfId="3" applyNumberFormat="1" applyFont="1" applyFill="1" applyBorder="1"/>
    <xf numFmtId="3" fontId="8" fillId="0" borderId="63" xfId="3" applyNumberFormat="1" applyFont="1" applyFill="1" applyBorder="1"/>
    <xf numFmtId="0" fontId="74" fillId="3" borderId="21" xfId="3" applyFont="1" applyFill="1" applyBorder="1" applyAlignment="1">
      <alignment horizontal="right"/>
    </xf>
    <xf numFmtId="0" fontId="74" fillId="3" borderId="21" xfId="3" applyFont="1" applyFill="1" applyBorder="1" applyAlignment="1">
      <alignment horizontal="center"/>
    </xf>
    <xf numFmtId="3" fontId="8" fillId="3" borderId="7" xfId="3" applyNumberFormat="1" applyFont="1" applyFill="1" applyBorder="1"/>
    <xf numFmtId="3" fontId="8" fillId="3" borderId="71" xfId="3" applyNumberFormat="1" applyFont="1" applyFill="1" applyBorder="1" applyAlignment="1">
      <alignment horizontal="center"/>
    </xf>
    <xf numFmtId="3" fontId="8" fillId="0" borderId="71" xfId="3" applyNumberFormat="1" applyFont="1" applyFill="1" applyBorder="1" applyAlignment="1">
      <alignment horizontal="center"/>
    </xf>
    <xf numFmtId="3" fontId="8" fillId="3" borderId="0" xfId="3" applyNumberFormat="1" applyFont="1" applyFill="1" applyBorder="1" applyAlignment="1">
      <alignment horizontal="center"/>
    </xf>
    <xf numFmtId="0" fontId="9" fillId="3" borderId="0" xfId="3" applyFont="1" applyFill="1" applyBorder="1" applyAlignment="1">
      <alignment horizontal="center"/>
    </xf>
    <xf numFmtId="3" fontId="9" fillId="3" borderId="81" xfId="3" applyNumberFormat="1" applyFont="1" applyFill="1" applyBorder="1"/>
    <xf numFmtId="3" fontId="9" fillId="3" borderId="74" xfId="3" applyNumberFormat="1" applyFont="1" applyFill="1" applyBorder="1"/>
    <xf numFmtId="3" fontId="9" fillId="0" borderId="74" xfId="3" applyNumberFormat="1" applyFont="1" applyFill="1" applyBorder="1"/>
    <xf numFmtId="3" fontId="8" fillId="3" borderId="71" xfId="3" applyNumberFormat="1" applyFont="1" applyFill="1" applyBorder="1"/>
    <xf numFmtId="3" fontId="8" fillId="0" borderId="71" xfId="3" applyNumberFormat="1" applyFont="1" applyFill="1" applyBorder="1"/>
    <xf numFmtId="0" fontId="9" fillId="3" borderId="0" xfId="3" applyFont="1" applyFill="1" applyProtection="1">
      <protection locked="0"/>
    </xf>
    <xf numFmtId="3" fontId="9" fillId="3" borderId="0" xfId="3" applyNumberFormat="1" applyFont="1" applyFill="1"/>
    <xf numFmtId="3" fontId="9" fillId="3" borderId="11" xfId="3" applyNumberFormat="1" applyFont="1" applyFill="1" applyBorder="1"/>
    <xf numFmtId="3" fontId="9" fillId="3" borderId="79" xfId="3" applyNumberFormat="1" applyFont="1" applyFill="1" applyBorder="1"/>
    <xf numFmtId="3" fontId="0" fillId="3" borderId="0" xfId="3" applyNumberFormat="1" applyFont="1" applyFill="1" applyAlignment="1" applyProtection="1">
      <alignment vertical="top"/>
    </xf>
    <xf numFmtId="0" fontId="17" fillId="3" borderId="45" xfId="3" applyFont="1" applyFill="1" applyBorder="1" applyProtection="1"/>
    <xf numFmtId="0" fontId="0" fillId="3" borderId="45" xfId="3" applyFont="1" applyFill="1" applyBorder="1" applyProtection="1"/>
    <xf numFmtId="169" fontId="0" fillId="3" borderId="79" xfId="3" applyNumberFormat="1" applyFont="1" applyFill="1" applyBorder="1" applyProtection="1">
      <protection locked="0"/>
    </xf>
    <xf numFmtId="0" fontId="8" fillId="3" borderId="79" xfId="3" applyFont="1" applyFill="1" applyBorder="1" applyProtection="1"/>
    <xf numFmtId="3" fontId="8" fillId="3" borderId="79" xfId="3" applyNumberFormat="1" applyFont="1" applyFill="1" applyBorder="1" applyProtection="1"/>
    <xf numFmtId="3" fontId="8" fillId="3" borderId="80" xfId="3" applyNumberFormat="1" applyFont="1" applyFill="1" applyBorder="1" applyProtection="1"/>
    <xf numFmtId="3" fontId="8" fillId="0" borderId="80" xfId="3" applyNumberFormat="1" applyFont="1" applyFill="1" applyBorder="1" applyProtection="1"/>
    <xf numFmtId="3" fontId="8" fillId="3" borderId="0" xfId="3" applyNumberFormat="1" applyFont="1" applyFill="1" applyBorder="1" applyProtection="1"/>
    <xf numFmtId="0" fontId="17" fillId="3" borderId="21" xfId="3" applyFont="1" applyFill="1" applyBorder="1" applyProtection="1"/>
    <xf numFmtId="169" fontId="0" fillId="3" borderId="7" xfId="3" applyNumberFormat="1" applyFont="1" applyFill="1" applyBorder="1" applyProtection="1">
      <protection locked="0"/>
    </xf>
    <xf numFmtId="0" fontId="8" fillId="3" borderId="7" xfId="3" applyFont="1" applyFill="1" applyBorder="1" applyProtection="1"/>
    <xf numFmtId="3" fontId="8" fillId="3" borderId="7" xfId="3" applyNumberFormat="1" applyFont="1" applyFill="1" applyBorder="1" applyProtection="1"/>
    <xf numFmtId="3" fontId="8" fillId="3" borderId="71" xfId="3" applyNumberFormat="1" applyFont="1" applyFill="1" applyBorder="1" applyProtection="1"/>
    <xf numFmtId="3" fontId="8" fillId="0" borderId="71" xfId="3" applyNumberFormat="1" applyFont="1" applyFill="1" applyBorder="1" applyProtection="1"/>
    <xf numFmtId="0" fontId="75" fillId="3" borderId="4" xfId="3" applyFont="1" applyFill="1" applyBorder="1" applyAlignment="1" applyProtection="1">
      <alignment horizontal="left" wrapText="1"/>
    </xf>
    <xf numFmtId="0" fontId="75" fillId="3" borderId="4" xfId="3" applyFont="1" applyFill="1" applyBorder="1" applyAlignment="1" applyProtection="1">
      <alignment horizontal="center" wrapText="1"/>
    </xf>
    <xf numFmtId="169" fontId="75" fillId="3" borderId="15" xfId="3" applyNumberFormat="1" applyFont="1" applyFill="1" applyBorder="1" applyProtection="1">
      <protection locked="0"/>
    </xf>
    <xf numFmtId="169" fontId="75" fillId="3" borderId="64" xfId="3" applyNumberFormat="1" applyFont="1" applyFill="1" applyBorder="1" applyProtection="1">
      <protection locked="0"/>
    </xf>
    <xf numFmtId="169" fontId="75" fillId="0" borderId="64" xfId="3" applyNumberFormat="1" applyFont="1" applyFill="1" applyBorder="1" applyProtection="1">
      <protection locked="0"/>
    </xf>
    <xf numFmtId="169" fontId="75" fillId="3" borderId="0" xfId="3" applyNumberFormat="1" applyFont="1" applyFill="1" applyBorder="1" applyProtection="1">
      <protection locked="0"/>
    </xf>
    <xf numFmtId="0" fontId="17" fillId="3" borderId="0" xfId="3" applyFont="1" applyFill="1" applyProtection="1"/>
    <xf numFmtId="169" fontId="0" fillId="3" borderId="0" xfId="3" applyNumberFormat="1" applyFont="1" applyFill="1" applyProtection="1">
      <protection locked="0"/>
    </xf>
    <xf numFmtId="43" fontId="0" fillId="3" borderId="0" xfId="3" applyNumberFormat="1" applyFont="1" applyFill="1" applyProtection="1">
      <protection locked="0"/>
    </xf>
    <xf numFmtId="0" fontId="6" fillId="3" borderId="0" xfId="3" applyFont="1" applyFill="1" applyProtection="1"/>
    <xf numFmtId="0" fontId="29" fillId="3" borderId="0" xfId="3" applyFont="1" applyFill="1" applyProtection="1"/>
    <xf numFmtId="0" fontId="5" fillId="3" borderId="0" xfId="3" applyFont="1" applyFill="1" applyAlignment="1" applyProtection="1">
      <alignment vertical="top" wrapText="1"/>
    </xf>
    <xf numFmtId="0" fontId="4" fillId="3" borderId="0" xfId="3" applyNumberFormat="1" applyFont="1" applyFill="1" applyBorder="1" applyAlignment="1" applyProtection="1">
      <alignment vertical="top" wrapText="1"/>
    </xf>
    <xf numFmtId="0" fontId="4" fillId="3" borderId="0" xfId="3" applyFont="1" applyFill="1" applyBorder="1" applyAlignment="1" applyProtection="1">
      <alignment vertical="top" wrapText="1"/>
      <protection locked="0"/>
    </xf>
    <xf numFmtId="0" fontId="14" fillId="3" borderId="0" xfId="3" applyFont="1" applyFill="1" applyAlignment="1" applyProtection="1">
      <alignment vertical="top"/>
      <protection locked="0"/>
    </xf>
    <xf numFmtId="0" fontId="4" fillId="0" borderId="0" xfId="15" applyFill="1"/>
    <xf numFmtId="0" fontId="4" fillId="0" borderId="0" xfId="15" applyFill="1" applyBorder="1"/>
    <xf numFmtId="0" fontId="9" fillId="0" borderId="0" xfId="3" applyFont="1" applyFill="1" applyBorder="1" applyAlignment="1" applyProtection="1">
      <alignment horizontal="left" vertical="center"/>
      <protection locked="0"/>
    </xf>
    <xf numFmtId="0" fontId="9" fillId="0" borderId="0" xfId="3" applyFont="1" applyFill="1" applyBorder="1" applyAlignment="1" applyProtection="1">
      <alignment horizontal="left" vertical="top" wrapText="1"/>
      <protection locked="0"/>
    </xf>
    <xf numFmtId="0" fontId="9" fillId="0" borderId="6" xfId="3" applyFont="1" applyFill="1" applyBorder="1" applyAlignment="1" applyProtection="1">
      <alignment horizontal="left" vertical="center"/>
      <protection locked="0"/>
    </xf>
    <xf numFmtId="0" fontId="9" fillId="0" borderId="10" xfId="3" applyFont="1" applyFill="1" applyBorder="1" applyAlignment="1" applyProtection="1">
      <alignment vertical="center"/>
      <protection locked="0"/>
    </xf>
    <xf numFmtId="0" fontId="9" fillId="0" borderId="83" xfId="3" applyFont="1" applyFill="1" applyBorder="1" applyAlignment="1" applyProtection="1">
      <alignment vertical="center"/>
      <protection locked="0"/>
    </xf>
    <xf numFmtId="0" fontId="9" fillId="0" borderId="45" xfId="3" applyFont="1" applyFill="1" applyBorder="1" applyAlignment="1" applyProtection="1">
      <alignment vertical="center" wrapText="1"/>
    </xf>
    <xf numFmtId="0" fontId="9" fillId="0" borderId="45" xfId="3" applyFont="1" applyFill="1" applyBorder="1" applyAlignment="1" applyProtection="1">
      <alignment horizontal="left" vertical="center"/>
    </xf>
    <xf numFmtId="0" fontId="9" fillId="0" borderId="84" xfId="3" applyFont="1" applyFill="1" applyBorder="1" applyAlignment="1" applyProtection="1">
      <alignment vertical="center"/>
      <protection locked="0"/>
    </xf>
    <xf numFmtId="0" fontId="9" fillId="0" borderId="45" xfId="3" applyFont="1" applyFill="1" applyBorder="1" applyAlignment="1" applyProtection="1">
      <alignment vertical="center"/>
      <protection locked="0"/>
    </xf>
    <xf numFmtId="0" fontId="9" fillId="0" borderId="60" xfId="3" applyFont="1" applyFill="1" applyBorder="1" applyAlignment="1" applyProtection="1">
      <alignment horizontal="right" vertical="center"/>
      <protection locked="0"/>
    </xf>
    <xf numFmtId="0" fontId="9" fillId="0" borderId="4" xfId="3" applyFont="1" applyFill="1" applyBorder="1" applyAlignment="1" applyProtection="1">
      <alignment horizontal="right" vertical="center" wrapText="1"/>
    </xf>
    <xf numFmtId="0" fontId="9" fillId="0" borderId="14" xfId="3" applyFont="1" applyFill="1" applyBorder="1" applyAlignment="1" applyProtection="1">
      <alignment horizontal="right" vertical="center" wrapText="1"/>
    </xf>
    <xf numFmtId="0" fontId="9" fillId="0" borderId="4" xfId="3" applyFont="1" applyFill="1" applyBorder="1" applyAlignment="1" applyProtection="1">
      <alignment horizontal="right" vertical="center"/>
      <protection locked="0"/>
    </xf>
    <xf numFmtId="2" fontId="8" fillId="0" borderId="0" xfId="3" applyNumberFormat="1" applyFont="1" applyFill="1" applyBorder="1" applyAlignment="1">
      <alignment horizontal="right"/>
    </xf>
    <xf numFmtId="2" fontId="8" fillId="0" borderId="0" xfId="3" applyNumberFormat="1" applyFont="1" applyFill="1" applyBorder="1" applyAlignment="1" applyProtection="1">
      <alignment horizontal="right"/>
      <protection locked="0"/>
    </xf>
    <xf numFmtId="2" fontId="8" fillId="0" borderId="10" xfId="3" applyNumberFormat="1" applyFont="1" applyFill="1" applyBorder="1" applyAlignment="1" applyProtection="1">
      <alignment horizontal="right"/>
      <protection locked="0"/>
    </xf>
    <xf numFmtId="2" fontId="8" fillId="0" borderId="21" xfId="3" applyNumberFormat="1" applyFont="1" applyFill="1" applyBorder="1" applyAlignment="1" applyProtection="1">
      <alignment horizontal="right"/>
      <protection locked="0"/>
    </xf>
    <xf numFmtId="2" fontId="8" fillId="0" borderId="21" xfId="3" applyNumberFormat="1" applyFont="1" applyFill="1" applyBorder="1" applyAlignment="1">
      <alignment horizontal="right"/>
    </xf>
    <xf numFmtId="2" fontId="8" fillId="0" borderId="22" xfId="3" applyNumberFormat="1" applyFont="1" applyFill="1" applyBorder="1" applyAlignment="1">
      <alignment horizontal="right"/>
    </xf>
    <xf numFmtId="0" fontId="9" fillId="0" borderId="14" xfId="3" applyFont="1" applyFill="1" applyBorder="1" applyAlignment="1" applyProtection="1">
      <alignment horizontal="right"/>
    </xf>
    <xf numFmtId="2" fontId="9" fillId="0" borderId="4" xfId="3" applyNumberFormat="1" applyFont="1" applyFill="1" applyBorder="1" applyAlignment="1" applyProtection="1">
      <alignment horizontal="right"/>
    </xf>
    <xf numFmtId="2" fontId="9" fillId="0" borderId="4" xfId="3" applyNumberFormat="1" applyFont="1" applyFill="1" applyBorder="1" applyAlignment="1" applyProtection="1">
      <alignment horizontal="right"/>
      <protection locked="0"/>
    </xf>
    <xf numFmtId="2" fontId="9" fillId="0" borderId="14" xfId="3" applyNumberFormat="1" applyFont="1" applyFill="1" applyBorder="1" applyAlignment="1" applyProtection="1">
      <alignment horizontal="right"/>
    </xf>
    <xf numFmtId="2" fontId="9" fillId="0" borderId="0" xfId="3" applyNumberFormat="1" applyFont="1" applyFill="1" applyBorder="1" applyAlignment="1" applyProtection="1">
      <alignment horizontal="right"/>
    </xf>
    <xf numFmtId="166" fontId="9" fillId="0" borderId="0" xfId="3" applyNumberFormat="1" applyFont="1" applyFill="1" applyBorder="1" applyAlignment="1" applyProtection="1">
      <alignment horizontal="right"/>
      <protection locked="0"/>
    </xf>
    <xf numFmtId="169" fontId="0" fillId="0" borderId="0" xfId="3" applyNumberFormat="1" applyFont="1" applyFill="1" applyProtection="1">
      <protection locked="0"/>
    </xf>
    <xf numFmtId="0" fontId="9" fillId="0" borderId="0" xfId="3" applyFont="1" applyFill="1" applyBorder="1" applyAlignment="1" applyProtection="1">
      <alignment horizontal="left" vertical="center" wrapText="1"/>
    </xf>
    <xf numFmtId="166" fontId="9" fillId="0" borderId="0" xfId="3" applyNumberFormat="1" applyFont="1" applyFill="1" applyProtection="1">
      <protection locked="0"/>
    </xf>
    <xf numFmtId="0" fontId="5" fillId="0" borderId="0" xfId="3" applyFont="1" applyFill="1" applyAlignment="1" applyProtection="1">
      <alignment vertical="top"/>
      <protection locked="0"/>
    </xf>
    <xf numFmtId="0" fontId="0" fillId="0" borderId="0" xfId="3" applyFont="1" applyFill="1" applyAlignment="1" applyProtection="1">
      <alignment vertical="top"/>
      <protection locked="0"/>
    </xf>
    <xf numFmtId="0" fontId="9" fillId="0" borderId="23" xfId="3" applyFont="1" applyFill="1" applyBorder="1" applyAlignment="1" applyProtection="1">
      <alignment horizontal="center"/>
    </xf>
    <xf numFmtId="0" fontId="8" fillId="0" borderId="10" xfId="3" applyFont="1" applyFill="1" applyBorder="1" applyAlignment="1" applyProtection="1">
      <alignment horizontal="right" wrapText="1"/>
    </xf>
    <xf numFmtId="0" fontId="8" fillId="0" borderId="0" xfId="3" applyFont="1" applyFill="1" applyBorder="1" applyAlignment="1"/>
    <xf numFmtId="173" fontId="8" fillId="0" borderId="0" xfId="21" applyNumberFormat="1" applyFont="1" applyFill="1" applyBorder="1" applyAlignment="1" applyProtection="1">
      <alignment horizontal="right"/>
    </xf>
    <xf numFmtId="3" fontId="8" fillId="0" borderId="21" xfId="3" applyNumberFormat="1" applyFont="1" applyFill="1" applyBorder="1"/>
    <xf numFmtId="0" fontId="8" fillId="0" borderId="21" xfId="3" applyFont="1" applyFill="1" applyBorder="1" applyAlignment="1" applyProtection="1">
      <protection locked="0"/>
    </xf>
    <xf numFmtId="3" fontId="8" fillId="0" borderId="21" xfId="3" applyNumberFormat="1" applyFont="1" applyFill="1" applyBorder="1" applyAlignment="1">
      <alignment horizontal="right"/>
    </xf>
    <xf numFmtId="173" fontId="8" fillId="0" borderId="21" xfId="3" applyNumberFormat="1" applyFont="1" applyFill="1" applyBorder="1" applyAlignment="1">
      <alignment horizontal="right"/>
    </xf>
    <xf numFmtId="3" fontId="8" fillId="0" borderId="22" xfId="3" applyNumberFormat="1" applyFont="1" applyFill="1" applyBorder="1" applyAlignment="1">
      <alignment horizontal="right"/>
    </xf>
    <xf numFmtId="0" fontId="9" fillId="0" borderId="4" xfId="3" applyFont="1" applyFill="1" applyBorder="1" applyProtection="1">
      <protection locked="0"/>
    </xf>
    <xf numFmtId="0" fontId="9" fillId="0" borderId="0" xfId="3" applyFont="1" applyFill="1" applyBorder="1" applyAlignment="1" applyProtection="1">
      <alignment horizontal="center"/>
    </xf>
    <xf numFmtId="0" fontId="9" fillId="0" borderId="73" xfId="3" applyFont="1" applyFill="1" applyBorder="1" applyProtection="1"/>
    <xf numFmtId="0" fontId="9" fillId="0" borderId="58" xfId="3" applyFont="1" applyFill="1" applyBorder="1" applyAlignment="1" applyProtection="1">
      <alignment horizontal="right"/>
    </xf>
    <xf numFmtId="3" fontId="9" fillId="0" borderId="0" xfId="3" applyNumberFormat="1" applyFont="1" applyFill="1" applyBorder="1"/>
    <xf numFmtId="3" fontId="8" fillId="0" borderId="58" xfId="3" applyNumberFormat="1" applyFont="1" applyFill="1" applyBorder="1"/>
    <xf numFmtId="3" fontId="8" fillId="0" borderId="20" xfId="3" applyNumberFormat="1" applyFont="1" applyFill="1" applyBorder="1"/>
    <xf numFmtId="169" fontId="0" fillId="0" borderId="0" xfId="3" applyNumberFormat="1" applyFont="1" applyFill="1" applyBorder="1" applyProtection="1">
      <protection locked="0"/>
    </xf>
    <xf numFmtId="176" fontId="0" fillId="0" borderId="0" xfId="3" applyNumberFormat="1" applyFont="1" applyFill="1" applyProtection="1"/>
    <xf numFmtId="0" fontId="4" fillId="0" borderId="2" xfId="3" applyFont="1" applyFill="1" applyBorder="1" applyAlignment="1" applyProtection="1">
      <alignment horizontal="left" vertical="top" wrapText="1"/>
    </xf>
    <xf numFmtId="0" fontId="4" fillId="0" borderId="3" xfId="3" applyFont="1" applyFill="1" applyBorder="1" applyAlignment="1" applyProtection="1">
      <alignment horizontal="left" vertical="top" wrapText="1"/>
    </xf>
    <xf numFmtId="176" fontId="9" fillId="0" borderId="4" xfId="3" applyNumberFormat="1" applyFont="1" applyFill="1" applyBorder="1" applyAlignment="1" applyProtection="1"/>
    <xf numFmtId="0" fontId="9" fillId="0" borderId="77" xfId="3" applyFont="1" applyFill="1" applyBorder="1" applyAlignment="1" applyProtection="1">
      <alignment horizontal="right" wrapText="1"/>
    </xf>
    <xf numFmtId="0" fontId="9" fillId="0" borderId="78" xfId="3" applyFont="1" applyFill="1" applyBorder="1" applyAlignment="1" applyProtection="1">
      <alignment horizontal="right" wrapText="1"/>
    </xf>
    <xf numFmtId="0" fontId="6" fillId="0" borderId="0" xfId="3" applyFont="1" applyFill="1" applyProtection="1"/>
    <xf numFmtId="0" fontId="8" fillId="0" borderId="0" xfId="3" applyFont="1" applyFill="1" applyBorder="1" applyAlignment="1" applyProtection="1">
      <protection locked="0"/>
    </xf>
    <xf numFmtId="3" fontId="8" fillId="0" borderId="11" xfId="3" applyNumberFormat="1" applyFont="1" applyFill="1" applyBorder="1" applyAlignment="1">
      <alignment horizontal="right"/>
    </xf>
    <xf numFmtId="0" fontId="8" fillId="0" borderId="11" xfId="3" applyFont="1" applyFill="1" applyBorder="1" applyAlignment="1">
      <alignment horizontal="right"/>
    </xf>
    <xf numFmtId="0" fontId="8" fillId="0" borderId="63" xfId="3" applyFont="1" applyFill="1" applyBorder="1" applyAlignment="1" applyProtection="1">
      <alignment horizontal="right"/>
    </xf>
    <xf numFmtId="0" fontId="9" fillId="0" borderId="4" xfId="3" applyFont="1" applyFill="1" applyBorder="1" applyAlignment="1"/>
    <xf numFmtId="0" fontId="9" fillId="0" borderId="15" xfId="3" applyFont="1" applyFill="1" applyBorder="1" applyAlignment="1">
      <alignment horizontal="right"/>
    </xf>
    <xf numFmtId="0" fontId="9" fillId="0" borderId="15" xfId="3" applyFont="1" applyFill="1" applyBorder="1" applyAlignment="1" applyProtection="1">
      <alignment horizontal="right"/>
    </xf>
    <xf numFmtId="0" fontId="9" fillId="0" borderId="64" xfId="3" applyFont="1" applyFill="1" applyBorder="1" applyAlignment="1" applyProtection="1">
      <alignment horizontal="right"/>
    </xf>
    <xf numFmtId="176" fontId="8" fillId="0" borderId="0" xfId="3" applyNumberFormat="1" applyFont="1" applyFill="1" applyBorder="1" applyAlignment="1"/>
    <xf numFmtId="173" fontId="8" fillId="0" borderId="0" xfId="14" applyNumberFormat="1" applyFont="1" applyFill="1" applyBorder="1" applyAlignment="1" applyProtection="1">
      <alignment horizontal="right"/>
    </xf>
    <xf numFmtId="176" fontId="9" fillId="0" borderId="0" xfId="3" applyNumberFormat="1" applyFont="1" applyFill="1" applyBorder="1" applyAlignment="1" applyProtection="1"/>
    <xf numFmtId="0" fontId="3" fillId="0" borderId="0" xfId="3" applyFont="1" applyFill="1" applyBorder="1" applyAlignment="1" applyProtection="1">
      <alignment vertical="top"/>
    </xf>
    <xf numFmtId="0" fontId="3" fillId="0" borderId="0" xfId="3" applyFont="1" applyFill="1" applyBorder="1" applyProtection="1"/>
    <xf numFmtId="0" fontId="3" fillId="0" borderId="0" xfId="3" applyFont="1" applyFill="1" applyBorder="1" applyProtection="1">
      <protection locked="0"/>
    </xf>
    <xf numFmtId="0" fontId="0" fillId="0" borderId="0" xfId="3" applyFont="1" applyFill="1" applyBorder="1" applyAlignment="1" applyProtection="1">
      <alignment vertical="top"/>
    </xf>
    <xf numFmtId="0" fontId="9" fillId="0" borderId="45" xfId="3" applyFont="1" applyFill="1" applyBorder="1" applyAlignment="1" applyProtection="1"/>
    <xf numFmtId="0" fontId="8" fillId="0" borderId="45" xfId="3" applyFont="1" applyFill="1" applyBorder="1" applyAlignment="1" applyProtection="1">
      <alignment wrapText="1"/>
    </xf>
    <xf numFmtId="0" fontId="8" fillId="0" borderId="84" xfId="3" applyFont="1" applyFill="1" applyBorder="1" applyAlignment="1" applyProtection="1">
      <alignment wrapText="1"/>
    </xf>
    <xf numFmtId="0" fontId="6" fillId="0" borderId="0" xfId="3" applyFont="1" applyFill="1" applyBorder="1" applyProtection="1"/>
    <xf numFmtId="0" fontId="29" fillId="0" borderId="0" xfId="3" applyFont="1" applyFill="1" applyBorder="1" applyProtection="1"/>
    <xf numFmtId="0" fontId="9" fillId="0" borderId="10" xfId="3" applyFont="1" applyFill="1" applyBorder="1" applyAlignment="1" applyProtection="1">
      <alignment horizontal="right"/>
      <protection locked="0"/>
    </xf>
    <xf numFmtId="0" fontId="9" fillId="0" borderId="58" xfId="3" applyNumberFormat="1" applyFont="1" applyFill="1" applyBorder="1" applyAlignment="1">
      <alignment horizontal="right"/>
    </xf>
    <xf numFmtId="0" fontId="9" fillId="0" borderId="0" xfId="3" applyNumberFormat="1" applyFont="1" applyFill="1" applyBorder="1" applyAlignment="1">
      <alignment horizontal="right"/>
    </xf>
    <xf numFmtId="176" fontId="8" fillId="0" borderId="14" xfId="3" applyNumberFormat="1" applyFont="1" applyFill="1" applyBorder="1" applyAlignment="1">
      <alignment horizontal="right"/>
    </xf>
    <xf numFmtId="173" fontId="8" fillId="0" borderId="4" xfId="14" applyNumberFormat="1" applyFont="1" applyFill="1" applyBorder="1" applyAlignment="1" applyProtection="1">
      <alignment horizontal="right"/>
    </xf>
    <xf numFmtId="3" fontId="8" fillId="0" borderId="14" xfId="3" applyNumberFormat="1" applyFont="1" applyFill="1" applyBorder="1" applyAlignment="1">
      <alignment horizontal="right"/>
    </xf>
    <xf numFmtId="3" fontId="8" fillId="0" borderId="60" xfId="3" applyNumberFormat="1" applyFont="1" applyFill="1" applyBorder="1" applyAlignment="1">
      <alignment horizontal="right"/>
    </xf>
    <xf numFmtId="173" fontId="8" fillId="0" borderId="14" xfId="14" applyNumberFormat="1" applyFont="1" applyFill="1" applyBorder="1" applyAlignment="1" applyProtection="1">
      <alignment horizontal="right"/>
    </xf>
    <xf numFmtId="0" fontId="9" fillId="0" borderId="0" xfId="3" applyFont="1" applyFill="1" applyBorder="1" applyAlignment="1"/>
    <xf numFmtId="0" fontId="9" fillId="0" borderId="2" xfId="3" applyFont="1" applyFill="1" applyBorder="1" applyAlignment="1" applyProtection="1"/>
    <xf numFmtId="0" fontId="9" fillId="0" borderId="21" xfId="3" applyFont="1" applyFill="1" applyBorder="1" applyProtection="1"/>
    <xf numFmtId="0" fontId="9" fillId="0" borderId="21" xfId="3" applyNumberFormat="1" applyFont="1" applyFill="1" applyBorder="1" applyAlignment="1" applyProtection="1">
      <alignment horizontal="right" wrapText="1"/>
    </xf>
    <xf numFmtId="0" fontId="8" fillId="0" borderId="3" xfId="3" applyFont="1" applyFill="1" applyBorder="1" applyAlignment="1" applyProtection="1">
      <alignment horizontal="center" wrapText="1"/>
    </xf>
    <xf numFmtId="0" fontId="9" fillId="0" borderId="1" xfId="3" applyNumberFormat="1" applyFont="1" applyFill="1" applyBorder="1" applyAlignment="1" applyProtection="1">
      <alignment horizontal="right" wrapText="1"/>
    </xf>
    <xf numFmtId="0" fontId="9" fillId="0" borderId="2" xfId="3" applyNumberFormat="1" applyFont="1" applyFill="1" applyBorder="1" applyAlignment="1" applyProtection="1">
      <alignment horizontal="right" wrapText="1"/>
    </xf>
    <xf numFmtId="3" fontId="8" fillId="0" borderId="45" xfId="3" applyNumberFormat="1" applyFont="1" applyFill="1" applyBorder="1" applyAlignment="1">
      <alignment horizontal="right"/>
    </xf>
    <xf numFmtId="0" fontId="17" fillId="0" borderId="10" xfId="3" applyFont="1" applyFill="1" applyBorder="1" applyAlignment="1" applyProtection="1">
      <alignment horizontal="center"/>
      <protection locked="0"/>
    </xf>
    <xf numFmtId="173" fontId="8" fillId="0" borderId="0" xfId="3" applyNumberFormat="1" applyFont="1" applyFill="1" applyBorder="1" applyAlignment="1">
      <alignment horizontal="right"/>
    </xf>
    <xf numFmtId="0" fontId="17" fillId="0" borderId="0" xfId="3" applyFont="1" applyFill="1" applyBorder="1" applyAlignment="1" applyProtection="1">
      <alignment horizontal="center"/>
      <protection locked="0"/>
    </xf>
    <xf numFmtId="3" fontId="9" fillId="0" borderId="10" xfId="3" applyNumberFormat="1" applyFont="1" applyFill="1" applyBorder="1"/>
    <xf numFmtId="0" fontId="9" fillId="0" borderId="0" xfId="3" applyNumberFormat="1" applyFont="1" applyFill="1" applyBorder="1"/>
    <xf numFmtId="0" fontId="8" fillId="0" borderId="0" xfId="3" applyNumberFormat="1" applyFont="1" applyFill="1" applyBorder="1"/>
    <xf numFmtId="0" fontId="8" fillId="0" borderId="4" xfId="3" applyFont="1" applyFill="1" applyBorder="1" applyAlignment="1"/>
    <xf numFmtId="0" fontId="17" fillId="0" borderId="14" xfId="3" applyFont="1" applyFill="1" applyBorder="1" applyAlignment="1" applyProtection="1">
      <alignment horizontal="center"/>
      <protection locked="0"/>
    </xf>
    <xf numFmtId="0" fontId="17" fillId="0" borderId="4" xfId="3" applyFont="1" applyFill="1" applyBorder="1" applyAlignment="1" applyProtection="1">
      <alignment horizontal="center"/>
      <protection locked="0"/>
    </xf>
    <xf numFmtId="3" fontId="9" fillId="0" borderId="4" xfId="3" applyNumberFormat="1" applyFont="1" applyFill="1" applyBorder="1"/>
    <xf numFmtId="3" fontId="9" fillId="0" borderId="14" xfId="3" applyNumberFormat="1" applyFont="1" applyFill="1" applyBorder="1"/>
    <xf numFmtId="0" fontId="0" fillId="0" borderId="0" xfId="3" applyFont="1" applyFill="1" applyBorder="1" applyAlignment="1" applyProtection="1">
      <alignment horizontal="center"/>
      <protection locked="0"/>
    </xf>
    <xf numFmtId="176" fontId="0" fillId="0" borderId="0" xfId="3" applyNumberFormat="1" applyFont="1" applyFill="1" applyProtection="1">
      <protection locked="0"/>
    </xf>
    <xf numFmtId="0" fontId="70" fillId="0" borderId="0" xfId="3" applyFont="1" applyFill="1" applyAlignment="1" applyProtection="1">
      <alignment vertical="top"/>
    </xf>
    <xf numFmtId="0" fontId="70" fillId="0" borderId="0" xfId="3" applyFont="1" applyFill="1" applyProtection="1"/>
    <xf numFmtId="0" fontId="9" fillId="0" borderId="0" xfId="3" applyFont="1" applyFill="1" applyBorder="1" applyAlignment="1" applyProtection="1">
      <alignment vertical="center" wrapText="1"/>
      <protection locked="0"/>
    </xf>
    <xf numFmtId="0" fontId="4" fillId="0" borderId="0" xfId="15" applyFont="1" applyFill="1"/>
    <xf numFmtId="0" fontId="70" fillId="0" borderId="0" xfId="3" applyFont="1" applyFill="1" applyAlignment="1" applyProtection="1">
      <protection locked="0"/>
    </xf>
    <xf numFmtId="169" fontId="70" fillId="0" borderId="0" xfId="3" applyNumberFormat="1" applyFont="1" applyFill="1" applyBorder="1" applyProtection="1">
      <protection locked="0"/>
    </xf>
    <xf numFmtId="0" fontId="70" fillId="0" borderId="0" xfId="3" applyFont="1" applyFill="1" applyBorder="1" applyProtection="1">
      <protection locked="0"/>
    </xf>
    <xf numFmtId="0" fontId="70" fillId="0" borderId="0" xfId="3" applyFont="1" applyFill="1" applyBorder="1" applyAlignment="1" applyProtection="1">
      <alignment vertical="top" wrapText="1"/>
    </xf>
    <xf numFmtId="0" fontId="9" fillId="0" borderId="4" xfId="3" applyFont="1" applyBorder="1" applyAlignment="1" applyProtection="1">
      <alignment horizontal="left" vertical="center"/>
      <protection locked="0"/>
    </xf>
    <xf numFmtId="9" fontId="9" fillId="3" borderId="0" xfId="17" applyFont="1" applyFill="1" applyBorder="1" applyAlignment="1">
      <alignment horizontal="left"/>
    </xf>
    <xf numFmtId="0" fontId="9" fillId="0" borderId="0" xfId="3" applyFont="1" applyBorder="1" applyAlignment="1" applyProtection="1">
      <alignment horizontal="left" vertical="center"/>
      <protection locked="0"/>
    </xf>
    <xf numFmtId="0" fontId="9" fillId="0" borderId="0" xfId="3" applyFont="1" applyBorder="1" applyAlignment="1" applyProtection="1">
      <alignment horizontal="left" vertical="top" wrapText="1"/>
      <protection locked="0"/>
    </xf>
    <xf numFmtId="0" fontId="9" fillId="0" borderId="0" xfId="3" applyFont="1" applyFill="1" applyBorder="1" applyAlignment="1" applyProtection="1">
      <alignment horizontal="right" wrapText="1"/>
    </xf>
    <xf numFmtId="170" fontId="9" fillId="0" borderId="0" xfId="3" applyNumberFormat="1" applyFont="1" applyFill="1" applyBorder="1" applyAlignment="1" applyProtection="1">
      <alignment horizontal="right" wrapText="1"/>
    </xf>
    <xf numFmtId="0" fontId="4" fillId="0" borderId="0" xfId="15" applyFont="1" applyFill="1" applyBorder="1" applyAlignment="1">
      <alignment wrapText="1"/>
    </xf>
    <xf numFmtId="0" fontId="5" fillId="0" borderId="0" xfId="3" applyFont="1" applyFill="1" applyBorder="1" applyAlignment="1" applyProtection="1">
      <alignment vertical="top" wrapText="1"/>
    </xf>
    <xf numFmtId="0" fontId="4" fillId="0" borderId="66" xfId="15" applyFont="1" applyBorder="1"/>
    <xf numFmtId="0" fontId="9" fillId="0" borderId="56" xfId="15" applyFont="1" applyBorder="1" applyAlignment="1">
      <alignment horizontal="right"/>
    </xf>
    <xf numFmtId="0" fontId="8" fillId="0" borderId="0" xfId="15" applyFont="1" applyBorder="1"/>
    <xf numFmtId="3" fontId="8" fillId="3" borderId="11" xfId="3" applyNumberFormat="1" applyFont="1" applyFill="1" applyBorder="1" applyAlignment="1" applyProtection="1">
      <alignment horizontal="right" vertical="center"/>
      <protection locked="0"/>
    </xf>
    <xf numFmtId="3" fontId="8" fillId="3" borderId="11" xfId="3" applyNumberFormat="1" applyFont="1" applyFill="1" applyBorder="1" applyAlignment="1" applyProtection="1">
      <alignment horizontal="right" wrapText="1"/>
      <protection locked="0"/>
    </xf>
    <xf numFmtId="0" fontId="70" fillId="0" borderId="0" xfId="3" applyFont="1" applyFill="1" applyBorder="1" applyAlignment="1" applyProtection="1">
      <alignment vertical="top"/>
    </xf>
    <xf numFmtId="3" fontId="8" fillId="3" borderId="7" xfId="3" applyNumberFormat="1" applyFont="1" applyFill="1" applyBorder="1" applyAlignment="1" applyProtection="1">
      <alignment horizontal="right"/>
    </xf>
    <xf numFmtId="9" fontId="8" fillId="0" borderId="0" xfId="17" applyFont="1" applyFill="1" applyBorder="1" applyAlignment="1">
      <alignment horizontal="right"/>
    </xf>
    <xf numFmtId="0" fontId="4" fillId="0" borderId="0" xfId="15" applyFont="1" applyFill="1" applyBorder="1"/>
    <xf numFmtId="0" fontId="9" fillId="0" borderId="41" xfId="3" applyFont="1" applyFill="1" applyBorder="1" applyAlignment="1"/>
    <xf numFmtId="3" fontId="9" fillId="3" borderId="15" xfId="3" applyNumberFormat="1" applyFont="1" applyFill="1" applyBorder="1" applyAlignment="1" applyProtection="1">
      <alignment horizontal="right" wrapText="1"/>
    </xf>
    <xf numFmtId="3" fontId="9" fillId="3" borderId="0" xfId="3" applyNumberFormat="1" applyFont="1" applyFill="1" applyBorder="1" applyAlignment="1" applyProtection="1">
      <alignment horizontal="right" wrapText="1"/>
    </xf>
    <xf numFmtId="9" fontId="8" fillId="3" borderId="0" xfId="17" applyFont="1" applyFill="1" applyBorder="1" applyAlignment="1">
      <alignment horizontal="right"/>
    </xf>
    <xf numFmtId="9" fontId="9" fillId="0" borderId="0" xfId="17" applyFont="1" applyFill="1" applyBorder="1" applyAlignment="1">
      <alignment horizontal="right"/>
    </xf>
    <xf numFmtId="0" fontId="8" fillId="0" borderId="18" xfId="3" applyFont="1" applyFill="1" applyBorder="1" applyAlignment="1"/>
    <xf numFmtId="9" fontId="9" fillId="3" borderId="56" xfId="17" quotePrefix="1" applyFont="1" applyFill="1" applyBorder="1" applyAlignment="1">
      <alignment horizontal="right"/>
    </xf>
    <xf numFmtId="176" fontId="8" fillId="3" borderId="11" xfId="17" applyNumberFormat="1" applyFont="1" applyFill="1" applyBorder="1" applyAlignment="1">
      <alignment horizontal="right"/>
    </xf>
    <xf numFmtId="0" fontId="8" fillId="0" borderId="0" xfId="3" applyFont="1" applyBorder="1" applyAlignment="1"/>
    <xf numFmtId="170" fontId="9" fillId="3" borderId="77" xfId="17" applyNumberFormat="1" applyFont="1" applyFill="1" applyBorder="1" applyAlignment="1">
      <alignment horizontal="right"/>
    </xf>
    <xf numFmtId="0" fontId="76" fillId="0" borderId="0" xfId="3" applyFont="1" applyFill="1" applyBorder="1" applyAlignment="1" applyProtection="1">
      <alignment vertical="top"/>
    </xf>
    <xf numFmtId="0" fontId="27" fillId="0" borderId="0" xfId="15" applyFont="1" applyFill="1" applyBorder="1"/>
    <xf numFmtId="0" fontId="9" fillId="3" borderId="56" xfId="17" quotePrefix="1" applyNumberFormat="1" applyFont="1" applyFill="1" applyBorder="1" applyAlignment="1">
      <alignment horizontal="right"/>
    </xf>
    <xf numFmtId="176" fontId="8" fillId="3" borderId="73" xfId="17" applyNumberFormat="1" applyFont="1" applyFill="1" applyBorder="1" applyAlignment="1">
      <alignment horizontal="right"/>
    </xf>
    <xf numFmtId="176" fontId="8" fillId="3" borderId="23" xfId="17" applyNumberFormat="1" applyFont="1" applyFill="1" applyBorder="1" applyAlignment="1">
      <alignment horizontal="right"/>
    </xf>
    <xf numFmtId="176" fontId="8" fillId="3" borderId="58" xfId="17" applyNumberFormat="1" applyFont="1" applyFill="1" applyBorder="1" applyAlignment="1">
      <alignment horizontal="right"/>
    </xf>
    <xf numFmtId="176" fontId="8" fillId="3" borderId="0" xfId="17" applyNumberFormat="1" applyFont="1" applyFill="1" applyBorder="1" applyAlignment="1">
      <alignment horizontal="right"/>
    </xf>
    <xf numFmtId="0" fontId="8" fillId="0" borderId="14" xfId="3" applyFont="1" applyBorder="1" applyAlignment="1"/>
    <xf numFmtId="3" fontId="8" fillId="3" borderId="20" xfId="3" applyNumberFormat="1" applyFont="1" applyFill="1" applyBorder="1" applyAlignment="1" applyProtection="1">
      <alignment horizontal="right" wrapText="1"/>
      <protection locked="0"/>
    </xf>
    <xf numFmtId="3" fontId="8" fillId="3" borderId="21" xfId="3" applyNumberFormat="1" applyFont="1" applyFill="1" applyBorder="1" applyAlignment="1" applyProtection="1">
      <alignment horizontal="right" wrapText="1"/>
      <protection locked="0"/>
    </xf>
    <xf numFmtId="3" fontId="8" fillId="3" borderId="0" xfId="3" applyNumberFormat="1" applyFont="1" applyFill="1" applyBorder="1" applyAlignment="1" applyProtection="1">
      <alignment horizontal="right" wrapText="1"/>
      <protection locked="0"/>
    </xf>
    <xf numFmtId="0" fontId="6" fillId="0" borderId="0" xfId="3" applyNumberFormat="1" applyFont="1" applyFill="1" applyAlignment="1" applyProtection="1">
      <alignment vertical="top"/>
    </xf>
    <xf numFmtId="0" fontId="70" fillId="0" borderId="0" xfId="3" applyNumberFormat="1" applyFont="1" applyFill="1" applyAlignment="1" applyProtection="1">
      <alignment vertical="top"/>
    </xf>
    <xf numFmtId="0" fontId="70" fillId="0" borderId="0" xfId="3" applyNumberFormat="1" applyFont="1" applyFill="1" applyBorder="1" applyProtection="1"/>
    <xf numFmtId="0" fontId="70" fillId="0" borderId="0" xfId="3" applyNumberFormat="1" applyFont="1" applyFill="1" applyProtection="1"/>
    <xf numFmtId="0" fontId="70" fillId="0" borderId="0" xfId="3" applyNumberFormat="1" applyFont="1" applyFill="1" applyProtection="1">
      <protection locked="0"/>
    </xf>
    <xf numFmtId="0" fontId="4" fillId="0" borderId="0" xfId="15" applyNumberFormat="1" applyFont="1" applyFill="1"/>
    <xf numFmtId="0" fontId="8" fillId="0" borderId="23" xfId="3" applyFont="1" applyFill="1" applyBorder="1" applyAlignment="1"/>
    <xf numFmtId="9" fontId="9" fillId="3" borderId="73" xfId="17" quotePrefix="1" applyFont="1" applyFill="1" applyBorder="1" applyAlignment="1">
      <alignment horizontal="center"/>
    </xf>
    <xf numFmtId="9" fontId="9" fillId="3" borderId="23" xfId="17" quotePrefix="1" applyFont="1" applyFill="1" applyBorder="1" applyAlignment="1">
      <alignment horizontal="center"/>
    </xf>
    <xf numFmtId="9" fontId="9" fillId="3" borderId="72" xfId="17" quotePrefix="1" applyFont="1" applyFill="1" applyBorder="1" applyAlignment="1">
      <alignment horizontal="center"/>
    </xf>
    <xf numFmtId="9" fontId="9" fillId="3" borderId="0" xfId="17" quotePrefix="1" applyFont="1" applyFill="1" applyBorder="1" applyAlignment="1">
      <alignment horizontal="center"/>
    </xf>
    <xf numFmtId="17" fontId="8" fillId="3" borderId="20" xfId="17" applyNumberFormat="1" applyFont="1" applyFill="1" applyBorder="1" applyAlignment="1">
      <alignment horizontal="right"/>
    </xf>
    <xf numFmtId="0" fontId="8" fillId="3" borderId="21" xfId="17" applyNumberFormat="1" applyFont="1" applyFill="1" applyBorder="1" applyAlignment="1">
      <alignment horizontal="right"/>
    </xf>
    <xf numFmtId="0" fontId="8" fillId="3" borderId="22" xfId="17" applyNumberFormat="1" applyFont="1" applyFill="1" applyBorder="1" applyAlignment="1">
      <alignment horizontal="right" wrapText="1"/>
    </xf>
    <xf numFmtId="17" fontId="8" fillId="3" borderId="21" xfId="17" applyNumberFormat="1" applyFont="1" applyFill="1" applyBorder="1" applyAlignment="1">
      <alignment horizontal="right"/>
    </xf>
    <xf numFmtId="17" fontId="8" fillId="0" borderId="21" xfId="17" applyNumberFormat="1" applyFont="1" applyFill="1" applyBorder="1" applyAlignment="1">
      <alignment horizontal="right"/>
    </xf>
    <xf numFmtId="0" fontId="8" fillId="0" borderId="21" xfId="17" applyNumberFormat="1" applyFont="1" applyFill="1" applyBorder="1" applyAlignment="1">
      <alignment horizontal="right"/>
    </xf>
    <xf numFmtId="0" fontId="8" fillId="0" borderId="22" xfId="17" applyNumberFormat="1" applyFont="1" applyFill="1" applyBorder="1" applyAlignment="1">
      <alignment horizontal="right" wrapText="1"/>
    </xf>
    <xf numFmtId="0" fontId="8" fillId="3" borderId="0" xfId="17" applyNumberFormat="1" applyFont="1" applyFill="1" applyBorder="1" applyAlignment="1">
      <alignment horizontal="right" wrapText="1"/>
    </xf>
    <xf numFmtId="17" fontId="8" fillId="3" borderId="58" xfId="17" applyNumberFormat="1" applyFont="1" applyFill="1" applyBorder="1" applyAlignment="1">
      <alignment horizontal="right"/>
    </xf>
    <xf numFmtId="0" fontId="8" fillId="3" borderId="0" xfId="17" applyNumberFormat="1" applyFont="1" applyFill="1" applyBorder="1" applyAlignment="1">
      <alignment horizontal="right"/>
    </xf>
    <xf numFmtId="0" fontId="8" fillId="3" borderId="10" xfId="17" applyNumberFormat="1" applyFont="1" applyFill="1" applyBorder="1" applyAlignment="1">
      <alignment horizontal="right" wrapText="1"/>
    </xf>
    <xf numFmtId="17" fontId="8" fillId="3" borderId="0" xfId="17" applyNumberFormat="1" applyFont="1" applyFill="1" applyBorder="1" applyAlignment="1">
      <alignment horizontal="right"/>
    </xf>
    <xf numFmtId="17" fontId="8" fillId="0" borderId="0" xfId="17" applyNumberFormat="1" applyFont="1" applyFill="1" applyBorder="1" applyAlignment="1">
      <alignment horizontal="right"/>
    </xf>
    <xf numFmtId="0" fontId="8" fillId="0" borderId="0" xfId="17" applyNumberFormat="1" applyFont="1" applyFill="1" applyBorder="1" applyAlignment="1">
      <alignment horizontal="right"/>
    </xf>
    <xf numFmtId="0" fontId="8" fillId="0" borderId="84" xfId="17" applyNumberFormat="1" applyFont="1" applyFill="1" applyBorder="1" applyAlignment="1">
      <alignment horizontal="right" wrapText="1"/>
    </xf>
    <xf numFmtId="9" fontId="8" fillId="3" borderId="10" xfId="17" applyNumberFormat="1" applyFont="1" applyFill="1" applyBorder="1" applyAlignment="1">
      <alignment horizontal="right"/>
    </xf>
    <xf numFmtId="17" fontId="8" fillId="0" borderId="10" xfId="17" applyNumberFormat="1" applyFont="1" applyFill="1" applyBorder="1" applyAlignment="1">
      <alignment horizontal="right"/>
    </xf>
    <xf numFmtId="9" fontId="8" fillId="3" borderId="0" xfId="17" applyNumberFormat="1" applyFont="1" applyFill="1" applyBorder="1" applyAlignment="1">
      <alignment horizontal="right"/>
    </xf>
    <xf numFmtId="0" fontId="8" fillId="0" borderId="4" xfId="3" applyNumberFormat="1" applyFont="1" applyFill="1" applyBorder="1" applyAlignment="1">
      <alignment horizontal="right"/>
    </xf>
    <xf numFmtId="176" fontId="8" fillId="3" borderId="60" xfId="17" applyNumberFormat="1" applyFont="1" applyFill="1" applyBorder="1" applyAlignment="1">
      <alignment horizontal="right"/>
    </xf>
    <xf numFmtId="176" fontId="8" fillId="3" borderId="4" xfId="17" applyNumberFormat="1" applyFont="1" applyFill="1" applyBorder="1" applyAlignment="1">
      <alignment horizontal="right"/>
    </xf>
    <xf numFmtId="9" fontId="8" fillId="3" borderId="14" xfId="17" applyNumberFormat="1" applyFont="1" applyFill="1" applyBorder="1" applyAlignment="1">
      <alignment horizontal="right"/>
    </xf>
    <xf numFmtId="17" fontId="8" fillId="0" borderId="20" xfId="17" applyNumberFormat="1" applyFont="1" applyFill="1" applyBorder="1" applyAlignment="1">
      <alignment horizontal="right"/>
    </xf>
    <xf numFmtId="17" fontId="8" fillId="0" borderId="22" xfId="17" applyNumberFormat="1" applyFont="1" applyFill="1" applyBorder="1" applyAlignment="1">
      <alignment horizontal="right"/>
    </xf>
    <xf numFmtId="9" fontId="9" fillId="0" borderId="0" xfId="17" applyFont="1" applyFill="1" applyBorder="1" applyAlignment="1" applyProtection="1">
      <alignment horizontal="right"/>
    </xf>
    <xf numFmtId="0" fontId="8" fillId="0" borderId="0" xfId="3" applyNumberFormat="1" applyFont="1" applyFill="1" applyBorder="1" applyAlignment="1">
      <alignment horizontal="right"/>
    </xf>
    <xf numFmtId="0" fontId="70" fillId="0" borderId="0" xfId="3" applyFont="1" applyFill="1" applyAlignment="1" applyProtection="1">
      <alignment vertical="top"/>
      <protection locked="0"/>
    </xf>
    <xf numFmtId="0" fontId="70" fillId="0" borderId="10" xfId="3" applyFont="1" applyFill="1" applyBorder="1" applyProtection="1">
      <protection locked="0"/>
    </xf>
    <xf numFmtId="0" fontId="8" fillId="0" borderId="0" xfId="15" applyFont="1" applyFill="1" applyAlignment="1" applyProtection="1">
      <alignment horizontal="right"/>
    </xf>
    <xf numFmtId="0" fontId="8" fillId="0" borderId="0" xfId="15" applyFont="1" applyFill="1" applyProtection="1"/>
    <xf numFmtId="0" fontId="8" fillId="0" borderId="0" xfId="15" applyFont="1" applyFill="1" applyProtection="1">
      <protection locked="0"/>
    </xf>
    <xf numFmtId="0" fontId="4" fillId="0" borderId="0" xfId="15" applyFill="1" applyProtection="1">
      <protection locked="0"/>
    </xf>
    <xf numFmtId="0" fontId="8" fillId="0" borderId="0" xfId="15" applyFont="1" applyFill="1" applyAlignment="1" applyProtection="1">
      <alignment horizontal="right"/>
      <protection locked="0"/>
    </xf>
    <xf numFmtId="0" fontId="77" fillId="0" borderId="0" xfId="3" applyFont="1" applyFill="1" applyAlignment="1" applyProtection="1">
      <alignment vertical="top"/>
    </xf>
    <xf numFmtId="0" fontId="9" fillId="0" borderId="4" xfId="15" applyFont="1" applyFill="1" applyBorder="1" applyAlignment="1" applyProtection="1">
      <alignment horizontal="left"/>
    </xf>
    <xf numFmtId="0" fontId="8" fillId="0" borderId="4" xfId="15" applyFont="1" applyFill="1" applyBorder="1" applyAlignment="1" applyProtection="1"/>
    <xf numFmtId="0" fontId="9" fillId="0" borderId="4" xfId="15" applyFont="1" applyFill="1" applyBorder="1" applyAlignment="1" applyProtection="1">
      <alignment horizontal="right"/>
    </xf>
    <xf numFmtId="0" fontId="8" fillId="0" borderId="4" xfId="15" applyFont="1" applyFill="1" applyBorder="1" applyAlignment="1" applyProtection="1">
      <alignment horizontal="right"/>
    </xf>
    <xf numFmtId="0" fontId="8" fillId="0" borderId="0" xfId="15" applyFont="1" applyFill="1" applyBorder="1" applyProtection="1"/>
    <xf numFmtId="0" fontId="8" fillId="0" borderId="0" xfId="15" applyFont="1" applyFill="1" applyBorder="1" applyProtection="1">
      <protection locked="0"/>
    </xf>
    <xf numFmtId="0" fontId="9" fillId="0" borderId="5" xfId="15" applyFont="1" applyFill="1" applyBorder="1" applyAlignment="1" applyProtection="1">
      <alignment horizontal="right"/>
    </xf>
    <xf numFmtId="184" fontId="5" fillId="0" borderId="0" xfId="3" applyNumberFormat="1" applyFont="1" applyFill="1" applyAlignment="1" applyProtection="1">
      <alignment vertical="top"/>
    </xf>
    <xf numFmtId="184" fontId="0" fillId="0" borderId="0" xfId="3" applyNumberFormat="1" applyFont="1" applyFill="1" applyAlignment="1" applyProtection="1">
      <alignment vertical="top"/>
    </xf>
    <xf numFmtId="0" fontId="8" fillId="0" borderId="29" xfId="15" applyFont="1" applyFill="1" applyBorder="1" applyAlignment="1" applyProtection="1">
      <alignment horizontal="right" wrapText="1"/>
    </xf>
    <xf numFmtId="17" fontId="8" fillId="0" borderId="20" xfId="15" applyNumberFormat="1" applyFont="1" applyFill="1" applyBorder="1" applyAlignment="1" applyProtection="1">
      <alignment horizontal="center" wrapText="1"/>
    </xf>
    <xf numFmtId="0" fontId="8" fillId="0" borderId="22" xfId="15" applyFont="1" applyFill="1" applyBorder="1" applyAlignment="1" applyProtection="1">
      <alignment horizontal="center" wrapText="1"/>
    </xf>
    <xf numFmtId="0" fontId="8" fillId="0" borderId="42" xfId="15" applyFont="1" applyFill="1" applyBorder="1" applyAlignment="1" applyProtection="1">
      <alignment horizontal="center" wrapText="1"/>
    </xf>
    <xf numFmtId="0" fontId="4" fillId="0" borderId="0" xfId="15" applyFill="1" applyAlignment="1" applyProtection="1">
      <alignment wrapText="1"/>
      <protection locked="0"/>
    </xf>
    <xf numFmtId="0" fontId="9" fillId="0" borderId="9" xfId="15" applyFont="1" applyFill="1" applyBorder="1" applyAlignment="1" applyProtection="1">
      <alignment horizontal="left"/>
    </xf>
    <xf numFmtId="165" fontId="8" fillId="0" borderId="58" xfId="15" applyNumberFormat="1" applyFont="1" applyFill="1" applyBorder="1" applyAlignment="1" applyProtection="1">
      <alignment horizontal="right"/>
    </xf>
    <xf numFmtId="185" fontId="8" fillId="0" borderId="10" xfId="15" applyNumberFormat="1" applyFont="1" applyFill="1" applyBorder="1" applyAlignment="1" applyProtection="1">
      <alignment horizontal="right"/>
    </xf>
    <xf numFmtId="185" fontId="8" fillId="0" borderId="12" xfId="15" applyNumberFormat="1" applyFont="1" applyFill="1" applyBorder="1" applyAlignment="1" applyProtection="1">
      <alignment horizontal="right"/>
    </xf>
    <xf numFmtId="0" fontId="9" fillId="0" borderId="13" xfId="15" applyFont="1" applyFill="1" applyBorder="1" applyAlignment="1" applyProtection="1">
      <alignment horizontal="left"/>
    </xf>
    <xf numFmtId="165" fontId="8" fillId="0" borderId="60" xfId="15" applyNumberFormat="1" applyFont="1" applyFill="1" applyBorder="1" applyAlignment="1" applyProtection="1">
      <alignment horizontal="right"/>
    </xf>
    <xf numFmtId="185" fontId="8" fillId="0" borderId="14" xfId="15" applyNumberFormat="1" applyFont="1" applyFill="1" applyBorder="1" applyAlignment="1" applyProtection="1">
      <alignment horizontal="right"/>
    </xf>
    <xf numFmtId="185" fontId="8" fillId="0" borderId="16" xfId="15" applyNumberFormat="1" applyFont="1" applyFill="1" applyBorder="1" applyAlignment="1" applyProtection="1">
      <alignment horizontal="right"/>
    </xf>
    <xf numFmtId="0" fontId="9" fillId="0" borderId="0" xfId="15" applyFont="1" applyFill="1" applyBorder="1" applyAlignment="1" applyProtection="1">
      <alignment horizontal="left"/>
    </xf>
    <xf numFmtId="165" fontId="8" fillId="0" borderId="0" xfId="15" applyNumberFormat="1" applyFont="1" applyFill="1" applyBorder="1" applyAlignment="1" applyProtection="1">
      <alignment horizontal="right"/>
    </xf>
    <xf numFmtId="165" fontId="8" fillId="0" borderId="12" xfId="15" applyNumberFormat="1" applyFont="1" applyFill="1" applyBorder="1" applyAlignment="1" applyProtection="1">
      <alignment horizontal="right"/>
    </xf>
    <xf numFmtId="184" fontId="8" fillId="0" borderId="0" xfId="3" applyNumberFormat="1" applyFont="1" applyFill="1" applyBorder="1" applyAlignment="1" applyProtection="1">
      <alignment vertical="top" wrapText="1"/>
    </xf>
    <xf numFmtId="0" fontId="9" fillId="0" borderId="21" xfId="15" applyFont="1" applyFill="1" applyBorder="1" applyAlignment="1" applyProtection="1">
      <alignment horizontal="left"/>
    </xf>
    <xf numFmtId="0" fontId="20" fillId="0" borderId="21" xfId="15" applyFont="1" applyFill="1" applyBorder="1" applyAlignment="1" applyProtection="1">
      <alignment horizontal="left"/>
    </xf>
    <xf numFmtId="0" fontId="8" fillId="0" borderId="21" xfId="15" applyFont="1" applyFill="1" applyBorder="1" applyAlignment="1" applyProtection="1"/>
    <xf numFmtId="0" fontId="9" fillId="0" borderId="21" xfId="15" applyFont="1" applyFill="1" applyBorder="1" applyAlignment="1" applyProtection="1">
      <alignment horizontal="right"/>
    </xf>
    <xf numFmtId="0" fontId="8" fillId="0" borderId="21" xfId="15" applyFont="1" applyFill="1" applyBorder="1" applyAlignment="1" applyProtection="1">
      <alignment horizontal="right"/>
    </xf>
    <xf numFmtId="0" fontId="8" fillId="0" borderId="21" xfId="15" applyFont="1" applyFill="1" applyBorder="1" applyProtection="1"/>
    <xf numFmtId="0" fontId="8" fillId="0" borderId="21" xfId="15" applyFont="1" applyFill="1" applyBorder="1" applyProtection="1">
      <protection locked="0"/>
    </xf>
    <xf numFmtId="0" fontId="9" fillId="0" borderId="86" xfId="15" applyFont="1" applyFill="1" applyBorder="1" applyAlignment="1" applyProtection="1">
      <alignment horizontal="center"/>
    </xf>
    <xf numFmtId="0" fontId="4" fillId="0" borderId="0" xfId="15" applyFill="1" applyBorder="1" applyProtection="1">
      <protection locked="0"/>
    </xf>
    <xf numFmtId="0" fontId="8" fillId="0" borderId="87" xfId="15" applyFont="1" applyFill="1" applyBorder="1" applyProtection="1"/>
    <xf numFmtId="0" fontId="9" fillId="0" borderId="88" xfId="15" applyFont="1" applyFill="1" applyBorder="1" applyAlignment="1" applyProtection="1">
      <alignment horizontal="left"/>
    </xf>
    <xf numFmtId="3" fontId="8" fillId="0" borderId="58" xfId="15" applyNumberFormat="1" applyFont="1" applyFill="1" applyBorder="1" applyAlignment="1" applyProtection="1">
      <alignment horizontal="right"/>
    </xf>
    <xf numFmtId="0" fontId="8" fillId="0" borderId="58" xfId="15" applyFont="1" applyFill="1" applyBorder="1" applyAlignment="1" applyProtection="1">
      <alignment horizontal="right"/>
    </xf>
    <xf numFmtId="0" fontId="9" fillId="0" borderId="88" xfId="15" applyFont="1" applyFill="1" applyBorder="1" applyAlignment="1" applyProtection="1">
      <alignment horizontal="left" wrapText="1"/>
    </xf>
    <xf numFmtId="0" fontId="9" fillId="0" borderId="89" xfId="15" applyFont="1" applyFill="1" applyBorder="1" applyAlignment="1" applyProtection="1">
      <alignment horizontal="left"/>
    </xf>
    <xf numFmtId="3" fontId="8" fillId="0" borderId="60" xfId="15" applyNumberFormat="1" applyFont="1" applyFill="1" applyBorder="1" applyAlignment="1" applyProtection="1">
      <alignment horizontal="right"/>
    </xf>
    <xf numFmtId="0" fontId="8" fillId="0" borderId="60" xfId="15" applyFont="1" applyFill="1" applyBorder="1" applyAlignment="1" applyProtection="1">
      <alignment horizontal="right"/>
    </xf>
    <xf numFmtId="3" fontId="8" fillId="0" borderId="0" xfId="15" applyNumberFormat="1" applyFont="1" applyFill="1" applyBorder="1" applyAlignment="1" applyProtection="1">
      <alignment horizontal="right"/>
    </xf>
    <xf numFmtId="185" fontId="8" fillId="0" borderId="0" xfId="15" applyNumberFormat="1" applyFont="1" applyFill="1" applyBorder="1" applyAlignment="1" applyProtection="1">
      <alignment horizontal="right"/>
    </xf>
    <xf numFmtId="0" fontId="8" fillId="0" borderId="0" xfId="15" applyFont="1" applyFill="1" applyBorder="1" applyAlignment="1" applyProtection="1">
      <alignment horizontal="right"/>
    </xf>
    <xf numFmtId="0" fontId="8" fillId="0" borderId="0" xfId="15" applyFont="1" applyFill="1" applyBorder="1" applyAlignment="1" applyProtection="1"/>
    <xf numFmtId="3" fontId="8" fillId="0" borderId="0" xfId="15" applyNumberFormat="1" applyFont="1" applyFill="1" applyBorder="1" applyProtection="1">
      <protection locked="0"/>
    </xf>
    <xf numFmtId="3" fontId="8" fillId="0" borderId="0" xfId="15" applyNumberFormat="1" applyFont="1" applyFill="1" applyProtection="1">
      <protection locked="0"/>
    </xf>
    <xf numFmtId="0" fontId="1" fillId="0" borderId="0" xfId="3" applyFont="1" applyFill="1" applyAlignment="1" applyProtection="1">
      <alignment vertical="top"/>
      <protection locked="0"/>
    </xf>
    <xf numFmtId="0" fontId="4" fillId="0" borderId="0" xfId="15" applyFill="1" applyAlignment="1" applyProtection="1">
      <protection locked="0"/>
    </xf>
    <xf numFmtId="0" fontId="23" fillId="0" borderId="0" xfId="3" applyFont="1" applyFill="1" applyBorder="1" applyAlignment="1" applyProtection="1">
      <alignment vertical="top"/>
    </xf>
    <xf numFmtId="0" fontId="9" fillId="2" borderId="0" xfId="3" applyFont="1" applyFill="1" applyBorder="1" applyAlignment="1" applyProtection="1"/>
    <xf numFmtId="0" fontId="8" fillId="0" borderId="6" xfId="3" applyFont="1" applyFill="1" applyBorder="1" applyProtection="1"/>
    <xf numFmtId="0" fontId="9" fillId="0" borderId="6" xfId="3" applyFont="1" applyFill="1" applyBorder="1" applyAlignment="1" applyProtection="1">
      <alignment horizontal="right"/>
    </xf>
    <xf numFmtId="174" fontId="9" fillId="0" borderId="0" xfId="3" applyNumberFormat="1" applyFont="1" applyFill="1" applyBorder="1" applyAlignment="1" applyProtection="1">
      <alignment horizontal="right"/>
    </xf>
    <xf numFmtId="174" fontId="8" fillId="3" borderId="0" xfId="3" applyNumberFormat="1" applyFont="1" applyFill="1" applyBorder="1" applyAlignment="1" applyProtection="1">
      <alignment horizontal="center"/>
    </xf>
    <xf numFmtId="0" fontId="17" fillId="0" borderId="0" xfId="3" applyFont="1" applyFill="1" applyBorder="1" applyProtection="1">
      <protection locked="0"/>
    </xf>
    <xf numFmtId="0" fontId="8" fillId="0" borderId="21" xfId="3" applyFont="1" applyFill="1" applyBorder="1" applyAlignment="1" applyProtection="1"/>
    <xf numFmtId="174" fontId="8" fillId="0" borderId="21" xfId="3" applyNumberFormat="1" applyFont="1" applyFill="1" applyBorder="1" applyAlignment="1" applyProtection="1">
      <alignment horizontal="right"/>
    </xf>
    <xf numFmtId="0" fontId="9" fillId="0" borderId="23" xfId="3" applyFont="1" applyFill="1" applyBorder="1" applyAlignment="1" applyProtection="1">
      <alignment wrapText="1"/>
    </xf>
    <xf numFmtId="174" fontId="8" fillId="0" borderId="23" xfId="3" applyNumberFormat="1" applyFont="1" applyFill="1" applyBorder="1" applyAlignment="1" applyProtection="1">
      <alignment horizontal="right"/>
    </xf>
    <xf numFmtId="0" fontId="60" fillId="0" borderId="0" xfId="3" applyFont="1" applyBorder="1" applyAlignment="1">
      <alignment horizontal="right"/>
    </xf>
    <xf numFmtId="0" fontId="8" fillId="3" borderId="21" xfId="3" applyFont="1" applyFill="1" applyBorder="1" applyProtection="1"/>
    <xf numFmtId="0" fontId="60" fillId="0" borderId="21" xfId="3" applyFont="1" applyBorder="1" applyAlignment="1">
      <alignment horizontal="right"/>
    </xf>
    <xf numFmtId="0" fontId="60" fillId="0" borderId="0" xfId="3" applyFont="1" applyFill="1" applyBorder="1" applyAlignment="1">
      <alignment horizontal="right"/>
    </xf>
    <xf numFmtId="174" fontId="9" fillId="3" borderId="0" xfId="3" applyNumberFormat="1" applyFont="1" applyFill="1" applyBorder="1" applyAlignment="1" applyProtection="1">
      <alignment horizontal="left"/>
    </xf>
    <xf numFmtId="0" fontId="44" fillId="0" borderId="0" xfId="15" applyFont="1" applyBorder="1" applyAlignment="1">
      <alignment horizontal="center"/>
    </xf>
    <xf numFmtId="0" fontId="9" fillId="3" borderId="23" xfId="3" applyFont="1" applyFill="1" applyBorder="1" applyProtection="1"/>
    <xf numFmtId="0" fontId="9" fillId="3" borderId="0" xfId="3" applyFont="1" applyFill="1" applyBorder="1" applyAlignment="1" applyProtection="1"/>
    <xf numFmtId="0" fontId="9" fillId="3" borderId="0" xfId="3" applyFont="1" applyFill="1" applyBorder="1" applyProtection="1"/>
    <xf numFmtId="0" fontId="9" fillId="3" borderId="10" xfId="3" applyFont="1" applyFill="1" applyBorder="1" applyAlignment="1" applyProtection="1">
      <alignment horizontal="right"/>
    </xf>
    <xf numFmtId="0" fontId="9" fillId="3" borderId="0" xfId="3" applyFont="1" applyFill="1" applyBorder="1" applyAlignment="1" applyProtection="1">
      <alignment horizontal="center"/>
    </xf>
    <xf numFmtId="186" fontId="8" fillId="3" borderId="0" xfId="3" applyNumberFormat="1" applyFont="1" applyFill="1" applyBorder="1" applyAlignment="1" applyProtection="1">
      <alignment horizontal="right"/>
    </xf>
    <xf numFmtId="186" fontId="8" fillId="3" borderId="10" xfId="3" applyNumberFormat="1" applyFont="1" applyFill="1" applyBorder="1" applyAlignment="1" applyProtection="1">
      <alignment horizontal="right"/>
    </xf>
    <xf numFmtId="186" fontId="8" fillId="3" borderId="0" xfId="3" quotePrefix="1" applyNumberFormat="1" applyFont="1" applyFill="1" applyBorder="1" applyAlignment="1" applyProtection="1">
      <alignment horizontal="right"/>
    </xf>
    <xf numFmtId="0" fontId="9" fillId="3" borderId="0" xfId="3" applyFont="1" applyFill="1" applyBorder="1" applyAlignment="1" applyProtection="1">
      <alignment horizontal="center" wrapText="1"/>
    </xf>
    <xf numFmtId="0" fontId="9" fillId="3" borderId="0" xfId="3" applyFont="1" applyFill="1" applyBorder="1" applyAlignment="1" applyProtection="1">
      <alignment horizontal="right" wrapText="1"/>
    </xf>
    <xf numFmtId="187" fontId="8" fillId="3" borderId="0" xfId="3" applyNumberFormat="1" applyFont="1" applyFill="1" applyBorder="1" applyAlignment="1" applyProtection="1">
      <alignment horizontal="right"/>
    </xf>
    <xf numFmtId="0" fontId="78" fillId="3" borderId="0" xfId="3" applyFont="1" applyFill="1" applyBorder="1" applyProtection="1"/>
    <xf numFmtId="3" fontId="9" fillId="3" borderId="4" xfId="3" applyNumberFormat="1" applyFont="1" applyFill="1" applyBorder="1"/>
    <xf numFmtId="186" fontId="9" fillId="3" borderId="4" xfId="3" applyNumberFormat="1" applyFont="1" applyFill="1" applyBorder="1" applyProtection="1">
      <protection locked="0"/>
    </xf>
    <xf numFmtId="186" fontId="9" fillId="3" borderId="14" xfId="3" applyNumberFormat="1" applyFont="1" applyFill="1" applyBorder="1" applyProtection="1">
      <protection locked="0"/>
    </xf>
    <xf numFmtId="186" fontId="8" fillId="3" borderId="4" xfId="3" quotePrefix="1" applyNumberFormat="1" applyFont="1" applyFill="1" applyBorder="1" applyAlignment="1" applyProtection="1">
      <alignment horizontal="right"/>
    </xf>
    <xf numFmtId="186" fontId="9" fillId="3" borderId="0" xfId="3" applyNumberFormat="1" applyFont="1" applyFill="1" applyBorder="1" applyProtection="1">
      <protection locked="0"/>
    </xf>
    <xf numFmtId="0" fontId="79" fillId="0" borderId="4" xfId="3" applyFont="1" applyFill="1" applyBorder="1" applyAlignment="1" applyProtection="1"/>
    <xf numFmtId="0" fontId="79" fillId="0" borderId="6" xfId="3" applyFont="1" applyFill="1" applyBorder="1" applyAlignment="1" applyProtection="1">
      <alignment horizontal="right"/>
    </xf>
    <xf numFmtId="0" fontId="79" fillId="0" borderId="82" xfId="3" applyFont="1" applyFill="1" applyBorder="1" applyAlignment="1" applyProtection="1">
      <alignment horizontal="center"/>
    </xf>
    <xf numFmtId="0" fontId="79" fillId="0" borderId="85" xfId="3" applyFont="1" applyFill="1" applyBorder="1" applyAlignment="1" applyProtection="1">
      <alignment horizontal="right"/>
    </xf>
    <xf numFmtId="0" fontId="79" fillId="0" borderId="8" xfId="3" applyFont="1" applyFill="1" applyBorder="1" applyAlignment="1" applyProtection="1">
      <alignment horizontal="center"/>
    </xf>
    <xf numFmtId="0" fontId="80" fillId="0" borderId="0" xfId="0" applyFont="1"/>
    <xf numFmtId="2" fontId="41" fillId="0" borderId="0" xfId="3" applyNumberFormat="1" applyFont="1" applyFill="1" applyBorder="1" applyAlignment="1" applyProtection="1">
      <alignment horizontal="right"/>
    </xf>
    <xf numFmtId="2" fontId="41" fillId="0" borderId="10" xfId="3" applyNumberFormat="1" applyFont="1" applyFill="1" applyBorder="1" applyAlignment="1" applyProtection="1">
      <alignment horizontal="center"/>
    </xf>
    <xf numFmtId="2" fontId="41" fillId="0" borderId="58" xfId="3" applyNumberFormat="1" applyFont="1" applyFill="1" applyBorder="1" applyAlignment="1" applyProtection="1">
      <alignment horizontal="right"/>
    </xf>
    <xf numFmtId="2" fontId="57" fillId="0" borderId="0" xfId="0" applyNumberFormat="1" applyFont="1" applyBorder="1"/>
    <xf numFmtId="0" fontId="57" fillId="0" borderId="12" xfId="3" applyFont="1" applyFill="1" applyBorder="1" applyProtection="1">
      <protection locked="0"/>
    </xf>
    <xf numFmtId="0" fontId="80" fillId="0" borderId="0" xfId="3" applyFont="1" applyFill="1" applyBorder="1" applyProtection="1">
      <protection locked="0"/>
    </xf>
    <xf numFmtId="0" fontId="24" fillId="0" borderId="0" xfId="0" applyFont="1" applyFill="1" applyBorder="1"/>
    <xf numFmtId="0" fontId="24" fillId="0" borderId="10" xfId="3" applyFont="1" applyFill="1" applyBorder="1" applyProtection="1">
      <protection locked="0"/>
    </xf>
    <xf numFmtId="174" fontId="25" fillId="0" borderId="58" xfId="3" applyNumberFormat="1" applyFont="1" applyFill="1" applyBorder="1" applyAlignment="1" applyProtection="1">
      <alignment horizontal="right"/>
    </xf>
    <xf numFmtId="0" fontId="24" fillId="0" borderId="0" xfId="0" applyFont="1" applyBorder="1"/>
    <xf numFmtId="0" fontId="24" fillId="0" borderId="12" xfId="3" applyFont="1" applyFill="1" applyBorder="1" applyProtection="1">
      <protection locked="0"/>
    </xf>
    <xf numFmtId="0" fontId="81" fillId="0" borderId="0" xfId="3" applyFont="1" applyFill="1" applyBorder="1" applyAlignment="1" applyProtection="1"/>
    <xf numFmtId="2" fontId="24" fillId="0" borderId="0" xfId="0" applyNumberFormat="1" applyFont="1" applyFill="1" applyBorder="1"/>
    <xf numFmtId="0" fontId="24" fillId="0" borderId="12" xfId="0" applyFont="1" applyBorder="1"/>
    <xf numFmtId="0" fontId="81" fillId="0" borderId="4" xfId="3" applyFont="1" applyFill="1" applyBorder="1" applyAlignment="1" applyProtection="1"/>
    <xf numFmtId="0" fontId="24" fillId="0" borderId="4" xfId="0" applyFont="1" applyFill="1" applyBorder="1"/>
    <xf numFmtId="0" fontId="24" fillId="0" borderId="14" xfId="3" applyFont="1" applyFill="1" applyBorder="1" applyProtection="1">
      <protection locked="0"/>
    </xf>
    <xf numFmtId="174" fontId="25" fillId="0" borderId="60" xfId="3" applyNumberFormat="1" applyFont="1" applyFill="1" applyBorder="1" applyAlignment="1" applyProtection="1">
      <alignment horizontal="right"/>
    </xf>
    <xf numFmtId="0" fontId="24" fillId="0" borderId="4" xfId="0" applyFont="1" applyBorder="1"/>
    <xf numFmtId="2" fontId="24" fillId="0" borderId="16" xfId="0" applyNumberFormat="1" applyFont="1" applyBorder="1"/>
    <xf numFmtId="0" fontId="5" fillId="0" borderId="0" xfId="4" applyFont="1" applyFill="1" applyBorder="1" applyAlignment="1" applyProtection="1">
      <alignment vertical="top"/>
    </xf>
    <xf numFmtId="0" fontId="1" fillId="0" borderId="0" xfId="4" applyFont="1" applyFill="1" applyBorder="1" applyAlignment="1" applyProtection="1">
      <alignment vertical="top"/>
    </xf>
    <xf numFmtId="0" fontId="9" fillId="3" borderId="0" xfId="4" applyFont="1" applyFill="1" applyBorder="1" applyAlignment="1" applyProtection="1"/>
    <xf numFmtId="174" fontId="9" fillId="3" borderId="0" xfId="4" applyNumberFormat="1" applyFont="1" applyFill="1" applyBorder="1" applyAlignment="1" applyProtection="1">
      <alignment horizontal="left"/>
    </xf>
    <xf numFmtId="0" fontId="9" fillId="0" borderId="0" xfId="4" applyFont="1" applyFill="1" applyBorder="1" applyAlignment="1" applyProtection="1"/>
    <xf numFmtId="174" fontId="8" fillId="3" borderId="0" xfId="4" applyNumberFormat="1" applyFont="1" applyFill="1" applyBorder="1" applyAlignment="1" applyProtection="1">
      <alignment horizontal="right"/>
    </xf>
    <xf numFmtId="0" fontId="9" fillId="3" borderId="23" xfId="4" applyFont="1" applyFill="1" applyBorder="1" applyProtection="1"/>
    <xf numFmtId="0" fontId="9" fillId="3" borderId="0" xfId="4" applyFont="1" applyFill="1" applyBorder="1" applyAlignment="1" applyProtection="1">
      <alignment wrapText="1"/>
    </xf>
    <xf numFmtId="0" fontId="41" fillId="3" borderId="0" xfId="4" applyFont="1" applyFill="1" applyBorder="1" applyProtection="1"/>
    <xf numFmtId="0" fontId="41" fillId="3" borderId="0" xfId="4" applyFont="1" applyFill="1" applyBorder="1" applyAlignment="1" applyProtection="1">
      <alignment horizontal="right"/>
    </xf>
    <xf numFmtId="0" fontId="9" fillId="3" borderId="0" xfId="4" applyFont="1" applyFill="1" applyBorder="1" applyAlignment="1" applyProtection="1">
      <alignment horizontal="center"/>
    </xf>
    <xf numFmtId="3" fontId="81" fillId="3" borderId="0" xfId="4" applyNumberFormat="1" applyFont="1" applyFill="1" applyBorder="1"/>
    <xf numFmtId="2" fontId="24" fillId="0" borderId="0" xfId="0" applyNumberFormat="1" applyFont="1" applyBorder="1"/>
    <xf numFmtId="2" fontId="24" fillId="0" borderId="10" xfId="0" applyNumberFormat="1" applyFont="1" applyBorder="1"/>
    <xf numFmtId="2" fontId="24" fillId="0" borderId="58" xfId="0" applyNumberFormat="1" applyFont="1" applyFill="1" applyBorder="1"/>
    <xf numFmtId="2" fontId="24" fillId="0" borderId="12" xfId="0" applyNumberFormat="1" applyFont="1" applyBorder="1"/>
    <xf numFmtId="2" fontId="0" fillId="0" borderId="0" xfId="0" applyNumberFormat="1" applyBorder="1"/>
    <xf numFmtId="0" fontId="9" fillId="3" borderId="0" xfId="4" applyFont="1" applyFill="1" applyBorder="1" applyAlignment="1" applyProtection="1">
      <alignment horizontal="center" wrapText="1"/>
    </xf>
    <xf numFmtId="0" fontId="4" fillId="3" borderId="0" xfId="4" applyFont="1" applyFill="1" applyBorder="1" applyProtection="1">
      <protection locked="0"/>
    </xf>
    <xf numFmtId="0" fontId="9" fillId="3" borderId="0" xfId="4" applyFont="1" applyFill="1" applyBorder="1" applyAlignment="1" applyProtection="1">
      <alignment horizontal="right" wrapText="1"/>
    </xf>
    <xf numFmtId="187" fontId="8" fillId="3" borderId="0" xfId="4" applyNumberFormat="1" applyFont="1" applyFill="1" applyBorder="1" applyAlignment="1" applyProtection="1">
      <alignment horizontal="right"/>
    </xf>
    <xf numFmtId="0" fontId="78" fillId="3" borderId="0" xfId="4" applyFont="1" applyFill="1" applyBorder="1" applyProtection="1"/>
    <xf numFmtId="2" fontId="24" fillId="3" borderId="0" xfId="0" applyNumberFormat="1" applyFont="1" applyFill="1" applyBorder="1"/>
    <xf numFmtId="2" fontId="24" fillId="3" borderId="10" xfId="0" applyNumberFormat="1" applyFont="1" applyFill="1" applyBorder="1"/>
    <xf numFmtId="2" fontId="24" fillId="3" borderId="58" xfId="0" applyNumberFormat="1" applyFont="1" applyFill="1" applyBorder="1"/>
    <xf numFmtId="2" fontId="24" fillId="3" borderId="12" xfId="0" applyNumberFormat="1" applyFont="1" applyFill="1" applyBorder="1"/>
    <xf numFmtId="3" fontId="79" fillId="3" borderId="4" xfId="4" applyNumberFormat="1" applyFont="1" applyFill="1" applyBorder="1"/>
    <xf numFmtId="2" fontId="57" fillId="0" borderId="4" xfId="0" applyNumberFormat="1" applyFont="1" applyFill="1" applyBorder="1"/>
    <xf numFmtId="2" fontId="57" fillId="0" borderId="4" xfId="0" applyNumberFormat="1" applyFont="1" applyBorder="1"/>
    <xf numFmtId="2" fontId="57" fillId="0" borderId="14" xfId="0" applyNumberFormat="1" applyFont="1" applyBorder="1"/>
    <xf numFmtId="2" fontId="57" fillId="0" borderId="60" xfId="0" applyNumberFormat="1" applyFont="1" applyFill="1" applyBorder="1"/>
    <xf numFmtId="2" fontId="57" fillId="0" borderId="16" xfId="0" applyNumberFormat="1" applyFont="1" applyBorder="1"/>
    <xf numFmtId="2" fontId="3" fillId="0" borderId="0" xfId="0" applyNumberFormat="1" applyFont="1" applyBorder="1"/>
    <xf numFmtId="3" fontId="41" fillId="3" borderId="23" xfId="4" applyNumberFormat="1" applyFont="1" applyFill="1" applyBorder="1"/>
    <xf numFmtId="2" fontId="57" fillId="0" borderId="23" xfId="0" applyNumberFormat="1" applyFont="1" applyFill="1" applyBorder="1"/>
    <xf numFmtId="2" fontId="57" fillId="0" borderId="23" xfId="0" applyNumberFormat="1" applyFont="1" applyBorder="1"/>
    <xf numFmtId="0" fontId="3" fillId="0" borderId="0" xfId="0" applyFont="1" applyBorder="1"/>
    <xf numFmtId="3" fontId="41" fillId="3" borderId="4" xfId="4" applyNumberFormat="1" applyFont="1" applyFill="1" applyBorder="1"/>
    <xf numFmtId="9" fontId="8" fillId="0" borderId="0" xfId="22" applyFont="1" applyFill="1" applyBorder="1" applyAlignment="1">
      <alignment horizontal="right"/>
    </xf>
    <xf numFmtId="187" fontId="8" fillId="0" borderId="0" xfId="3" applyNumberFormat="1" applyFont="1" applyFill="1" applyBorder="1" applyProtection="1">
      <protection locked="0"/>
    </xf>
    <xf numFmtId="187" fontId="8" fillId="0" borderId="0" xfId="3" applyNumberFormat="1" applyFont="1" applyFill="1" applyBorder="1" applyAlignment="1" applyProtection="1">
      <alignment horizontal="right"/>
    </xf>
    <xf numFmtId="187" fontId="8" fillId="0" borderId="0" xfId="22" applyNumberFormat="1" applyFont="1" applyFill="1" applyBorder="1"/>
    <xf numFmtId="187" fontId="8" fillId="0" borderId="0" xfId="3" applyNumberFormat="1" applyFont="1" applyFill="1" applyBorder="1" applyProtection="1"/>
    <xf numFmtId="187" fontId="78" fillId="0" borderId="0" xfId="3" applyNumberFormat="1" applyFont="1" applyFill="1" applyBorder="1" applyProtection="1"/>
    <xf numFmtId="9" fontId="9" fillId="0" borderId="0" xfId="22" applyFont="1" applyFill="1" applyBorder="1" applyAlignment="1">
      <alignment horizontal="right"/>
    </xf>
    <xf numFmtId="187" fontId="9" fillId="0" borderId="0" xfId="3" applyNumberFormat="1" applyFont="1" applyFill="1" applyBorder="1" applyProtection="1">
      <protection locked="0"/>
    </xf>
    <xf numFmtId="187" fontId="9" fillId="0" borderId="0" xfId="3" applyNumberFormat="1" applyFont="1" applyFill="1" applyBorder="1" applyAlignment="1" applyProtection="1">
      <alignment horizontal="right"/>
    </xf>
    <xf numFmtId="187" fontId="9" fillId="0" borderId="0" xfId="22" applyNumberFormat="1" applyFont="1" applyFill="1" applyBorder="1"/>
    <xf numFmtId="187" fontId="9" fillId="0" borderId="0" xfId="3" applyNumberFormat="1" applyFont="1" applyFill="1" applyBorder="1" applyProtection="1"/>
    <xf numFmtId="0" fontId="1" fillId="0" borderId="12" xfId="3" applyFont="1" applyFill="1" applyBorder="1" applyAlignment="1" applyProtection="1">
      <alignment vertical="top"/>
    </xf>
    <xf numFmtId="0" fontId="1" fillId="0" borderId="58" xfId="3" applyFont="1" applyFill="1" applyBorder="1" applyProtection="1">
      <protection locked="0"/>
    </xf>
    <xf numFmtId="0" fontId="4" fillId="0" borderId="58" xfId="3" applyFont="1" applyFill="1" applyBorder="1" applyAlignment="1" applyProtection="1">
      <alignment vertical="top" wrapText="1"/>
    </xf>
    <xf numFmtId="0" fontId="5" fillId="0" borderId="0" xfId="3" applyFont="1" applyFill="1" applyBorder="1" applyAlignment="1" applyProtection="1">
      <alignment vertical="top"/>
      <protection locked="0"/>
    </xf>
    <xf numFmtId="0" fontId="1" fillId="0" borderId="0" xfId="3" applyFont="1" applyFill="1" applyBorder="1" applyAlignment="1" applyProtection="1">
      <alignment vertical="top"/>
      <protection locked="0"/>
    </xf>
    <xf numFmtId="0" fontId="4" fillId="0" borderId="0" xfId="3" applyFont="1" applyFill="1" applyBorder="1" applyProtection="1"/>
    <xf numFmtId="0" fontId="4" fillId="0" borderId="0" xfId="3" applyFont="1" applyFill="1" applyBorder="1" applyAlignment="1" applyProtection="1">
      <alignment horizontal="right"/>
    </xf>
    <xf numFmtId="0" fontId="6" fillId="0" borderId="0" xfId="3" applyFont="1" applyFill="1" applyBorder="1" applyAlignment="1" applyProtection="1">
      <alignment horizontal="right"/>
    </xf>
    <xf numFmtId="0" fontId="0" fillId="0" borderId="0" xfId="3" applyFont="1" applyFill="1" applyBorder="1" applyAlignment="1" applyProtection="1">
      <alignment horizontal="right"/>
    </xf>
    <xf numFmtId="0" fontId="0" fillId="0" borderId="0" xfId="3" applyFont="1" applyFill="1" applyBorder="1" applyAlignment="1" applyProtection="1">
      <alignment horizontal="right"/>
      <protection locked="0"/>
    </xf>
    <xf numFmtId="0" fontId="0" fillId="0" borderId="10" xfId="3" applyFont="1" applyFill="1" applyBorder="1" applyAlignment="1" applyProtection="1">
      <alignment horizontal="right"/>
      <protection locked="0"/>
    </xf>
    <xf numFmtId="0" fontId="4" fillId="0" borderId="1" xfId="3" applyFont="1" applyFill="1" applyBorder="1" applyAlignment="1" applyProtection="1">
      <alignment vertical="top"/>
    </xf>
    <xf numFmtId="0" fontId="4" fillId="0" borderId="2" xfId="3" applyFont="1" applyFill="1" applyBorder="1" applyAlignment="1" applyProtection="1">
      <alignment vertical="top" wrapText="1"/>
    </xf>
    <xf numFmtId="0" fontId="4" fillId="0" borderId="3" xfId="3" applyFont="1" applyFill="1" applyBorder="1" applyAlignment="1" applyProtection="1">
      <alignment vertical="top" wrapText="1"/>
    </xf>
    <xf numFmtId="0" fontId="9" fillId="0" borderId="0" xfId="3" applyFont="1" applyFill="1" applyBorder="1" applyAlignment="1">
      <alignment horizontal="center"/>
    </xf>
    <xf numFmtId="0" fontId="8" fillId="0" borderId="0" xfId="3" applyFont="1" applyFill="1" applyBorder="1" applyAlignment="1" applyProtection="1">
      <alignment vertical="top"/>
      <protection locked="0"/>
    </xf>
    <xf numFmtId="0" fontId="9" fillId="0" borderId="0" xfId="3" applyFont="1" applyFill="1" applyBorder="1" applyAlignment="1">
      <alignment horizontal="center" vertical="top"/>
    </xf>
    <xf numFmtId="9" fontId="8" fillId="3" borderId="0" xfId="22" applyFont="1" applyFill="1" applyBorder="1" applyAlignment="1" applyProtection="1">
      <alignment horizontal="right"/>
    </xf>
    <xf numFmtId="0" fontId="41" fillId="4" borderId="18" xfId="3" applyFont="1" applyFill="1" applyBorder="1" applyAlignment="1" applyProtection="1">
      <alignment vertical="top"/>
    </xf>
    <xf numFmtId="0" fontId="41" fillId="0" borderId="56" xfId="3" applyFont="1" applyFill="1" applyBorder="1" applyAlignment="1">
      <alignment horizontal="right"/>
    </xf>
    <xf numFmtId="0" fontId="41" fillId="0" borderId="61" xfId="3" applyFont="1" applyFill="1" applyBorder="1" applyAlignment="1">
      <alignment horizontal="right"/>
    </xf>
    <xf numFmtId="3" fontId="25" fillId="4" borderId="0" xfId="3" applyNumberFormat="1" applyFont="1" applyFill="1" applyBorder="1"/>
    <xf numFmtId="9" fontId="25" fillId="0" borderId="11" xfId="2" applyFont="1" applyFill="1" applyBorder="1" applyAlignment="1" applyProtection="1">
      <alignment horizontal="right"/>
      <protection locked="0"/>
    </xf>
    <xf numFmtId="9" fontId="24" fillId="0" borderId="11" xfId="2" applyFont="1" applyBorder="1" applyAlignment="1">
      <alignment horizontal="right"/>
    </xf>
    <xf numFmtId="189" fontId="8" fillId="0" borderId="0" xfId="3" applyNumberFormat="1" applyFont="1" applyFill="1" applyBorder="1" applyAlignment="1" applyProtection="1">
      <alignment horizontal="right"/>
      <protection locked="0"/>
    </xf>
    <xf numFmtId="10" fontId="8" fillId="4" borderId="0" xfId="22" applyNumberFormat="1" applyFont="1" applyFill="1" applyBorder="1" applyAlignment="1">
      <alignment horizontal="right"/>
    </xf>
    <xf numFmtId="9" fontId="8" fillId="0" borderId="0" xfId="22" applyNumberFormat="1" applyFont="1" applyFill="1" applyBorder="1" applyAlignment="1" applyProtection="1">
      <alignment horizontal="right"/>
    </xf>
    <xf numFmtId="3" fontId="25" fillId="4" borderId="4" xfId="3" applyNumberFormat="1" applyFont="1" applyFill="1" applyBorder="1"/>
    <xf numFmtId="0" fontId="4" fillId="0" borderId="0" xfId="3" applyFont="1" applyFill="1" applyBorder="1" applyAlignment="1" applyProtection="1">
      <alignment horizontal="right"/>
      <protection locked="0"/>
    </xf>
    <xf numFmtId="1" fontId="82" fillId="0" borderId="0" xfId="3" applyNumberFormat="1" applyFont="1" applyBorder="1"/>
    <xf numFmtId="1" fontId="0" fillId="0" borderId="0" xfId="3" applyNumberFormat="1" applyFont="1" applyBorder="1"/>
    <xf numFmtId="1" fontId="82" fillId="0" borderId="0" xfId="3" applyNumberFormat="1" applyFont="1"/>
    <xf numFmtId="189" fontId="9" fillId="0" borderId="0" xfId="3" applyNumberFormat="1" applyFont="1" applyFill="1" applyBorder="1" applyAlignment="1" applyProtection="1">
      <alignment horizontal="right"/>
      <protection locked="0"/>
    </xf>
    <xf numFmtId="10" fontId="9" fillId="4" borderId="0" xfId="22" applyNumberFormat="1" applyFont="1" applyFill="1" applyBorder="1" applyAlignment="1">
      <alignment horizontal="right"/>
    </xf>
    <xf numFmtId="183" fontId="9" fillId="0" borderId="0" xfId="3" applyNumberFormat="1" applyFont="1" applyFill="1" applyBorder="1" applyAlignment="1"/>
    <xf numFmtId="10" fontId="9" fillId="0" borderId="0" xfId="22" applyNumberFormat="1" applyFont="1" applyFill="1" applyBorder="1" applyAlignment="1" applyProtection="1"/>
    <xf numFmtId="9" fontId="8" fillId="4" borderId="0" xfId="22" applyFont="1" applyFill="1" applyBorder="1" applyAlignment="1">
      <alignment horizontal="right"/>
    </xf>
    <xf numFmtId="183" fontId="8" fillId="0" borderId="0" xfId="3" applyNumberFormat="1" applyFont="1" applyFill="1" applyBorder="1" applyAlignment="1"/>
    <xf numFmtId="9" fontId="8" fillId="0" borderId="0" xfId="22" applyFont="1" applyFill="1" applyBorder="1" applyAlignment="1" applyProtection="1"/>
    <xf numFmtId="173" fontId="8" fillId="0" borderId="0" xfId="23" applyNumberFormat="1" applyFont="1" applyFill="1" applyBorder="1" applyAlignment="1" applyProtection="1"/>
    <xf numFmtId="10" fontId="8" fillId="0" borderId="0" xfId="22" applyNumberFormat="1" applyFont="1" applyFill="1" applyBorder="1" applyAlignment="1" applyProtection="1"/>
    <xf numFmtId="0" fontId="0" fillId="0" borderId="0" xfId="3" applyFont="1" applyFill="1" applyBorder="1" applyAlignment="1" applyProtection="1">
      <alignment vertical="top"/>
      <protection locked="0"/>
    </xf>
    <xf numFmtId="189" fontId="8" fillId="0" borderId="0" xfId="3" applyNumberFormat="1" applyFont="1" applyFill="1" applyBorder="1" applyAlignment="1" applyProtection="1">
      <alignment horizontal="right"/>
    </xf>
    <xf numFmtId="10" fontId="44" fillId="0" borderId="0" xfId="15" applyNumberFormat="1" applyFont="1" applyBorder="1" applyAlignment="1">
      <alignment horizontal="center"/>
    </xf>
    <xf numFmtId="1" fontId="0" fillId="0" borderId="0" xfId="3" applyNumberFormat="1" applyFont="1" applyFill="1" applyBorder="1" applyProtection="1">
      <protection locked="0"/>
    </xf>
    <xf numFmtId="10" fontId="44" fillId="0" borderId="0" xfId="15" applyNumberFormat="1" applyFont="1" applyBorder="1" applyAlignment="1">
      <alignment horizontal="center" wrapText="1"/>
    </xf>
    <xf numFmtId="0" fontId="13" fillId="3" borderId="0" xfId="3" applyFont="1" applyFill="1" applyBorder="1" applyAlignment="1" applyProtection="1">
      <alignment vertical="top" wrapText="1"/>
    </xf>
    <xf numFmtId="1" fontId="0" fillId="0" borderId="0" xfId="3" applyNumberFormat="1" applyFont="1"/>
    <xf numFmtId="0" fontId="13" fillId="3" borderId="0" xfId="3" applyFont="1" applyFill="1" applyBorder="1" applyAlignment="1" applyProtection="1">
      <alignment vertical="top"/>
    </xf>
    <xf numFmtId="0" fontId="5" fillId="0" borderId="0" xfId="3" applyFont="1" applyFill="1" applyBorder="1" applyAlignment="1" applyProtection="1">
      <alignment horizontal="left" vertical="top" wrapText="1"/>
    </xf>
    <xf numFmtId="0" fontId="14" fillId="0" borderId="0" xfId="3" applyFont="1" applyFill="1" applyBorder="1" applyAlignment="1" applyProtection="1">
      <alignment vertical="top"/>
    </xf>
    <xf numFmtId="3" fontId="25" fillId="4" borderId="23" xfId="3" applyNumberFormat="1" applyFont="1" applyFill="1" applyBorder="1"/>
    <xf numFmtId="9" fontId="25" fillId="0" borderId="59" xfId="2" applyFont="1" applyFill="1" applyBorder="1" applyAlignment="1" applyProtection="1">
      <alignment horizontal="right"/>
      <protection locked="0"/>
    </xf>
    <xf numFmtId="9" fontId="24" fillId="0" borderId="59" xfId="2" applyFont="1" applyBorder="1" applyAlignment="1">
      <alignment horizontal="right"/>
    </xf>
    <xf numFmtId="9" fontId="25" fillId="2" borderId="62" xfId="2" applyFont="1" applyFill="1" applyBorder="1" applyAlignment="1" applyProtection="1">
      <alignment horizontal="right"/>
      <protection locked="0"/>
    </xf>
    <xf numFmtId="9" fontId="25" fillId="2" borderId="63" xfId="2" applyFont="1" applyFill="1" applyBorder="1" applyAlignment="1" applyProtection="1">
      <alignment horizontal="right"/>
      <protection locked="0"/>
    </xf>
    <xf numFmtId="9" fontId="25" fillId="0" borderId="15" xfId="2" applyFont="1" applyFill="1" applyBorder="1" applyAlignment="1" applyProtection="1">
      <alignment horizontal="right"/>
      <protection locked="0"/>
    </xf>
    <xf numFmtId="9" fontId="24" fillId="0" borderId="15" xfId="2" applyFont="1" applyBorder="1" applyAlignment="1">
      <alignment horizontal="right"/>
    </xf>
    <xf numFmtId="9" fontId="25" fillId="2" borderId="64" xfId="2" applyFont="1" applyFill="1" applyBorder="1" applyAlignment="1" applyProtection="1">
      <alignment horizontal="right"/>
      <protection locked="0"/>
    </xf>
    <xf numFmtId="0" fontId="0" fillId="0" borderId="0" xfId="3" applyFont="1" applyFill="1" applyBorder="1" applyAlignment="1" applyProtection="1">
      <alignment horizontal="left"/>
    </xf>
    <xf numFmtId="0" fontId="9" fillId="0" borderId="0" xfId="3" applyFont="1" applyFill="1" applyBorder="1" applyProtection="1">
      <protection locked="0"/>
    </xf>
    <xf numFmtId="0" fontId="9" fillId="0" borderId="0" xfId="3" applyFont="1" applyFill="1" applyBorder="1" applyAlignment="1">
      <alignment horizontal="left"/>
    </xf>
    <xf numFmtId="0" fontId="9" fillId="0" borderId="0" xfId="3" applyFont="1" applyFill="1" applyBorder="1" applyAlignment="1">
      <alignment horizontal="left" vertical="top"/>
    </xf>
    <xf numFmtId="0" fontId="41" fillId="0" borderId="17" xfId="3" applyFont="1" applyFill="1" applyBorder="1" applyAlignment="1" applyProtection="1">
      <alignment vertical="top"/>
    </xf>
    <xf numFmtId="0" fontId="41" fillId="0" borderId="25" xfId="3" applyFont="1" applyFill="1" applyBorder="1" applyAlignment="1">
      <alignment horizontal="right"/>
    </xf>
    <xf numFmtId="0" fontId="9" fillId="0" borderId="25" xfId="3" applyFont="1" applyFill="1" applyBorder="1" applyAlignment="1">
      <alignment horizontal="right"/>
    </xf>
    <xf numFmtId="0" fontId="9" fillId="0" borderId="0" xfId="3" applyFont="1" applyFill="1" applyBorder="1" applyAlignment="1">
      <alignment horizontal="right"/>
    </xf>
    <xf numFmtId="3" fontId="25" fillId="0" borderId="9" xfId="3" applyNumberFormat="1" applyFont="1" applyFill="1" applyBorder="1"/>
    <xf numFmtId="0" fontId="8" fillId="0" borderId="59" xfId="3" applyFont="1" applyFill="1" applyBorder="1" applyAlignment="1" applyProtection="1">
      <alignment horizontal="center"/>
      <protection locked="0"/>
    </xf>
    <xf numFmtId="0" fontId="8" fillId="0" borderId="62" xfId="3" applyFont="1" applyFill="1" applyBorder="1" applyAlignment="1" applyProtection="1">
      <alignment horizontal="center"/>
      <protection locked="0"/>
    </xf>
    <xf numFmtId="0" fontId="9" fillId="0" borderId="0" xfId="3" applyFont="1" applyFill="1" applyBorder="1" applyAlignment="1" applyProtection="1">
      <alignment horizontal="center"/>
      <protection locked="0"/>
    </xf>
    <xf numFmtId="0" fontId="8" fillId="0" borderId="11" xfId="3" applyFont="1" applyFill="1" applyBorder="1" applyAlignment="1" applyProtection="1">
      <alignment horizontal="center"/>
      <protection locked="0"/>
    </xf>
    <xf numFmtId="0" fontId="8" fillId="0" borderId="63" xfId="3" applyFont="1" applyFill="1" applyBorder="1" applyAlignment="1" applyProtection="1">
      <alignment horizontal="center"/>
      <protection locked="0"/>
    </xf>
    <xf numFmtId="0" fontId="41" fillId="0" borderId="17" xfId="3" applyFont="1" applyFill="1" applyBorder="1"/>
    <xf numFmtId="0" fontId="9" fillId="0" borderId="56" xfId="3" applyFont="1" applyFill="1" applyBorder="1" applyAlignment="1" applyProtection="1">
      <alignment horizontal="center"/>
      <protection locked="0"/>
    </xf>
    <xf numFmtId="0" fontId="9" fillId="0" borderId="61" xfId="3" applyFont="1" applyFill="1" applyBorder="1" applyAlignment="1" applyProtection="1">
      <alignment horizontal="center"/>
      <protection locked="0"/>
    </xf>
    <xf numFmtId="10" fontId="20" fillId="0" borderId="0" xfId="2" applyNumberFormat="1" applyFont="1" applyFill="1" applyBorder="1" applyAlignment="1">
      <alignment horizontal="right"/>
    </xf>
    <xf numFmtId="0" fontId="17" fillId="0" borderId="0" xfId="0" applyFont="1" applyFill="1" applyBorder="1" applyAlignment="1">
      <alignment horizontal="right"/>
    </xf>
    <xf numFmtId="10" fontId="20" fillId="0" borderId="0" xfId="2" applyNumberFormat="1" applyFont="1" applyFill="1" applyBorder="1" applyAlignment="1"/>
    <xf numFmtId="10" fontId="17" fillId="0" borderId="0" xfId="2" applyNumberFormat="1" applyFont="1" applyFill="1" applyBorder="1" applyAlignment="1"/>
    <xf numFmtId="3" fontId="20" fillId="0" borderId="0" xfId="0" applyNumberFormat="1" applyFont="1" applyFill="1" applyBorder="1" applyAlignment="1">
      <alignment horizontal="right"/>
    </xf>
    <xf numFmtId="10" fontId="8" fillId="0" borderId="0" xfId="2" applyNumberFormat="1" applyFont="1" applyFill="1" applyBorder="1" applyAlignment="1"/>
    <xf numFmtId="10" fontId="60" fillId="0" borderId="0" xfId="2" applyNumberFormat="1" applyFont="1" applyFill="1" applyBorder="1" applyAlignment="1"/>
    <xf numFmtId="3" fontId="17" fillId="0" borderId="0" xfId="0" applyNumberFormat="1" applyFont="1" applyFill="1" applyBorder="1" applyAlignment="1">
      <alignment horizontal="right"/>
    </xf>
    <xf numFmtId="10" fontId="17" fillId="0" borderId="0" xfId="2" applyNumberFormat="1" applyFont="1" applyFill="1" applyBorder="1" applyAlignment="1">
      <alignment horizontal="right"/>
    </xf>
    <xf numFmtId="0" fontId="0" fillId="0" borderId="0" xfId="3" applyFont="1" applyFill="1" applyBorder="1" applyAlignment="1" applyProtection="1">
      <protection locked="0"/>
    </xf>
    <xf numFmtId="0" fontId="1" fillId="0" borderId="0" xfId="3" applyFont="1" applyFill="1" applyAlignment="1">
      <alignment vertical="top"/>
    </xf>
    <xf numFmtId="0" fontId="1" fillId="0" borderId="0" xfId="3" applyFont="1" applyFill="1" applyBorder="1" applyAlignment="1"/>
    <xf numFmtId="0" fontId="1" fillId="0" borderId="0" xfId="3" applyFont="1" applyFill="1" applyBorder="1"/>
    <xf numFmtId="0" fontId="4" fillId="0" borderId="1" xfId="3" applyFont="1" applyFill="1" applyBorder="1" applyAlignment="1">
      <alignment vertical="top" wrapText="1"/>
    </xf>
    <xf numFmtId="0" fontId="4" fillId="0" borderId="2" xfId="3" applyFont="1" applyFill="1" applyBorder="1" applyAlignment="1">
      <alignment vertical="top" wrapText="1"/>
    </xf>
    <xf numFmtId="0" fontId="4" fillId="0" borderId="3" xfId="3" applyFont="1" applyFill="1" applyBorder="1" applyAlignment="1">
      <alignment vertical="top" wrapText="1"/>
    </xf>
    <xf numFmtId="0" fontId="4" fillId="0" borderId="0" xfId="3" applyFont="1" applyFill="1" applyBorder="1" applyAlignment="1">
      <alignment horizontal="left" vertical="top" wrapText="1"/>
    </xf>
    <xf numFmtId="0" fontId="9" fillId="0" borderId="4" xfId="3" applyFont="1" applyFill="1" applyBorder="1"/>
    <xf numFmtId="0" fontId="9" fillId="0" borderId="4" xfId="3" applyFont="1" applyFill="1" applyBorder="1" applyAlignment="1">
      <alignment horizontal="left"/>
    </xf>
    <xf numFmtId="0" fontId="4" fillId="0" borderId="4" xfId="3" applyFont="1" applyFill="1" applyBorder="1" applyAlignment="1">
      <alignment horizontal="right"/>
    </xf>
    <xf numFmtId="0" fontId="27" fillId="0" borderId="0" xfId="3" applyFont="1" applyFill="1" applyBorder="1" applyAlignment="1">
      <alignment vertical="top"/>
    </xf>
    <xf numFmtId="0" fontId="9" fillId="0" borderId="5" xfId="3" applyFont="1" applyFill="1" applyBorder="1"/>
    <xf numFmtId="0" fontId="9" fillId="0" borderId="23" xfId="3" applyFont="1" applyFill="1" applyBorder="1" applyAlignment="1">
      <alignment horizontal="right"/>
    </xf>
    <xf numFmtId="17" fontId="9" fillId="0" borderId="23" xfId="3" quotePrefix="1" applyNumberFormat="1" applyFont="1" applyFill="1" applyBorder="1" applyAlignment="1">
      <alignment horizontal="right"/>
    </xf>
    <xf numFmtId="17" fontId="9" fillId="0" borderId="24" xfId="3" quotePrefix="1" applyNumberFormat="1" applyFont="1" applyFill="1" applyBorder="1" applyAlignment="1">
      <alignment horizontal="right"/>
    </xf>
    <xf numFmtId="0" fontId="8" fillId="0" borderId="0" xfId="3" applyFont="1" applyFill="1" applyBorder="1" applyAlignment="1">
      <alignment vertical="top"/>
    </xf>
    <xf numFmtId="173" fontId="8" fillId="0" borderId="12" xfId="14" applyNumberFormat="1" applyFont="1" applyFill="1" applyBorder="1" applyAlignment="1" applyProtection="1">
      <alignment horizontal="right"/>
    </xf>
    <xf numFmtId="165" fontId="5" fillId="0" borderId="0" xfId="3" applyNumberFormat="1" applyFont="1" applyFill="1" applyAlignment="1">
      <alignment vertical="top"/>
    </xf>
    <xf numFmtId="165" fontId="1" fillId="0" borderId="0" xfId="3" applyNumberFormat="1" applyFont="1" applyFill="1" applyBorder="1" applyAlignment="1"/>
    <xf numFmtId="165" fontId="1" fillId="0" borderId="0" xfId="3" applyNumberFormat="1" applyFont="1" applyFill="1" applyBorder="1"/>
    <xf numFmtId="165" fontId="1" fillId="0" borderId="0" xfId="3" applyNumberFormat="1" applyFont="1" applyFill="1"/>
    <xf numFmtId="165" fontId="5" fillId="0" borderId="0" xfId="3" applyNumberFormat="1" applyFont="1" applyFill="1" applyBorder="1" applyAlignment="1">
      <alignment vertical="top"/>
    </xf>
    <xf numFmtId="0" fontId="9" fillId="0" borderId="35" xfId="3" applyFont="1" applyFill="1" applyBorder="1"/>
    <xf numFmtId="3" fontId="9" fillId="0" borderId="2" xfId="3" applyNumberFormat="1" applyFont="1" applyFill="1" applyBorder="1" applyAlignment="1">
      <alignment horizontal="right"/>
    </xf>
    <xf numFmtId="3" fontId="9" fillId="0" borderId="44" xfId="3" applyNumberFormat="1" applyFont="1" applyFill="1" applyBorder="1" applyAlignment="1">
      <alignment horizontal="right"/>
    </xf>
    <xf numFmtId="165" fontId="1" fillId="0" borderId="45" xfId="3" applyNumberFormat="1" applyFont="1" applyFill="1" applyBorder="1"/>
    <xf numFmtId="9" fontId="6" fillId="0" borderId="0" xfId="24" applyFont="1" applyFill="1" applyBorder="1" applyAlignment="1">
      <alignment vertical="top"/>
    </xf>
    <xf numFmtId="9" fontId="8" fillId="0" borderId="0" xfId="24" applyFont="1" applyFill="1" applyBorder="1" applyAlignment="1">
      <alignment vertical="top"/>
    </xf>
    <xf numFmtId="9" fontId="8" fillId="0" borderId="9" xfId="24" applyFont="1" applyFill="1" applyBorder="1"/>
    <xf numFmtId="170" fontId="8" fillId="0" borderId="0" xfId="24" applyNumberFormat="1" applyFont="1" applyFill="1" applyBorder="1" applyAlignment="1">
      <alignment horizontal="right"/>
    </xf>
    <xf numFmtId="170" fontId="8" fillId="0" borderId="12" xfId="24" applyNumberFormat="1" applyFont="1" applyFill="1" applyBorder="1" applyAlignment="1">
      <alignment horizontal="right"/>
    </xf>
    <xf numFmtId="9" fontId="4" fillId="0" borderId="0" xfId="24" applyFont="1" applyFill="1" applyBorder="1" applyAlignment="1"/>
    <xf numFmtId="9" fontId="4" fillId="0" borderId="0" xfId="24" applyFont="1" applyFill="1" applyBorder="1"/>
    <xf numFmtId="173" fontId="8" fillId="0" borderId="16" xfId="14" applyNumberFormat="1" applyFont="1" applyFill="1" applyBorder="1" applyAlignment="1" applyProtection="1">
      <alignment horizontal="right"/>
    </xf>
    <xf numFmtId="3" fontId="9" fillId="0" borderId="0" xfId="3" applyNumberFormat="1" applyFont="1" applyFill="1" applyBorder="1" applyAlignment="1">
      <alignment horizontal="right"/>
    </xf>
    <xf numFmtId="190" fontId="8" fillId="0" borderId="0" xfId="3" applyNumberFormat="1" applyFont="1" applyFill="1" applyBorder="1" applyAlignment="1">
      <alignment horizontal="right"/>
    </xf>
    <xf numFmtId="190" fontId="8" fillId="0" borderId="0" xfId="3" applyNumberFormat="1" applyFont="1" applyFill="1" applyBorder="1" applyAlignment="1"/>
    <xf numFmtId="165" fontId="8" fillId="0" borderId="0" xfId="3" applyNumberFormat="1" applyFont="1" applyFill="1" applyBorder="1" applyAlignment="1">
      <alignment vertical="top"/>
    </xf>
    <xf numFmtId="0" fontId="19" fillId="0" borderId="0" xfId="3" applyFont="1" applyFill="1" applyBorder="1" applyAlignment="1">
      <alignment horizontal="center"/>
    </xf>
    <xf numFmtId="173" fontId="19" fillId="0" borderId="0" xfId="3" applyNumberFormat="1" applyFont="1" applyFill="1" applyBorder="1" applyAlignment="1">
      <alignment horizontal="center"/>
    </xf>
    <xf numFmtId="0" fontId="9" fillId="0" borderId="4" xfId="3" applyFont="1" applyFill="1" applyBorder="1" applyAlignment="1">
      <alignment horizontal="right"/>
    </xf>
    <xf numFmtId="165" fontId="1" fillId="0" borderId="4" xfId="3" applyNumberFormat="1" applyFont="1" applyFill="1" applyBorder="1" applyAlignment="1">
      <alignment horizontal="right"/>
    </xf>
    <xf numFmtId="0" fontId="9" fillId="0" borderId="13" xfId="3" applyFont="1" applyFill="1" applyBorder="1"/>
    <xf numFmtId="165" fontId="0" fillId="0" borderId="4" xfId="3" applyNumberFormat="1" applyFont="1" applyFill="1" applyBorder="1" applyAlignment="1">
      <alignment horizontal="right"/>
    </xf>
    <xf numFmtId="165" fontId="0" fillId="0" borderId="0" xfId="3" applyNumberFormat="1" applyFont="1" applyFill="1" applyBorder="1" applyAlignment="1"/>
    <xf numFmtId="165" fontId="0" fillId="0" borderId="0" xfId="3" applyNumberFormat="1" applyFont="1" applyFill="1" applyBorder="1" applyAlignment="1">
      <alignment horizontal="right"/>
    </xf>
    <xf numFmtId="165" fontId="0" fillId="0" borderId="4" xfId="3" applyNumberFormat="1" applyFont="1" applyFill="1" applyBorder="1" applyAlignment="1"/>
    <xf numFmtId="165" fontId="5" fillId="0" borderId="0" xfId="3" applyNumberFormat="1" applyFont="1" applyFill="1" applyAlignment="1">
      <alignment vertical="top" wrapText="1"/>
    </xf>
    <xf numFmtId="165" fontId="9" fillId="0" borderId="0" xfId="3" applyNumberFormat="1" applyFont="1" applyFill="1" applyBorder="1" applyAlignment="1">
      <alignment vertical="top" wrapText="1"/>
    </xf>
    <xf numFmtId="0" fontId="9" fillId="0" borderId="5" xfId="3" applyFont="1" applyFill="1" applyBorder="1" applyAlignment="1">
      <alignment vertical="top" wrapText="1"/>
    </xf>
    <xf numFmtId="0" fontId="9" fillId="0" borderId="73" xfId="3" applyFont="1" applyFill="1" applyBorder="1" applyAlignment="1">
      <alignment horizontal="center" vertical="top" wrapText="1"/>
    </xf>
    <xf numFmtId="0" fontId="9" fillId="0" borderId="0" xfId="3" applyFont="1" applyFill="1" applyBorder="1" applyAlignment="1">
      <alignment horizontal="center" vertical="top" wrapText="1"/>
    </xf>
    <xf numFmtId="0" fontId="9" fillId="0" borderId="58" xfId="3" applyFont="1" applyFill="1" applyBorder="1" applyAlignment="1">
      <alignment horizontal="center" vertical="top" wrapText="1"/>
    </xf>
    <xf numFmtId="0" fontId="9" fillId="0" borderId="23" xfId="3" applyFont="1" applyFill="1" applyBorder="1" applyAlignment="1">
      <alignment horizontal="center" vertical="top" wrapText="1"/>
    </xf>
    <xf numFmtId="0" fontId="9" fillId="0" borderId="59" xfId="3" applyFont="1" applyFill="1" applyBorder="1" applyAlignment="1">
      <alignment horizontal="center" vertical="top" wrapText="1"/>
    </xf>
    <xf numFmtId="0" fontId="9" fillId="0" borderId="72" xfId="3" applyFont="1" applyFill="1" applyBorder="1" applyAlignment="1">
      <alignment horizontal="center" vertical="top" wrapText="1"/>
    </xf>
    <xf numFmtId="0" fontId="9" fillId="0" borderId="11" xfId="3" applyFont="1" applyFill="1" applyBorder="1" applyAlignment="1">
      <alignment horizontal="center" vertical="top" wrapText="1"/>
    </xf>
    <xf numFmtId="0" fontId="9" fillId="0" borderId="62" xfId="3" applyFont="1" applyFill="1" applyBorder="1" applyAlignment="1">
      <alignment horizontal="center" vertical="top" wrapText="1"/>
    </xf>
    <xf numFmtId="165" fontId="27" fillId="0" borderId="0" xfId="3" applyNumberFormat="1" applyFont="1" applyFill="1" applyAlignment="1">
      <alignment vertical="top" wrapText="1"/>
    </xf>
    <xf numFmtId="183" fontId="8" fillId="0" borderId="58" xfId="3" applyNumberFormat="1" applyFont="1" applyFill="1" applyBorder="1" applyAlignment="1">
      <alignment horizontal="right"/>
    </xf>
    <xf numFmtId="183" fontId="8" fillId="0" borderId="11" xfId="3" applyNumberFormat="1" applyFont="1" applyFill="1" applyBorder="1" applyAlignment="1">
      <alignment horizontal="right"/>
    </xf>
    <xf numFmtId="183" fontId="8" fillId="0" borderId="0" xfId="3" applyNumberFormat="1" applyFont="1" applyFill="1" applyBorder="1" applyAlignment="1">
      <alignment horizontal="right"/>
    </xf>
    <xf numFmtId="183" fontId="8" fillId="0" borderId="10" xfId="3" applyNumberFormat="1" applyFont="1" applyFill="1" applyBorder="1" applyAlignment="1">
      <alignment horizontal="right"/>
    </xf>
    <xf numFmtId="173" fontId="8" fillId="0" borderId="63" xfId="14" applyNumberFormat="1" applyFont="1" applyFill="1" applyBorder="1" applyAlignment="1" applyProtection="1">
      <alignment horizontal="right"/>
    </xf>
    <xf numFmtId="183" fontId="8" fillId="0" borderId="4" xfId="3" applyNumberFormat="1" applyFont="1" applyFill="1" applyBorder="1" applyAlignment="1">
      <alignment horizontal="right"/>
    </xf>
    <xf numFmtId="173" fontId="8" fillId="0" borderId="64" xfId="14" applyNumberFormat="1" applyFont="1" applyFill="1" applyBorder="1" applyAlignment="1" applyProtection="1">
      <alignment horizontal="right"/>
    </xf>
    <xf numFmtId="0" fontId="52" fillId="0" borderId="5" xfId="3" applyFont="1" applyFill="1" applyBorder="1"/>
    <xf numFmtId="183" fontId="52" fillId="0" borderId="23" xfId="3" applyNumberFormat="1" applyFont="1" applyFill="1" applyBorder="1" applyAlignment="1">
      <alignment horizontal="right"/>
    </xf>
    <xf numFmtId="173" fontId="52" fillId="0" borderId="23" xfId="14" applyNumberFormat="1" applyFont="1" applyFill="1" applyBorder="1" applyAlignment="1" applyProtection="1">
      <alignment horizontal="right"/>
    </xf>
    <xf numFmtId="183" fontId="8" fillId="0" borderId="23" xfId="3" applyNumberFormat="1" applyFont="1" applyFill="1" applyBorder="1" applyAlignment="1">
      <alignment horizontal="right"/>
    </xf>
    <xf numFmtId="183" fontId="8" fillId="0" borderId="59" xfId="3" applyNumberFormat="1" applyFont="1" applyFill="1" applyBorder="1" applyAlignment="1">
      <alignment horizontal="right"/>
    </xf>
    <xf numFmtId="183" fontId="8" fillId="0" borderId="72" xfId="3" applyNumberFormat="1" applyFont="1" applyFill="1" applyBorder="1" applyAlignment="1">
      <alignment horizontal="right"/>
    </xf>
    <xf numFmtId="173" fontId="52" fillId="0" borderId="0" xfId="14" applyNumberFormat="1" applyFont="1" applyFill="1" applyBorder="1" applyAlignment="1" applyProtection="1">
      <alignment horizontal="right"/>
    </xf>
    <xf numFmtId="183" fontId="8" fillId="0" borderId="24" xfId="3" applyNumberFormat="1" applyFont="1" applyFill="1" applyBorder="1" applyAlignment="1">
      <alignment horizontal="right"/>
    </xf>
    <xf numFmtId="0" fontId="52" fillId="0" borderId="13" xfId="3" applyFont="1" applyFill="1" applyBorder="1"/>
    <xf numFmtId="183" fontId="52" fillId="0" borderId="4" xfId="3" applyNumberFormat="1" applyFont="1" applyFill="1" applyBorder="1" applyAlignment="1">
      <alignment horizontal="right"/>
    </xf>
    <xf numFmtId="173" fontId="52" fillId="0" borderId="4" xfId="14" applyNumberFormat="1" applyFont="1" applyFill="1" applyBorder="1" applyAlignment="1" applyProtection="1">
      <alignment horizontal="right"/>
    </xf>
    <xf numFmtId="183" fontId="8" fillId="0" borderId="14" xfId="3" applyNumberFormat="1" applyFont="1" applyFill="1" applyBorder="1" applyAlignment="1">
      <alignment horizontal="right"/>
    </xf>
    <xf numFmtId="183" fontId="8" fillId="0" borderId="16" xfId="3" applyNumberFormat="1" applyFont="1" applyFill="1" applyBorder="1" applyAlignment="1">
      <alignment horizontal="right"/>
    </xf>
    <xf numFmtId="183" fontId="8" fillId="0" borderId="63" xfId="3" applyNumberFormat="1" applyFont="1" applyFill="1" applyBorder="1" applyAlignment="1">
      <alignment horizontal="right"/>
    </xf>
    <xf numFmtId="165" fontId="8" fillId="0" borderId="58" xfId="3" applyNumberFormat="1" applyFont="1" applyFill="1" applyBorder="1" applyAlignment="1">
      <alignment horizontal="right"/>
    </xf>
    <xf numFmtId="165" fontId="8" fillId="0" borderId="0" xfId="3" applyNumberFormat="1" applyFont="1" applyFill="1" applyBorder="1" applyAlignment="1">
      <alignment horizontal="right"/>
    </xf>
    <xf numFmtId="183" fontId="8" fillId="0" borderId="60" xfId="3" applyNumberFormat="1" applyFont="1" applyFill="1" applyBorder="1" applyAlignment="1">
      <alignment horizontal="right"/>
    </xf>
    <xf numFmtId="183" fontId="8" fillId="0" borderId="15" xfId="3" applyNumberFormat="1" applyFont="1" applyFill="1" applyBorder="1" applyAlignment="1">
      <alignment horizontal="right"/>
    </xf>
    <xf numFmtId="183" fontId="8" fillId="0" borderId="64" xfId="3" applyNumberFormat="1" applyFont="1" applyFill="1" applyBorder="1" applyAlignment="1">
      <alignment horizontal="right"/>
    </xf>
    <xf numFmtId="183" fontId="8" fillId="0" borderId="57" xfId="3" applyNumberFormat="1" applyFont="1" applyFill="1" applyBorder="1" applyAlignment="1">
      <alignment horizontal="right"/>
    </xf>
    <xf numFmtId="183" fontId="8" fillId="0" borderId="18" xfId="3" applyNumberFormat="1" applyFont="1" applyFill="1" applyBorder="1" applyAlignment="1">
      <alignment horizontal="right"/>
    </xf>
    <xf numFmtId="0" fontId="1" fillId="0" borderId="9" xfId="3" applyFont="1" applyFill="1" applyBorder="1" applyAlignment="1"/>
    <xf numFmtId="170" fontId="8" fillId="0" borderId="0" xfId="24" applyNumberFormat="1" applyFont="1" applyFill="1" applyBorder="1" applyAlignment="1"/>
    <xf numFmtId="0" fontId="4" fillId="0" borderId="23" xfId="15" applyFill="1" applyBorder="1"/>
    <xf numFmtId="183" fontId="8" fillId="0" borderId="73" xfId="3" applyNumberFormat="1" applyFont="1" applyFill="1" applyBorder="1" applyAlignment="1">
      <alignment horizontal="right"/>
    </xf>
    <xf numFmtId="0" fontId="9" fillId="0" borderId="90" xfId="3" applyFont="1" applyFill="1" applyBorder="1"/>
    <xf numFmtId="183" fontId="8" fillId="0" borderId="61" xfId="3" applyNumberFormat="1" applyFont="1" applyFill="1" applyBorder="1" applyAlignment="1">
      <alignment horizontal="right"/>
    </xf>
    <xf numFmtId="183" fontId="9" fillId="0" borderId="0" xfId="3" applyNumberFormat="1" applyFont="1" applyFill="1" applyBorder="1" applyAlignment="1">
      <alignment horizontal="right"/>
    </xf>
    <xf numFmtId="0" fontId="1" fillId="0" borderId="0" xfId="3" applyFont="1" applyFill="1" applyBorder="1" applyAlignment="1">
      <alignment vertical="top"/>
    </xf>
    <xf numFmtId="0" fontId="4" fillId="0" borderId="0" xfId="3" applyFont="1" applyFill="1" applyBorder="1"/>
    <xf numFmtId="0" fontId="1" fillId="0" borderId="5" xfId="3" applyFont="1" applyFill="1" applyBorder="1"/>
    <xf numFmtId="0" fontId="1" fillId="0" borderId="23" xfId="3" applyFont="1" applyFill="1" applyBorder="1"/>
    <xf numFmtId="17" fontId="9" fillId="0" borderId="23" xfId="3" quotePrefix="1" applyNumberFormat="1" applyFont="1" applyFill="1" applyBorder="1" applyAlignment="1">
      <alignment horizontal="right" wrapText="1"/>
    </xf>
    <xf numFmtId="17" fontId="9" fillId="0" borderId="24" xfId="3" quotePrefix="1" applyNumberFormat="1" applyFont="1" applyFill="1" applyBorder="1" applyAlignment="1">
      <alignment horizontal="right" wrapText="1"/>
    </xf>
    <xf numFmtId="0" fontId="8" fillId="0" borderId="9" xfId="3" applyFont="1" applyFill="1" applyBorder="1" applyAlignment="1">
      <alignment wrapText="1"/>
    </xf>
    <xf numFmtId="3" fontId="17" fillId="0" borderId="0" xfId="3" applyNumberFormat="1" applyFont="1" applyFill="1" applyBorder="1" applyAlignment="1"/>
    <xf numFmtId="3" fontId="17" fillId="0" borderId="12" xfId="3" applyNumberFormat="1" applyFont="1" applyFill="1" applyBorder="1" applyAlignment="1"/>
    <xf numFmtId="0" fontId="8" fillId="0" borderId="13" xfId="3" applyFont="1" applyFill="1" applyBorder="1" applyAlignment="1">
      <alignment wrapText="1"/>
    </xf>
    <xf numFmtId="0" fontId="1" fillId="0" borderId="4" xfId="3" applyFont="1" applyFill="1" applyBorder="1"/>
    <xf numFmtId="170" fontId="8" fillId="0" borderId="4" xfId="3" applyNumberFormat="1" applyFont="1" applyFill="1" applyBorder="1" applyAlignment="1">
      <alignment horizontal="right"/>
    </xf>
    <xf numFmtId="170" fontId="17" fillId="0" borderId="4" xfId="3" applyNumberFormat="1" applyFont="1" applyFill="1" applyBorder="1" applyAlignment="1"/>
    <xf numFmtId="170" fontId="17" fillId="0" borderId="16" xfId="3" applyNumberFormat="1" applyFont="1" applyFill="1" applyBorder="1" applyAlignment="1"/>
    <xf numFmtId="0" fontId="4" fillId="0" borderId="0" xfId="3" applyFont="1" applyFill="1" applyBorder="1" applyAlignment="1">
      <alignment horizontal="right"/>
    </xf>
    <xf numFmtId="165" fontId="1" fillId="0" borderId="0" xfId="3" applyNumberFormat="1" applyFont="1" applyFill="1" applyBorder="1" applyAlignment="1">
      <alignment horizontal="right"/>
    </xf>
    <xf numFmtId="191" fontId="8" fillId="0" borderId="0" xfId="25" applyNumberFormat="1" applyFont="1" applyFill="1" applyBorder="1" applyAlignment="1" applyProtection="1">
      <alignment horizontal="right" vertical="center" shrinkToFit="1"/>
      <protection hidden="1"/>
    </xf>
    <xf numFmtId="0" fontId="9" fillId="0" borderId="0" xfId="3" applyFont="1" applyFill="1" applyBorder="1" applyAlignment="1">
      <alignment vertical="top" wrapText="1"/>
    </xf>
    <xf numFmtId="0" fontId="9" fillId="0" borderId="0" xfId="3" quotePrefix="1" applyFont="1" applyFill="1" applyBorder="1" applyAlignment="1">
      <alignment horizontal="center" vertical="top" wrapText="1"/>
    </xf>
    <xf numFmtId="165" fontId="8" fillId="0" borderId="0" xfId="3" applyNumberFormat="1" applyFont="1" applyFill="1" applyBorder="1"/>
    <xf numFmtId="0" fontId="9" fillId="0" borderId="0" xfId="3" applyFont="1" applyFill="1" applyBorder="1" applyAlignment="1">
      <alignment vertical="top"/>
    </xf>
    <xf numFmtId="190" fontId="8" fillId="0" borderId="0" xfId="24" applyNumberFormat="1" applyFont="1" applyFill="1" applyBorder="1"/>
    <xf numFmtId="190" fontId="8" fillId="0" borderId="0" xfId="3" applyNumberFormat="1" applyFont="1" applyFill="1" applyBorder="1"/>
    <xf numFmtId="190" fontId="8" fillId="0" borderId="0" xfId="24" applyNumberFormat="1" applyFont="1" applyFill="1" applyBorder="1" applyAlignment="1"/>
    <xf numFmtId="165" fontId="8" fillId="0" borderId="0" xfId="3" applyNumberFormat="1" applyFont="1" applyFill="1" applyBorder="1" applyAlignment="1">
      <alignment vertical="top" wrapText="1"/>
    </xf>
    <xf numFmtId="170" fontId="8" fillId="0" borderId="0" xfId="24" applyNumberFormat="1" applyFont="1" applyFill="1" applyBorder="1"/>
    <xf numFmtId="165" fontId="8" fillId="0" borderId="0" xfId="3" applyNumberFormat="1" applyFont="1" applyFill="1" applyBorder="1" applyAlignment="1"/>
    <xf numFmtId="17" fontId="9" fillId="0" borderId="0" xfId="3" applyNumberFormat="1" applyFont="1" applyFill="1" applyBorder="1"/>
    <xf numFmtId="0" fontId="9" fillId="0" borderId="0" xfId="3" applyNumberFormat="1" applyFont="1" applyFill="1" applyBorder="1" applyAlignment="1">
      <alignment horizontal="center"/>
    </xf>
    <xf numFmtId="0" fontId="8" fillId="0" borderId="0" xfId="3" applyFont="1" applyFill="1" applyBorder="1" applyAlignment="1">
      <alignment horizontal="center"/>
    </xf>
    <xf numFmtId="3" fontId="8" fillId="0" borderId="0" xfId="3" applyNumberFormat="1" applyFont="1" applyFill="1" applyBorder="1" applyAlignment="1">
      <alignment horizontal="center"/>
    </xf>
    <xf numFmtId="170" fontId="8" fillId="0" borderId="0" xfId="24" applyNumberFormat="1" applyFont="1" applyFill="1" applyBorder="1" applyAlignment="1">
      <alignment horizontal="center"/>
    </xf>
    <xf numFmtId="165" fontId="8" fillId="0" borderId="0" xfId="3" applyNumberFormat="1" applyFont="1" applyFill="1" applyBorder="1" applyAlignment="1">
      <alignment wrapText="1"/>
    </xf>
    <xf numFmtId="0" fontId="23" fillId="0" borderId="0" xfId="15" applyFont="1" applyFill="1"/>
    <xf numFmtId="0" fontId="14" fillId="0" borderId="0" xfId="15" applyFont="1" applyFill="1"/>
    <xf numFmtId="0" fontId="5" fillId="0" borderId="0" xfId="15" applyFont="1" applyFill="1"/>
    <xf numFmtId="0" fontId="31" fillId="0" borderId="0" xfId="15" applyFont="1" applyFill="1"/>
    <xf numFmtId="0" fontId="19" fillId="0" borderId="0" xfId="15" applyFont="1" applyFill="1"/>
    <xf numFmtId="0" fontId="5" fillId="0" borderId="0" xfId="15" applyFont="1" applyFill="1" applyBorder="1"/>
    <xf numFmtId="0" fontId="8" fillId="0" borderId="0" xfId="15" applyFont="1" applyFill="1"/>
    <xf numFmtId="0" fontId="9" fillId="0" borderId="0" xfId="15" applyFont="1" applyFill="1" applyBorder="1" applyAlignment="1">
      <alignment horizontal="left"/>
    </xf>
    <xf numFmtId="0" fontId="9" fillId="0" borderId="0" xfId="15" applyFont="1" applyFill="1" applyBorder="1" applyAlignment="1"/>
    <xf numFmtId="0" fontId="27" fillId="0" borderId="0" xfId="15" applyFont="1" applyFill="1" applyBorder="1" applyAlignment="1"/>
    <xf numFmtId="0" fontId="7" fillId="0" borderId="0" xfId="15" applyFont="1" applyFill="1"/>
    <xf numFmtId="0" fontId="9" fillId="0" borderId="5" xfId="15" applyFont="1" applyFill="1" applyBorder="1" applyAlignment="1">
      <alignment horizontal="left"/>
    </xf>
    <xf numFmtId="0" fontId="9" fillId="0" borderId="23" xfId="15" applyFont="1" applyFill="1" applyBorder="1" applyAlignment="1">
      <alignment horizontal="right"/>
    </xf>
    <xf numFmtId="0" fontId="9" fillId="0" borderId="24" xfId="15" applyFont="1" applyFill="1" applyBorder="1" applyAlignment="1">
      <alignment horizontal="right"/>
    </xf>
    <xf numFmtId="0" fontId="9" fillId="0" borderId="0" xfId="15" applyFont="1" applyFill="1" applyBorder="1" applyAlignment="1">
      <alignment horizontal="right"/>
    </xf>
    <xf numFmtId="0" fontId="8" fillId="0" borderId="9" xfId="15" applyFont="1" applyFill="1" applyBorder="1" applyAlignment="1">
      <alignment horizontal="left"/>
    </xf>
    <xf numFmtId="192" fontId="8" fillId="0" borderId="0" xfId="15" applyNumberFormat="1" applyFont="1" applyFill="1" applyBorder="1" applyAlignment="1">
      <alignment horizontal="right"/>
    </xf>
    <xf numFmtId="192" fontId="8" fillId="0" borderId="12" xfId="15" applyNumberFormat="1" applyFont="1" applyFill="1" applyBorder="1" applyAlignment="1">
      <alignment horizontal="right"/>
    </xf>
    <xf numFmtId="0" fontId="9" fillId="0" borderId="9" xfId="15" applyFont="1" applyFill="1" applyBorder="1" applyAlignment="1">
      <alignment horizontal="left"/>
    </xf>
    <xf numFmtId="192" fontId="9" fillId="0" borderId="0" xfId="15" applyNumberFormat="1" applyFont="1" applyFill="1" applyBorder="1" applyAlignment="1">
      <alignment horizontal="right"/>
    </xf>
    <xf numFmtId="192" fontId="9" fillId="0" borderId="12" xfId="15" applyNumberFormat="1" applyFont="1" applyFill="1" applyBorder="1" applyAlignment="1">
      <alignment horizontal="right"/>
    </xf>
    <xf numFmtId="0" fontId="19" fillId="0" borderId="0" xfId="15" applyFont="1" applyFill="1" applyBorder="1"/>
    <xf numFmtId="0" fontId="8" fillId="0" borderId="13" xfId="15" applyFont="1" applyFill="1" applyBorder="1" applyAlignment="1">
      <alignment horizontal="left"/>
    </xf>
    <xf numFmtId="0" fontId="8" fillId="0" borderId="4" xfId="2" applyNumberFormat="1" applyFont="1" applyFill="1" applyBorder="1" applyAlignment="1">
      <alignment horizontal="right"/>
    </xf>
    <xf numFmtId="0" fontId="8" fillId="0" borderId="4" xfId="15" applyNumberFormat="1" applyFont="1" applyFill="1" applyBorder="1" applyAlignment="1">
      <alignment horizontal="right"/>
    </xf>
    <xf numFmtId="166" fontId="8" fillId="0" borderId="4" xfId="2" applyNumberFormat="1" applyFont="1" applyFill="1" applyBorder="1" applyAlignment="1">
      <alignment horizontal="right"/>
    </xf>
    <xf numFmtId="0" fontId="8" fillId="0" borderId="16" xfId="2" applyNumberFormat="1" applyFont="1" applyFill="1" applyBorder="1" applyAlignment="1">
      <alignment horizontal="right"/>
    </xf>
    <xf numFmtId="0" fontId="8" fillId="0" borderId="0" xfId="2" applyNumberFormat="1" applyFont="1" applyFill="1" applyBorder="1" applyAlignment="1">
      <alignment horizontal="right"/>
    </xf>
    <xf numFmtId="0" fontId="8" fillId="0" borderId="0" xfId="15" applyFont="1" applyFill="1" applyBorder="1" applyAlignment="1">
      <alignment horizontal="left"/>
    </xf>
    <xf numFmtId="0" fontId="19" fillId="0" borderId="0" xfId="15" applyFont="1" applyFill="1" applyBorder="1" applyAlignment="1">
      <alignment horizontal="left"/>
    </xf>
    <xf numFmtId="0" fontId="9" fillId="0" borderId="5" xfId="15" applyFont="1" applyFill="1" applyBorder="1"/>
    <xf numFmtId="0" fontId="9" fillId="0" borderId="56" xfId="15" applyFont="1" applyFill="1" applyBorder="1" applyAlignment="1">
      <alignment horizontal="right"/>
    </xf>
    <xf numFmtId="0" fontId="9" fillId="0" borderId="56" xfId="15" quotePrefix="1" applyFont="1" applyFill="1" applyBorder="1" applyAlignment="1">
      <alignment horizontal="right"/>
    </xf>
    <xf numFmtId="0" fontId="9" fillId="0" borderId="61" xfId="15" quotePrefix="1" applyFont="1" applyFill="1" applyBorder="1" applyAlignment="1">
      <alignment horizontal="right"/>
    </xf>
    <xf numFmtId="0" fontId="8" fillId="0" borderId="9" xfId="15" applyFont="1" applyFill="1" applyBorder="1"/>
    <xf numFmtId="191" fontId="8" fillId="0" borderId="11" xfId="26" applyNumberFormat="1" applyFont="1" applyFill="1" applyBorder="1" applyAlignment="1">
      <alignment horizontal="right"/>
    </xf>
    <xf numFmtId="191" fontId="8" fillId="0" borderId="11" xfId="26" applyNumberFormat="1" applyFont="1" applyFill="1" applyBorder="1"/>
    <xf numFmtId="191" fontId="8" fillId="0" borderId="63" xfId="26" applyNumberFormat="1" applyFont="1" applyFill="1" applyBorder="1"/>
    <xf numFmtId="0" fontId="8" fillId="0" borderId="29" xfId="15" applyFont="1" applyFill="1" applyBorder="1"/>
    <xf numFmtId="173" fontId="8" fillId="0" borderId="7" xfId="14" applyNumberFormat="1" applyFont="1" applyFill="1" applyBorder="1" applyAlignment="1" applyProtection="1">
      <alignment horizontal="right"/>
    </xf>
    <xf numFmtId="3" fontId="8" fillId="0" borderId="7" xfId="14" applyNumberFormat="1" applyFont="1" applyFill="1" applyBorder="1" applyAlignment="1" applyProtection="1">
      <alignment horizontal="right"/>
    </xf>
    <xf numFmtId="3" fontId="8" fillId="0" borderId="11" xfId="15" applyNumberFormat="1" applyFont="1" applyFill="1" applyBorder="1"/>
    <xf numFmtId="3" fontId="8" fillId="0" borderId="63" xfId="15" applyNumberFormat="1" applyFont="1" applyFill="1" applyBorder="1"/>
    <xf numFmtId="0" fontId="9" fillId="0" borderId="29" xfId="15" applyFont="1" applyFill="1" applyBorder="1"/>
    <xf numFmtId="3" fontId="8" fillId="0" borderId="81" xfId="14" applyNumberFormat="1" applyFont="1" applyFill="1" applyBorder="1" applyAlignment="1" applyProtection="1">
      <alignment horizontal="right"/>
    </xf>
    <xf numFmtId="3" fontId="8" fillId="0" borderId="74" xfId="14" applyNumberFormat="1" applyFont="1" applyFill="1" applyBorder="1" applyAlignment="1" applyProtection="1">
      <alignment horizontal="right"/>
    </xf>
    <xf numFmtId="0" fontId="8" fillId="0" borderId="35" xfId="15" applyFont="1" applyFill="1" applyBorder="1" applyAlignment="1">
      <alignment wrapText="1"/>
    </xf>
    <xf numFmtId="170" fontId="8" fillId="0" borderId="63" xfId="15" applyNumberFormat="1" applyFont="1" applyFill="1" applyBorder="1"/>
    <xf numFmtId="0" fontId="9" fillId="0" borderId="17" xfId="15" applyFont="1" applyFill="1" applyBorder="1"/>
    <xf numFmtId="3" fontId="9" fillId="0" borderId="56" xfId="15" applyNumberFormat="1" applyFont="1" applyFill="1" applyBorder="1" applyAlignment="1">
      <alignment horizontal="right"/>
    </xf>
    <xf numFmtId="3" fontId="9" fillId="0" borderId="61" xfId="15" applyNumberFormat="1" applyFont="1" applyFill="1" applyBorder="1" applyAlignment="1">
      <alignment horizontal="right"/>
    </xf>
    <xf numFmtId="0" fontId="9" fillId="0" borderId="0" xfId="15" applyFont="1" applyFill="1" applyBorder="1"/>
    <xf numFmtId="3" fontId="9" fillId="0" borderId="0" xfId="15" applyNumberFormat="1" applyFont="1" applyFill="1" applyBorder="1" applyAlignment="1">
      <alignment horizontal="right"/>
    </xf>
    <xf numFmtId="0" fontId="8" fillId="0" borderId="0" xfId="15" applyFont="1" applyFill="1" applyBorder="1" applyAlignment="1">
      <alignment horizontal="left" wrapText="1"/>
    </xf>
    <xf numFmtId="0" fontId="9" fillId="0" borderId="13" xfId="15" applyFont="1" applyFill="1" applyBorder="1" applyAlignment="1">
      <alignment horizontal="left"/>
    </xf>
    <xf numFmtId="0" fontId="9" fillId="0" borderId="4" xfId="15" applyFont="1" applyFill="1" applyBorder="1" applyAlignment="1"/>
    <xf numFmtId="0" fontId="27" fillId="0" borderId="4" xfId="15" applyFont="1" applyFill="1" applyBorder="1" applyAlignment="1"/>
    <xf numFmtId="0" fontId="0" fillId="0" borderId="0" xfId="0" applyFill="1"/>
    <xf numFmtId="0" fontId="19" fillId="0" borderId="0" xfId="15" applyFont="1" applyFill="1" applyAlignment="1">
      <alignment horizontal="left"/>
    </xf>
    <xf numFmtId="0" fontId="84" fillId="0" borderId="0" xfId="15" applyFont="1" applyFill="1"/>
    <xf numFmtId="0" fontId="9" fillId="0" borderId="61" xfId="15" applyFont="1" applyFill="1" applyBorder="1" applyAlignment="1">
      <alignment horizontal="right"/>
    </xf>
    <xf numFmtId="0" fontId="8" fillId="0" borderId="9" xfId="15" applyFont="1" applyFill="1" applyBorder="1" applyAlignment="1"/>
    <xf numFmtId="0" fontId="8" fillId="0" borderId="0" xfId="15" applyFont="1" applyFill="1" applyBorder="1" applyAlignment="1"/>
    <xf numFmtId="0" fontId="8" fillId="0" borderId="0" xfId="15" applyFont="1" applyFill="1" applyBorder="1" applyAlignment="1">
      <alignment horizontal="right"/>
    </xf>
    <xf numFmtId="0" fontId="8" fillId="0" borderId="11" xfId="15" applyFont="1" applyFill="1" applyBorder="1" applyAlignment="1">
      <alignment horizontal="right"/>
    </xf>
    <xf numFmtId="3" fontId="8" fillId="0" borderId="11" xfId="15" applyNumberFormat="1" applyFont="1" applyFill="1" applyBorder="1" applyAlignment="1">
      <alignment horizontal="right"/>
    </xf>
    <xf numFmtId="3" fontId="8" fillId="0" borderId="63" xfId="15" applyNumberFormat="1" applyFont="1" applyFill="1" applyBorder="1" applyAlignment="1">
      <alignment horizontal="right"/>
    </xf>
    <xf numFmtId="0" fontId="8" fillId="0" borderId="45" xfId="15" applyFont="1" applyFill="1" applyBorder="1" applyAlignment="1">
      <alignment wrapText="1"/>
    </xf>
    <xf numFmtId="1" fontId="8" fillId="0" borderId="79" xfId="15" applyNumberFormat="1" applyFont="1" applyFill="1" applyBorder="1" applyAlignment="1">
      <alignment horizontal="right"/>
    </xf>
    <xf numFmtId="1" fontId="8" fillId="0" borderId="80" xfId="15" applyNumberFormat="1" applyFont="1" applyFill="1" applyBorder="1" applyAlignment="1">
      <alignment horizontal="right"/>
    </xf>
    <xf numFmtId="1" fontId="8" fillId="0" borderId="0" xfId="15" applyNumberFormat="1" applyFont="1" applyFill="1" applyBorder="1" applyAlignment="1">
      <alignment horizontal="right"/>
    </xf>
    <xf numFmtId="1" fontId="8" fillId="0" borderId="11" xfId="15" applyNumberFormat="1" applyFont="1" applyFill="1" applyBorder="1" applyAlignment="1">
      <alignment horizontal="right"/>
    </xf>
    <xf numFmtId="1" fontId="8" fillId="0" borderId="63" xfId="15" applyNumberFormat="1" applyFont="1" applyFill="1" applyBorder="1" applyAlignment="1">
      <alignment horizontal="right"/>
    </xf>
    <xf numFmtId="1" fontId="8" fillId="0" borderId="21" xfId="15" applyNumberFormat="1" applyFont="1" applyFill="1" applyBorder="1" applyAlignment="1">
      <alignment horizontal="right"/>
    </xf>
    <xf numFmtId="1" fontId="8" fillId="0" borderId="7" xfId="15" applyNumberFormat="1" applyFont="1" applyFill="1" applyBorder="1" applyAlignment="1">
      <alignment horizontal="right"/>
    </xf>
    <xf numFmtId="1" fontId="8" fillId="0" borderId="71" xfId="15" applyNumberFormat="1" applyFont="1" applyFill="1" applyBorder="1" applyAlignment="1">
      <alignment horizontal="right"/>
    </xf>
    <xf numFmtId="0" fontId="9" fillId="0" borderId="38" xfId="15" applyFont="1" applyFill="1" applyBorder="1" applyAlignment="1">
      <alignment horizontal="left"/>
    </xf>
    <xf numFmtId="1" fontId="9" fillId="0" borderId="41" xfId="15" applyNumberFormat="1" applyFont="1" applyFill="1" applyBorder="1" applyAlignment="1">
      <alignment horizontal="right"/>
    </xf>
    <xf numFmtId="1" fontId="9" fillId="0" borderId="77" xfId="15" applyNumberFormat="1" applyFont="1" applyFill="1" applyBorder="1" applyAlignment="1">
      <alignment horizontal="right"/>
    </xf>
    <xf numFmtId="1" fontId="9" fillId="0" borderId="78" xfId="15" applyNumberFormat="1" applyFont="1" applyFill="1" applyBorder="1" applyAlignment="1">
      <alignment horizontal="right"/>
    </xf>
    <xf numFmtId="170" fontId="8" fillId="0" borderId="0" xfId="17" applyNumberFormat="1" applyFont="1" applyFill="1" applyBorder="1" applyAlignment="1">
      <alignment horizontal="right"/>
    </xf>
    <xf numFmtId="170" fontId="8" fillId="0" borderId="7" xfId="17" applyNumberFormat="1" applyFont="1" applyFill="1" applyBorder="1" applyAlignment="1">
      <alignment horizontal="right"/>
    </xf>
    <xf numFmtId="170" fontId="8" fillId="0" borderId="71" xfId="17" applyNumberFormat="1" applyFont="1" applyFill="1" applyBorder="1" applyAlignment="1">
      <alignment horizontal="right"/>
    </xf>
    <xf numFmtId="170" fontId="9" fillId="0" borderId="0" xfId="17" applyNumberFormat="1" applyFont="1" applyFill="1" applyBorder="1" applyAlignment="1">
      <alignment horizontal="left"/>
    </xf>
    <xf numFmtId="170" fontId="9" fillId="0" borderId="0" xfId="17" applyNumberFormat="1" applyFont="1" applyFill="1" applyBorder="1" applyAlignment="1">
      <alignment horizontal="right"/>
    </xf>
    <xf numFmtId="170" fontId="85" fillId="0" borderId="0" xfId="17" applyNumberFormat="1" applyFont="1" applyFill="1" applyBorder="1" applyAlignment="1">
      <alignment horizontal="right"/>
    </xf>
    <xf numFmtId="0" fontId="8" fillId="0" borderId="91" xfId="15" applyFont="1" applyFill="1" applyBorder="1" applyAlignment="1">
      <alignment horizontal="left"/>
    </xf>
    <xf numFmtId="0" fontId="8" fillId="0" borderId="67" xfId="15" applyFont="1" applyFill="1" applyBorder="1" applyAlignment="1">
      <alignment horizontal="left"/>
    </xf>
    <xf numFmtId="0" fontId="9" fillId="0" borderId="21" xfId="17" applyNumberFormat="1" applyFont="1" applyFill="1" applyBorder="1" applyAlignment="1">
      <alignment horizontal="right"/>
    </xf>
    <xf numFmtId="0" fontId="9" fillId="0" borderId="42" xfId="17" applyNumberFormat="1" applyFont="1" applyFill="1" applyBorder="1" applyAlignment="1">
      <alignment horizontal="right"/>
    </xf>
    <xf numFmtId="0" fontId="9" fillId="0" borderId="20" xfId="17" applyNumberFormat="1" applyFont="1" applyFill="1" applyBorder="1" applyAlignment="1">
      <alignment horizontal="right"/>
    </xf>
    <xf numFmtId="0" fontId="9" fillId="0" borderId="67" xfId="15" applyFont="1" applyFill="1" applyBorder="1" applyAlignment="1">
      <alignment horizontal="left"/>
    </xf>
    <xf numFmtId="0" fontId="8" fillId="0" borderId="12" xfId="17" applyNumberFormat="1" applyFont="1" applyFill="1" applyBorder="1" applyAlignment="1">
      <alignment horizontal="right"/>
    </xf>
    <xf numFmtId="0" fontId="8" fillId="0" borderId="58" xfId="17" applyNumberFormat="1" applyFont="1" applyFill="1" applyBorder="1" applyAlignment="1">
      <alignment horizontal="right"/>
    </xf>
    <xf numFmtId="0" fontId="9" fillId="0" borderId="26" xfId="15" applyFont="1" applyFill="1" applyBorder="1" applyAlignment="1">
      <alignment horizontal="left"/>
    </xf>
    <xf numFmtId="0" fontId="8" fillId="0" borderId="4" xfId="17" applyNumberFormat="1" applyFont="1" applyFill="1" applyBorder="1" applyAlignment="1">
      <alignment horizontal="right"/>
    </xf>
    <xf numFmtId="0" fontId="8" fillId="0" borderId="16" xfId="17" applyNumberFormat="1" applyFont="1" applyFill="1" applyBorder="1" applyAlignment="1">
      <alignment horizontal="right"/>
    </xf>
    <xf numFmtId="0" fontId="8" fillId="0" borderId="60" xfId="17" applyNumberFormat="1" applyFont="1" applyFill="1" applyBorder="1" applyAlignment="1">
      <alignment horizontal="right"/>
    </xf>
    <xf numFmtId="0" fontId="8" fillId="0" borderId="13" xfId="17" applyNumberFormat="1" applyFont="1" applyFill="1" applyBorder="1" applyAlignment="1">
      <alignment horizontal="right"/>
    </xf>
    <xf numFmtId="0" fontId="5" fillId="0" borderId="0" xfId="15" applyFont="1" applyFill="1" applyAlignment="1">
      <alignment vertical="top" wrapText="1"/>
    </xf>
    <xf numFmtId="0" fontId="5" fillId="0" borderId="0" xfId="15" applyFont="1" applyFill="1" applyAlignment="1">
      <alignment vertical="top"/>
    </xf>
    <xf numFmtId="0" fontId="5" fillId="0" borderId="0" xfId="15" applyFont="1" applyFill="1" applyAlignment="1"/>
    <xf numFmtId="0" fontId="30" fillId="0" borderId="0" xfId="15" applyFont="1" applyFill="1" applyBorder="1"/>
    <xf numFmtId="0" fontId="30" fillId="0" borderId="0" xfId="17" applyNumberFormat="1" applyFont="1" applyFill="1" applyBorder="1"/>
    <xf numFmtId="168" fontId="19" fillId="0" borderId="0" xfId="15" applyNumberFormat="1" applyFont="1" applyFill="1" applyBorder="1"/>
    <xf numFmtId="0" fontId="19" fillId="0" borderId="0" xfId="15" applyFont="1" applyFill="1" applyBorder="1" applyAlignment="1">
      <alignment wrapText="1"/>
    </xf>
    <xf numFmtId="165" fontId="19" fillId="0" borderId="0" xfId="15" applyNumberFormat="1" applyFont="1" applyFill="1" applyBorder="1"/>
    <xf numFmtId="2" fontId="19" fillId="0" borderId="0" xfId="17" applyNumberFormat="1" applyFont="1" applyFill="1" applyBorder="1"/>
    <xf numFmtId="166" fontId="8" fillId="0" borderId="0" xfId="3" applyNumberFormat="1" applyFont="1" applyFill="1" applyAlignment="1">
      <alignment horizontal="right"/>
    </xf>
    <xf numFmtId="166" fontId="8" fillId="0" borderId="0" xfId="3" applyNumberFormat="1" applyFont="1" applyFill="1" applyBorder="1" applyAlignment="1">
      <alignment horizontal="right"/>
    </xf>
    <xf numFmtId="0" fontId="9" fillId="0" borderId="56" xfId="3" applyFont="1" applyFill="1" applyBorder="1"/>
    <xf numFmtId="0" fontId="8" fillId="0" borderId="9" xfId="3" applyFont="1" applyFill="1" applyBorder="1" applyAlignment="1" applyProtection="1">
      <alignment wrapText="1"/>
      <protection locked="0"/>
    </xf>
    <xf numFmtId="166" fontId="8" fillId="0" borderId="11" xfId="3" applyNumberFormat="1" applyFont="1" applyFill="1" applyBorder="1" applyAlignment="1">
      <alignment horizontal="right"/>
    </xf>
    <xf numFmtId="0" fontId="17" fillId="0" borderId="63" xfId="3" applyFont="1" applyFill="1" applyBorder="1" applyProtection="1"/>
    <xf numFmtId="166" fontId="8" fillId="0" borderId="7" xfId="3" applyNumberFormat="1" applyFont="1" applyFill="1" applyBorder="1" applyAlignment="1">
      <alignment horizontal="right"/>
    </xf>
    <xf numFmtId="0" fontId="17" fillId="0" borderId="71" xfId="3" applyFont="1" applyFill="1" applyBorder="1" applyProtection="1"/>
    <xf numFmtId="0" fontId="8" fillId="0" borderId="47" xfId="3" applyFont="1" applyFill="1" applyBorder="1" applyAlignment="1" applyProtection="1">
      <alignment wrapText="1"/>
      <protection locked="0"/>
    </xf>
    <xf numFmtId="166" fontId="8" fillId="0" borderId="45" xfId="3" applyNumberFormat="1" applyFont="1" applyFill="1" applyBorder="1"/>
    <xf numFmtId="166" fontId="8" fillId="0" borderId="79" xfId="3" applyNumberFormat="1" applyFont="1" applyFill="1" applyBorder="1"/>
    <xf numFmtId="166" fontId="8" fillId="0" borderId="79" xfId="3" applyNumberFormat="1" applyFont="1" applyFill="1" applyBorder="1" applyAlignment="1">
      <alignment horizontal="right"/>
    </xf>
    <xf numFmtId="0" fontId="0" fillId="0" borderId="80" xfId="3" applyFont="1" applyFill="1" applyBorder="1" applyProtection="1"/>
    <xf numFmtId="166" fontId="8" fillId="0" borderId="11" xfId="3" applyNumberFormat="1" applyFont="1" applyFill="1" applyBorder="1"/>
    <xf numFmtId="0" fontId="0" fillId="0" borderId="63" xfId="3" applyFont="1" applyFill="1" applyBorder="1" applyProtection="1"/>
    <xf numFmtId="0" fontId="8" fillId="0" borderId="13" xfId="3" applyFont="1" applyFill="1" applyBorder="1" applyAlignment="1" applyProtection="1">
      <alignment wrapText="1"/>
      <protection locked="0"/>
    </xf>
    <xf numFmtId="166" fontId="8" fillId="0" borderId="4" xfId="3" applyNumberFormat="1" applyFont="1" applyFill="1" applyBorder="1"/>
    <xf numFmtId="166" fontId="8" fillId="0" borderId="15" xfId="3" applyNumberFormat="1" applyFont="1" applyFill="1" applyBorder="1"/>
    <xf numFmtId="166" fontId="8" fillId="0" borderId="15" xfId="3" applyNumberFormat="1" applyFont="1" applyFill="1" applyBorder="1" applyAlignment="1">
      <alignment horizontal="right"/>
    </xf>
    <xf numFmtId="0" fontId="0" fillId="0" borderId="64" xfId="3" applyFont="1" applyFill="1" applyBorder="1" applyProtection="1"/>
    <xf numFmtId="0" fontId="8" fillId="3" borderId="0" xfId="3" applyFont="1" applyFill="1" applyBorder="1" applyAlignment="1" applyProtection="1">
      <alignment wrapText="1"/>
      <protection locked="0"/>
    </xf>
    <xf numFmtId="166" fontId="8" fillId="3" borderId="0" xfId="3" applyNumberFormat="1" applyFont="1" applyFill="1" applyBorder="1" applyAlignment="1">
      <alignment horizontal="right"/>
    </xf>
    <xf numFmtId="0" fontId="9" fillId="0" borderId="25" xfId="3" applyFont="1" applyFill="1" applyBorder="1"/>
    <xf numFmtId="0" fontId="8" fillId="0" borderId="9" xfId="3" applyFont="1" applyFill="1" applyBorder="1" applyAlignment="1">
      <alignment horizontal="left"/>
    </xf>
    <xf numFmtId="166" fontId="8" fillId="3" borderId="9" xfId="3" applyNumberFormat="1" applyFont="1" applyFill="1" applyBorder="1" applyAlignment="1">
      <alignment horizontal="center"/>
    </xf>
    <xf numFmtId="166" fontId="8" fillId="3" borderId="12" xfId="3" applyNumberFormat="1" applyFont="1" applyFill="1" applyBorder="1"/>
    <xf numFmtId="166" fontId="32" fillId="3" borderId="9" xfId="3" applyNumberFormat="1" applyFont="1" applyFill="1" applyBorder="1" applyProtection="1"/>
    <xf numFmtId="166" fontId="32" fillId="3" borderId="0" xfId="3" applyNumberFormat="1" applyFont="1" applyFill="1" applyBorder="1" applyProtection="1"/>
    <xf numFmtId="166" fontId="32" fillId="3" borderId="12" xfId="3" applyNumberFormat="1" applyFont="1" applyFill="1" applyBorder="1" applyProtection="1"/>
    <xf numFmtId="166" fontId="8" fillId="3" borderId="0" xfId="3" applyNumberFormat="1" applyFont="1" applyFill="1" applyBorder="1" applyAlignment="1">
      <alignment horizontal="center"/>
    </xf>
    <xf numFmtId="166" fontId="8" fillId="3" borderId="12" xfId="3" applyNumberFormat="1" applyFont="1" applyFill="1" applyBorder="1" applyProtection="1"/>
    <xf numFmtId="166" fontId="19" fillId="3" borderId="9" xfId="3" applyNumberFormat="1" applyFont="1" applyFill="1" applyBorder="1" applyProtection="1"/>
    <xf numFmtId="166" fontId="19" fillId="3" borderId="0" xfId="3" applyNumberFormat="1" applyFont="1" applyFill="1" applyBorder="1" applyProtection="1"/>
    <xf numFmtId="166" fontId="19" fillId="3" borderId="12" xfId="3" applyNumberFormat="1" applyFont="1" applyFill="1" applyBorder="1" applyProtection="1"/>
    <xf numFmtId="0" fontId="8" fillId="0" borderId="13" xfId="3" applyFont="1" applyFill="1" applyBorder="1" applyAlignment="1">
      <alignment horizontal="left"/>
    </xf>
    <xf numFmtId="166" fontId="8" fillId="0" borderId="89" xfId="3" applyNumberFormat="1" applyFont="1" applyFill="1" applyBorder="1" applyAlignment="1">
      <alignment horizontal="center"/>
    </xf>
    <xf numFmtId="166" fontId="8" fillId="0" borderId="15" xfId="3" applyNumberFormat="1" applyFont="1" applyFill="1" applyBorder="1" applyAlignment="1">
      <alignment horizontal="center"/>
    </xf>
    <xf numFmtId="0" fontId="23" fillId="0" borderId="0" xfId="3" applyFont="1" applyFill="1" applyAlignment="1">
      <alignment vertical="top"/>
    </xf>
    <xf numFmtId="0" fontId="14" fillId="0" borderId="0" xfId="3" applyFont="1" applyFill="1" applyAlignment="1">
      <alignment vertical="top"/>
    </xf>
    <xf numFmtId="0" fontId="8" fillId="0" borderId="0" xfId="4" applyFont="1" applyFill="1" applyBorder="1" applyAlignment="1">
      <alignment vertical="top" wrapText="1"/>
    </xf>
    <xf numFmtId="0" fontId="4" fillId="0" borderId="0" xfId="4" applyFont="1" applyFill="1" applyBorder="1" applyAlignment="1">
      <alignment horizontal="left" vertical="top" wrapText="1"/>
    </xf>
    <xf numFmtId="0" fontId="6" fillId="0" borderId="0" xfId="3" applyFont="1" applyFill="1"/>
    <xf numFmtId="0" fontId="9" fillId="0" borderId="0" xfId="3" applyFont="1" applyFill="1" applyBorder="1" applyAlignment="1">
      <alignment wrapText="1"/>
    </xf>
    <xf numFmtId="0" fontId="14" fillId="0" borderId="0" xfId="3" applyFont="1" applyFill="1" applyBorder="1"/>
    <xf numFmtId="0" fontId="17" fillId="0" borderId="5" xfId="3" applyFont="1" applyFill="1" applyBorder="1"/>
    <xf numFmtId="0" fontId="9" fillId="0" borderId="61" xfId="3" applyFont="1" applyFill="1" applyBorder="1"/>
    <xf numFmtId="0" fontId="58" fillId="0" borderId="0" xfId="3" applyFont="1" applyFill="1" applyBorder="1" applyAlignment="1">
      <alignment horizontal="right" vertical="top" wrapText="1"/>
    </xf>
    <xf numFmtId="166" fontId="8" fillId="0" borderId="63" xfId="3" applyNumberFormat="1" applyFont="1" applyFill="1" applyBorder="1"/>
    <xf numFmtId="166" fontId="8" fillId="0" borderId="67" xfId="3" applyNumberFormat="1" applyFont="1" applyFill="1" applyBorder="1"/>
    <xf numFmtId="0" fontId="8" fillId="0" borderId="13" xfId="15" applyFont="1" applyFill="1" applyBorder="1"/>
    <xf numFmtId="0" fontId="8" fillId="0" borderId="14" xfId="3" applyFont="1" applyFill="1" applyBorder="1"/>
    <xf numFmtId="166" fontId="8" fillId="0" borderId="64" xfId="3" applyNumberFormat="1" applyFont="1" applyFill="1" applyBorder="1"/>
    <xf numFmtId="166" fontId="8" fillId="0" borderId="26" xfId="3" applyNumberFormat="1" applyFont="1" applyFill="1" applyBorder="1"/>
    <xf numFmtId="0" fontId="9" fillId="0" borderId="5" xfId="3" applyFont="1" applyFill="1" applyBorder="1" applyAlignment="1">
      <alignment wrapText="1"/>
    </xf>
    <xf numFmtId="0" fontId="9" fillId="0" borderId="24" xfId="3" applyFont="1" applyFill="1" applyBorder="1" applyAlignment="1">
      <alignment horizontal="right"/>
    </xf>
    <xf numFmtId="0" fontId="14" fillId="0" borderId="12" xfId="3" applyFont="1" applyFill="1" applyBorder="1"/>
    <xf numFmtId="0" fontId="9" fillId="0" borderId="9" xfId="3" applyFont="1" applyFill="1" applyBorder="1" applyAlignment="1">
      <alignment horizontal="left" wrapText="1"/>
    </xf>
    <xf numFmtId="0" fontId="6" fillId="0" borderId="0" xfId="3" applyFont="1" applyFill="1" applyAlignment="1">
      <alignment vertical="top" wrapText="1"/>
    </xf>
    <xf numFmtId="0" fontId="58" fillId="0" borderId="0" xfId="3" applyFont="1" applyFill="1" applyAlignment="1">
      <alignment vertical="top"/>
    </xf>
    <xf numFmtId="0" fontId="8" fillId="0" borderId="29" xfId="3" applyFont="1" applyFill="1" applyBorder="1" applyAlignment="1">
      <alignment wrapText="1"/>
    </xf>
    <xf numFmtId="0" fontId="14" fillId="0" borderId="21" xfId="3" applyFont="1" applyFill="1" applyBorder="1"/>
    <xf numFmtId="0" fontId="14" fillId="0" borderId="42" xfId="3" applyFont="1" applyFill="1" applyBorder="1"/>
    <xf numFmtId="0" fontId="9" fillId="0" borderId="9" xfId="3" applyFont="1" applyFill="1" applyBorder="1" applyAlignment="1">
      <alignment wrapText="1"/>
    </xf>
    <xf numFmtId="0" fontId="8" fillId="0" borderId="45" xfId="3" applyFont="1" applyFill="1" applyBorder="1"/>
    <xf numFmtId="0" fontId="14" fillId="0" borderId="45" xfId="3" applyFont="1" applyFill="1" applyBorder="1"/>
    <xf numFmtId="0" fontId="8" fillId="0" borderId="21" xfId="3" applyFont="1" applyFill="1" applyBorder="1"/>
    <xf numFmtId="0" fontId="14" fillId="0" borderId="46" xfId="3" applyFont="1" applyFill="1" applyBorder="1"/>
    <xf numFmtId="1" fontId="8" fillId="0" borderId="0" xfId="3" applyNumberFormat="1" applyFont="1" applyFill="1" applyBorder="1"/>
    <xf numFmtId="0" fontId="9" fillId="0" borderId="23" xfId="3" applyFont="1" applyFill="1" applyBorder="1"/>
    <xf numFmtId="0" fontId="14" fillId="0" borderId="23" xfId="3" applyFont="1" applyFill="1" applyBorder="1"/>
    <xf numFmtId="0" fontId="14" fillId="0" borderId="73" xfId="3" applyFont="1" applyFill="1" applyBorder="1"/>
    <xf numFmtId="1" fontId="8" fillId="0" borderId="58" xfId="3" applyNumberFormat="1" applyFont="1" applyFill="1" applyBorder="1"/>
    <xf numFmtId="1" fontId="8" fillId="0" borderId="4" xfId="3" applyNumberFormat="1" applyFont="1" applyFill="1" applyBorder="1"/>
    <xf numFmtId="1" fontId="8" fillId="0" borderId="60" xfId="3" applyNumberFormat="1" applyFont="1" applyFill="1" applyBorder="1"/>
    <xf numFmtId="0" fontId="14" fillId="0" borderId="16" xfId="3" applyFont="1" applyFill="1" applyBorder="1"/>
    <xf numFmtId="0" fontId="86" fillId="0" borderId="0" xfId="3" applyFont="1" applyFill="1" applyAlignment="1">
      <alignment vertical="top"/>
    </xf>
    <xf numFmtId="0" fontId="29" fillId="3" borderId="0" xfId="3" applyFont="1" applyFill="1" applyBorder="1" applyAlignment="1">
      <alignment wrapText="1"/>
    </xf>
    <xf numFmtId="0" fontId="29" fillId="3" borderId="0" xfId="3" applyFont="1" applyFill="1" applyBorder="1"/>
    <xf numFmtId="0" fontId="86" fillId="0" borderId="0" xfId="3" applyFont="1" applyFill="1"/>
    <xf numFmtId="0" fontId="14" fillId="3" borderId="0" xfId="3" applyFont="1" applyFill="1"/>
    <xf numFmtId="0" fontId="4" fillId="3" borderId="1" xfId="3" applyFont="1" applyFill="1" applyBorder="1" applyAlignment="1">
      <alignment horizontal="left" vertical="top" wrapText="1"/>
    </xf>
    <xf numFmtId="0" fontId="4" fillId="3" borderId="2" xfId="3" applyFont="1" applyFill="1" applyBorder="1" applyAlignment="1">
      <alignment horizontal="left" vertical="top" wrapText="1"/>
    </xf>
    <xf numFmtId="0" fontId="4" fillId="3" borderId="3" xfId="3" applyFont="1" applyFill="1" applyBorder="1" applyAlignment="1">
      <alignment horizontal="left" vertical="top" wrapText="1"/>
    </xf>
    <xf numFmtId="0" fontId="4" fillId="3" borderId="0" xfId="3" applyFont="1" applyFill="1" applyBorder="1" applyAlignment="1">
      <alignment horizontal="left" vertical="top" wrapText="1"/>
    </xf>
    <xf numFmtId="0" fontId="4" fillId="0" borderId="0" xfId="3" applyNumberFormat="1" applyFont="1" applyFill="1" applyBorder="1" applyAlignment="1">
      <alignment horizontal="left" vertical="top" wrapText="1"/>
    </xf>
    <xf numFmtId="0" fontId="4" fillId="0" borderId="0" xfId="3" applyFont="1" applyFill="1" applyBorder="1" applyAlignment="1">
      <alignment horizontal="left" wrapText="1"/>
    </xf>
    <xf numFmtId="1" fontId="4" fillId="0" borderId="0" xfId="3" applyNumberFormat="1" applyFont="1" applyFill="1" applyBorder="1"/>
    <xf numFmtId="0" fontId="8" fillId="0" borderId="0" xfId="3" applyFont="1" applyFill="1" applyBorder="1" applyAlignment="1">
      <alignment wrapText="1"/>
    </xf>
    <xf numFmtId="0" fontId="39" fillId="0" borderId="23" xfId="3" applyFont="1" applyFill="1" applyBorder="1"/>
    <xf numFmtId="0" fontId="8" fillId="0" borderId="4" xfId="15" applyFont="1" applyFill="1" applyBorder="1"/>
    <xf numFmtId="0" fontId="59" fillId="0" borderId="0" xfId="3" applyFont="1" applyFill="1" applyAlignment="1">
      <alignment horizontal="right"/>
    </xf>
    <xf numFmtId="0" fontId="27" fillId="0" borderId="0" xfId="3" applyFont="1" applyFill="1" applyBorder="1" applyAlignment="1"/>
    <xf numFmtId="0" fontId="27" fillId="0" borderId="0" xfId="3" applyFont="1" applyFill="1" applyBorder="1" applyAlignment="1">
      <alignment horizontal="left"/>
    </xf>
    <xf numFmtId="0" fontId="27" fillId="0" borderId="0" xfId="3" applyFont="1" applyFill="1" applyBorder="1" applyAlignment="1">
      <alignment horizontal="right"/>
    </xf>
    <xf numFmtId="0" fontId="8" fillId="0" borderId="23" xfId="3" applyFont="1" applyFill="1" applyBorder="1" applyAlignment="1">
      <alignment horizontal="right"/>
    </xf>
    <xf numFmtId="0" fontId="9" fillId="0" borderId="56" xfId="3" applyFont="1" applyFill="1" applyBorder="1" applyAlignment="1">
      <alignment horizontal="right"/>
    </xf>
    <xf numFmtId="0" fontId="9" fillId="0" borderId="57" xfId="3" applyFont="1" applyFill="1" applyBorder="1" applyAlignment="1">
      <alignment horizontal="right"/>
    </xf>
    <xf numFmtId="0" fontId="29" fillId="0" borderId="0" xfId="3" applyFont="1" applyFill="1" applyAlignment="1">
      <alignment vertical="top"/>
    </xf>
    <xf numFmtId="0" fontId="8" fillId="0" borderId="4" xfId="3" applyFont="1" applyFill="1" applyBorder="1" applyAlignment="1">
      <alignment wrapText="1"/>
    </xf>
    <xf numFmtId="0" fontId="8" fillId="0" borderId="4" xfId="3" applyFont="1" applyFill="1" applyBorder="1" applyAlignment="1">
      <alignment horizontal="right" wrapText="1"/>
    </xf>
    <xf numFmtId="165" fontId="8" fillId="0" borderId="15" xfId="3" applyNumberFormat="1" applyFont="1" applyFill="1" applyBorder="1" applyAlignment="1">
      <alignment horizontal="right"/>
    </xf>
    <xf numFmtId="165" fontId="8" fillId="0" borderId="64" xfId="3" applyNumberFormat="1" applyFont="1" applyFill="1" applyBorder="1" applyAlignment="1">
      <alignment horizontal="right"/>
    </xf>
    <xf numFmtId="2" fontId="8" fillId="0" borderId="0" xfId="14" applyNumberFormat="1" applyFont="1" applyFill="1" applyBorder="1" applyAlignment="1">
      <alignment horizontal="right"/>
    </xf>
    <xf numFmtId="0" fontId="14" fillId="0" borderId="6" xfId="3" applyFont="1" applyFill="1" applyBorder="1"/>
    <xf numFmtId="0" fontId="9" fillId="0" borderId="82" xfId="3" applyFont="1" applyFill="1" applyBorder="1" applyAlignment="1">
      <alignment horizontal="right" wrapText="1"/>
    </xf>
    <xf numFmtId="0" fontId="9" fillId="0" borderId="92" xfId="3" applyFont="1" applyFill="1" applyBorder="1" applyAlignment="1">
      <alignment horizontal="right" wrapText="1"/>
    </xf>
    <xf numFmtId="0" fontId="9" fillId="0" borderId="6" xfId="3" applyFont="1" applyFill="1" applyBorder="1" applyAlignment="1">
      <alignment horizontal="right" wrapText="1"/>
    </xf>
    <xf numFmtId="0" fontId="9" fillId="0" borderId="85" xfId="3" applyFont="1" applyFill="1" applyBorder="1" applyAlignment="1">
      <alignment horizontal="right" wrapText="1"/>
    </xf>
    <xf numFmtId="0" fontId="9" fillId="0" borderId="8" xfId="3" applyFont="1" applyFill="1" applyBorder="1" applyAlignment="1">
      <alignment horizontal="right" wrapText="1"/>
    </xf>
    <xf numFmtId="0" fontId="8" fillId="0" borderId="10" xfId="13" applyFont="1" applyFill="1" applyBorder="1" applyAlignment="1">
      <alignment horizontal="right"/>
    </xf>
    <xf numFmtId="0" fontId="8" fillId="0" borderId="0" xfId="13" applyFont="1" applyFill="1" applyBorder="1" applyAlignment="1">
      <alignment horizontal="right"/>
    </xf>
    <xf numFmtId="0" fontId="8" fillId="0" borderId="84" xfId="13" applyFont="1" applyFill="1" applyBorder="1" applyAlignment="1">
      <alignment horizontal="right"/>
    </xf>
    <xf numFmtId="0" fontId="8" fillId="0" borderId="79" xfId="13" applyFont="1" applyFill="1" applyBorder="1" applyAlignment="1">
      <alignment horizontal="right"/>
    </xf>
    <xf numFmtId="0" fontId="8" fillId="0" borderId="83" xfId="13" applyFont="1" applyFill="1" applyBorder="1" applyAlignment="1">
      <alignment horizontal="right"/>
    </xf>
    <xf numFmtId="0" fontId="8" fillId="0" borderId="45" xfId="13" applyFont="1" applyFill="1" applyBorder="1" applyAlignment="1">
      <alignment horizontal="right"/>
    </xf>
    <xf numFmtId="165" fontId="8" fillId="0" borderId="45" xfId="3" applyNumberFormat="1" applyFont="1" applyFill="1" applyBorder="1" applyAlignment="1">
      <alignment horizontal="right"/>
    </xf>
    <xf numFmtId="165" fontId="8" fillId="0" borderId="46" xfId="3" applyNumberFormat="1" applyFont="1" applyFill="1" applyBorder="1" applyAlignment="1">
      <alignment horizontal="right"/>
    </xf>
    <xf numFmtId="0" fontId="8" fillId="0" borderId="11" xfId="13" applyFont="1" applyFill="1" applyBorder="1" applyAlignment="1">
      <alignment horizontal="right"/>
    </xf>
    <xf numFmtId="0" fontId="8" fillId="0" borderId="58" xfId="13" applyFont="1" applyFill="1" applyBorder="1" applyAlignment="1">
      <alignment horizontal="right"/>
    </xf>
    <xf numFmtId="165" fontId="8" fillId="0" borderId="12" xfId="3" applyNumberFormat="1" applyFont="1" applyFill="1" applyBorder="1" applyAlignment="1">
      <alignment horizontal="right"/>
    </xf>
    <xf numFmtId="0" fontId="8" fillId="0" borderId="22" xfId="13" applyFont="1" applyFill="1" applyBorder="1" applyAlignment="1">
      <alignment horizontal="right"/>
    </xf>
    <xf numFmtId="0" fontId="8" fillId="0" borderId="7" xfId="13" applyFont="1" applyFill="1" applyBorder="1" applyAlignment="1">
      <alignment horizontal="right"/>
    </xf>
    <xf numFmtId="0" fontId="8" fillId="0" borderId="20" xfId="13" applyFont="1" applyFill="1" applyBorder="1" applyAlignment="1">
      <alignment horizontal="right"/>
    </xf>
    <xf numFmtId="0" fontId="8" fillId="0" borderId="21" xfId="13" applyFont="1" applyFill="1" applyBorder="1" applyAlignment="1">
      <alignment horizontal="right"/>
    </xf>
    <xf numFmtId="165" fontId="8" fillId="0" borderId="21" xfId="3" applyNumberFormat="1" applyFont="1" applyFill="1" applyBorder="1" applyAlignment="1">
      <alignment horizontal="right"/>
    </xf>
    <xf numFmtId="165" fontId="8" fillId="0" borderId="42" xfId="3" applyNumberFormat="1" applyFont="1" applyFill="1" applyBorder="1" applyAlignment="1">
      <alignment horizontal="right"/>
    </xf>
    <xf numFmtId="0" fontId="8" fillId="0" borderId="41" xfId="3" applyFont="1" applyFill="1" applyBorder="1" applyAlignment="1">
      <alignment wrapText="1"/>
    </xf>
    <xf numFmtId="2" fontId="8" fillId="0" borderId="68" xfId="14" applyNumberFormat="1" applyFont="1" applyFill="1" applyBorder="1" applyAlignment="1">
      <alignment horizontal="right"/>
    </xf>
    <xf numFmtId="2" fontId="8" fillId="0" borderId="41" xfId="14" applyNumberFormat="1" applyFont="1" applyFill="1" applyBorder="1" applyAlignment="1">
      <alignment horizontal="right"/>
    </xf>
    <xf numFmtId="2" fontId="8" fillId="0" borderId="77" xfId="14" applyNumberFormat="1" applyFont="1" applyFill="1" applyBorder="1" applyAlignment="1">
      <alignment horizontal="right"/>
    </xf>
    <xf numFmtId="2" fontId="8" fillId="0" borderId="69" xfId="14" applyNumberFormat="1" applyFont="1" applyFill="1" applyBorder="1" applyAlignment="1">
      <alignment horizontal="right"/>
    </xf>
    <xf numFmtId="2" fontId="8" fillId="0" borderId="43" xfId="14" applyNumberFormat="1" applyFont="1" applyFill="1" applyBorder="1" applyAlignment="1">
      <alignment horizontal="right"/>
    </xf>
    <xf numFmtId="0" fontId="27" fillId="0" borderId="0" xfId="3" applyFont="1" applyFill="1"/>
    <xf numFmtId="0" fontId="27" fillId="0" borderId="0" xfId="3" applyFont="1" applyFill="1" applyAlignment="1">
      <alignment horizontal="right"/>
    </xf>
    <xf numFmtId="0" fontId="14" fillId="0" borderId="0" xfId="3" applyFont="1" applyFill="1" applyAlignment="1">
      <alignment horizontal="right"/>
    </xf>
    <xf numFmtId="0" fontId="14" fillId="0" borderId="0" xfId="3" applyFont="1" applyFill="1" applyBorder="1" applyAlignment="1">
      <alignment horizontal="right"/>
    </xf>
    <xf numFmtId="0" fontId="87" fillId="0" borderId="0" xfId="3" applyFont="1" applyFill="1" applyBorder="1" applyAlignment="1">
      <alignment horizontal="left"/>
    </xf>
    <xf numFmtId="0" fontId="8" fillId="0" borderId="6" xfId="3" applyFont="1" applyFill="1" applyBorder="1" applyAlignment="1">
      <alignment horizontal="right" wrapText="1"/>
    </xf>
    <xf numFmtId="0" fontId="8" fillId="0" borderId="8" xfId="3" applyFont="1" applyFill="1" applyBorder="1" applyAlignment="1">
      <alignment horizontal="right" wrapText="1"/>
    </xf>
    <xf numFmtId="0" fontId="8" fillId="0" borderId="12" xfId="13" applyFont="1" applyFill="1" applyBorder="1" applyAlignment="1">
      <alignment horizontal="right"/>
    </xf>
    <xf numFmtId="2" fontId="8" fillId="0" borderId="41" xfId="3" applyNumberFormat="1" applyFont="1" applyFill="1" applyBorder="1" applyAlignment="1">
      <alignment horizontal="right"/>
    </xf>
    <xf numFmtId="2" fontId="8" fillId="0" borderId="43" xfId="3" applyNumberFormat="1" applyFont="1" applyFill="1" applyBorder="1" applyAlignment="1">
      <alignment horizontal="right"/>
    </xf>
    <xf numFmtId="2" fontId="8" fillId="0" borderId="41" xfId="3" applyNumberFormat="1" applyFont="1" applyFill="1" applyBorder="1" applyAlignment="1">
      <alignment horizontal="right" wrapText="1"/>
    </xf>
    <xf numFmtId="2" fontId="8" fillId="0" borderId="43" xfId="3" applyNumberFormat="1" applyFont="1" applyFill="1" applyBorder="1" applyAlignment="1">
      <alignment horizontal="right" wrapText="1"/>
    </xf>
    <xf numFmtId="2" fontId="8" fillId="0" borderId="0" xfId="3" applyNumberFormat="1" applyFont="1" applyFill="1" applyBorder="1" applyAlignment="1">
      <alignment horizontal="right" wrapText="1"/>
    </xf>
    <xf numFmtId="2" fontId="8" fillId="0" borderId="45" xfId="3" applyNumberFormat="1" applyFont="1" applyFill="1" applyBorder="1" applyAlignment="1">
      <alignment horizontal="right" wrapText="1"/>
    </xf>
    <xf numFmtId="2" fontId="8" fillId="0" borderId="46" xfId="3" applyNumberFormat="1" applyFont="1" applyFill="1" applyBorder="1" applyAlignment="1">
      <alignment horizontal="right" wrapText="1"/>
    </xf>
    <xf numFmtId="2" fontId="8" fillId="0" borderId="12" xfId="3" applyNumberFormat="1" applyFont="1" applyFill="1" applyBorder="1" applyAlignment="1">
      <alignment horizontal="right" wrapText="1"/>
    </xf>
    <xf numFmtId="0" fontId="87" fillId="0" borderId="0" xfId="3" applyFont="1" applyFill="1" applyBorder="1" applyAlignment="1">
      <alignment horizontal="right"/>
    </xf>
    <xf numFmtId="2" fontId="8" fillId="0" borderId="0" xfId="3" applyNumberFormat="1" applyFont="1" applyFill="1"/>
    <xf numFmtId="0" fontId="4" fillId="0" borderId="0" xfId="3" applyNumberFormat="1" applyFont="1" applyFill="1" applyBorder="1" applyAlignment="1">
      <alignment vertical="top" wrapText="1"/>
    </xf>
    <xf numFmtId="0" fontId="9" fillId="0" borderId="4" xfId="3" applyFont="1" applyFill="1" applyBorder="1" applyAlignment="1">
      <alignment wrapText="1"/>
    </xf>
    <xf numFmtId="0" fontId="9" fillId="0" borderId="18" xfId="3" applyFont="1" applyFill="1" applyBorder="1" applyAlignment="1">
      <alignment horizontal="right"/>
    </xf>
    <xf numFmtId="0" fontId="9" fillId="0" borderId="19" xfId="3" applyFont="1" applyFill="1" applyBorder="1" applyAlignment="1">
      <alignment horizontal="right"/>
    </xf>
    <xf numFmtId="165" fontId="4" fillId="0" borderId="0" xfId="3" applyNumberFormat="1" applyFont="1" applyFill="1" applyAlignment="1">
      <alignment vertical="top"/>
    </xf>
    <xf numFmtId="170" fontId="8" fillId="0" borderId="16" xfId="3" applyNumberFormat="1" applyFont="1" applyFill="1" applyBorder="1" applyAlignment="1">
      <alignment horizontal="right"/>
    </xf>
    <xf numFmtId="170" fontId="8" fillId="0" borderId="0" xfId="3" applyNumberFormat="1" applyFont="1" applyFill="1" applyBorder="1" applyAlignment="1">
      <alignment horizontal="right"/>
    </xf>
    <xf numFmtId="165" fontId="8" fillId="0" borderId="0" xfId="3" applyNumberFormat="1" applyFont="1" applyFill="1"/>
    <xf numFmtId="0" fontId="4" fillId="0" borderId="0" xfId="3" applyFont="1" applyFill="1" applyBorder="1" applyAlignment="1">
      <alignment vertical="top"/>
    </xf>
    <xf numFmtId="0" fontId="16" fillId="0" borderId="4" xfId="15" applyFont="1" applyFill="1" applyBorder="1" applyAlignment="1">
      <alignment horizontal="left"/>
    </xf>
    <xf numFmtId="0" fontId="16" fillId="0" borderId="4" xfId="15" applyFont="1" applyFill="1" applyBorder="1" applyAlignment="1">
      <alignment horizontal="right"/>
    </xf>
    <xf numFmtId="0" fontId="60" fillId="0" borderId="4" xfId="15" applyFont="1" applyFill="1" applyBorder="1" applyAlignment="1">
      <alignment horizontal="right"/>
    </xf>
    <xf numFmtId="0" fontId="60" fillId="0" borderId="0" xfId="15" applyFont="1" applyFill="1" applyBorder="1" applyAlignment="1">
      <alignment horizontal="right"/>
    </xf>
    <xf numFmtId="0" fontId="16" fillId="0" borderId="18" xfId="15" applyFont="1" applyFill="1" applyBorder="1" applyAlignment="1">
      <alignment horizontal="left"/>
    </xf>
    <xf numFmtId="0" fontId="16" fillId="0" borderId="18" xfId="15" applyFont="1" applyFill="1" applyBorder="1" applyAlignment="1">
      <alignment horizontal="right"/>
    </xf>
    <xf numFmtId="0" fontId="9" fillId="0" borderId="61" xfId="3" applyFont="1" applyFill="1" applyBorder="1" applyAlignment="1">
      <alignment horizontal="right"/>
    </xf>
    <xf numFmtId="0" fontId="60" fillId="0" borderId="11" xfId="15" applyFont="1" applyFill="1" applyBorder="1" applyAlignment="1">
      <alignment horizontal="right"/>
    </xf>
    <xf numFmtId="166" fontId="60" fillId="0" borderId="11" xfId="15" applyNumberFormat="1" applyFont="1" applyFill="1" applyBorder="1" applyAlignment="1">
      <alignment horizontal="right"/>
    </xf>
    <xf numFmtId="166" fontId="60" fillId="0" borderId="63" xfId="15" applyNumberFormat="1" applyFont="1" applyFill="1" applyBorder="1" applyAlignment="1">
      <alignment horizontal="right"/>
    </xf>
    <xf numFmtId="166" fontId="60" fillId="0" borderId="0" xfId="15" applyNumberFormat="1" applyFont="1" applyFill="1" applyBorder="1" applyAlignment="1">
      <alignment horizontal="right"/>
    </xf>
    <xf numFmtId="0" fontId="60" fillId="0" borderId="15" xfId="15" applyFont="1" applyFill="1" applyBorder="1" applyAlignment="1">
      <alignment horizontal="right"/>
    </xf>
    <xf numFmtId="166" fontId="60" fillId="0" borderId="15" xfId="15" applyNumberFormat="1" applyFont="1" applyFill="1" applyBorder="1" applyAlignment="1">
      <alignment horizontal="right"/>
    </xf>
    <xf numFmtId="166" fontId="60" fillId="0" borderId="64" xfId="15" applyNumberFormat="1" applyFont="1" applyFill="1" applyBorder="1" applyAlignment="1">
      <alignment horizontal="right"/>
    </xf>
    <xf numFmtId="0" fontId="20" fillId="0" borderId="18" xfId="3" applyFont="1" applyFill="1" applyBorder="1"/>
    <xf numFmtId="0" fontId="20" fillId="0" borderId="56" xfId="3" applyFont="1" applyFill="1" applyBorder="1" applyAlignment="1">
      <alignment horizontal="right"/>
    </xf>
    <xf numFmtId="0" fontId="20" fillId="0" borderId="56" xfId="3" applyFont="1" applyFill="1" applyBorder="1"/>
    <xf numFmtId="0" fontId="20" fillId="0" borderId="61" xfId="3" applyFont="1" applyFill="1" applyBorder="1"/>
    <xf numFmtId="0" fontId="20" fillId="0" borderId="57" xfId="3" applyFont="1" applyFill="1" applyBorder="1"/>
    <xf numFmtId="0" fontId="20" fillId="0" borderId="0" xfId="3" applyFont="1" applyFill="1" applyBorder="1"/>
    <xf numFmtId="0" fontId="58" fillId="0" borderId="0" xfId="3" applyFont="1" applyFill="1" applyAlignment="1"/>
    <xf numFmtId="0" fontId="89" fillId="0" borderId="0" xfId="3" applyFont="1" applyFill="1" applyAlignment="1"/>
    <xf numFmtId="2" fontId="8" fillId="0" borderId="59" xfId="3" applyNumberFormat="1" applyFont="1" applyFill="1" applyBorder="1" applyAlignment="1">
      <alignment horizontal="right" vertical="top"/>
    </xf>
    <xf numFmtId="1" fontId="17" fillId="0" borderId="11" xfId="3" applyNumberFormat="1" applyFont="1" applyFill="1" applyBorder="1" applyAlignment="1">
      <alignment horizontal="right" vertical="top"/>
    </xf>
    <xf numFmtId="1" fontId="17" fillId="0" borderId="11" xfId="3" applyNumberFormat="1" applyFont="1" applyFill="1" applyBorder="1"/>
    <xf numFmtId="1" fontId="17" fillId="0" borderId="15" xfId="3" applyNumberFormat="1" applyFont="1" applyFill="1" applyBorder="1"/>
    <xf numFmtId="1" fontId="17" fillId="0" borderId="60" xfId="3" applyNumberFormat="1" applyFont="1" applyFill="1" applyBorder="1"/>
    <xf numFmtId="1" fontId="17" fillId="0" borderId="64" xfId="3" applyNumberFormat="1" applyFont="1" applyFill="1" applyBorder="1"/>
    <xf numFmtId="1" fontId="17" fillId="0" borderId="0" xfId="3" applyNumberFormat="1" applyFont="1" applyFill="1" applyBorder="1"/>
    <xf numFmtId="2" fontId="17" fillId="0" borderId="11" xfId="3" applyNumberFormat="1" applyFont="1" applyFill="1" applyBorder="1" applyAlignment="1">
      <alignment horizontal="right" vertical="top"/>
    </xf>
    <xf numFmtId="1" fontId="17" fillId="0" borderId="58" xfId="3" applyNumberFormat="1" applyFont="1" applyFill="1" applyBorder="1"/>
    <xf numFmtId="1" fontId="17" fillId="0" borderId="63" xfId="3" applyNumberFormat="1" applyFont="1" applyFill="1" applyBorder="1"/>
    <xf numFmtId="2" fontId="17" fillId="0" borderId="15" xfId="3" applyNumberFormat="1" applyFont="1" applyFill="1" applyBorder="1" applyAlignment="1">
      <alignment horizontal="right" vertical="top"/>
    </xf>
    <xf numFmtId="1" fontId="17" fillId="0" borderId="15" xfId="3" applyNumberFormat="1" applyFont="1" applyFill="1" applyBorder="1" applyAlignment="1">
      <alignment horizontal="right" vertical="top"/>
    </xf>
    <xf numFmtId="2" fontId="17" fillId="0" borderId="0" xfId="3" applyNumberFormat="1" applyFont="1" applyFill="1" applyBorder="1" applyAlignment="1">
      <alignment horizontal="right" vertical="top"/>
    </xf>
    <xf numFmtId="1" fontId="17" fillId="0" borderId="0" xfId="3" applyNumberFormat="1" applyFont="1" applyFill="1" applyBorder="1" applyAlignment="1">
      <alignment horizontal="right" vertical="top"/>
    </xf>
    <xf numFmtId="0" fontId="3" fillId="0" borderId="0" xfId="15" applyFont="1" applyFill="1" applyBorder="1"/>
    <xf numFmtId="0" fontId="90" fillId="0" borderId="0" xfId="3" applyFont="1" applyFill="1" applyAlignment="1">
      <alignment vertical="top"/>
    </xf>
    <xf numFmtId="0" fontId="7" fillId="0" borderId="0" xfId="3" applyFont="1" applyFill="1" applyBorder="1" applyAlignment="1">
      <alignment vertical="top"/>
    </xf>
    <xf numFmtId="0" fontId="8" fillId="0" borderId="0" xfId="3" applyFont="1" applyFill="1" applyAlignment="1">
      <alignment wrapText="1"/>
    </xf>
    <xf numFmtId="0" fontId="14" fillId="0" borderId="0" xfId="3" applyFont="1" applyFill="1" applyAlignment="1">
      <alignment wrapText="1"/>
    </xf>
    <xf numFmtId="0" fontId="9" fillId="0" borderId="93" xfId="3" applyFont="1" applyFill="1" applyBorder="1"/>
    <xf numFmtId="0" fontId="41" fillId="0" borderId="49" xfId="3" applyFont="1" applyFill="1" applyBorder="1" applyAlignment="1">
      <alignment horizontal="center"/>
    </xf>
    <xf numFmtId="0" fontId="41" fillId="0" borderId="50" xfId="3" applyFont="1" applyFill="1" applyBorder="1" applyAlignment="1">
      <alignment horizontal="center"/>
    </xf>
    <xf numFmtId="166" fontId="25" fillId="0" borderId="0" xfId="3" applyNumberFormat="1" applyFont="1" applyFill="1" applyBorder="1" applyAlignment="1">
      <alignment horizontal="center"/>
    </xf>
    <xf numFmtId="0" fontId="8" fillId="0" borderId="94" xfId="3" applyFont="1" applyFill="1" applyBorder="1"/>
    <xf numFmtId="0" fontId="8" fillId="0" borderId="95" xfId="3" applyFont="1" applyFill="1" applyBorder="1"/>
    <xf numFmtId="0" fontId="25" fillId="0" borderId="25" xfId="3" applyFont="1" applyFill="1" applyBorder="1" applyAlignment="1">
      <alignment horizontal="center"/>
    </xf>
    <xf numFmtId="2" fontId="8" fillId="0" borderId="25" xfId="3" applyNumberFormat="1" applyFont="1" applyFill="1" applyBorder="1" applyAlignment="1">
      <alignment horizontal="center"/>
    </xf>
    <xf numFmtId="2" fontId="8" fillId="0" borderId="52" xfId="3" applyNumberFormat="1" applyFont="1" applyFill="1" applyBorder="1" applyAlignment="1">
      <alignment horizontal="center"/>
    </xf>
    <xf numFmtId="0" fontId="8" fillId="0" borderId="96" xfId="3" applyFont="1" applyFill="1" applyBorder="1"/>
    <xf numFmtId="0" fontId="8" fillId="0" borderId="97" xfId="3" applyFont="1" applyFill="1" applyBorder="1"/>
    <xf numFmtId="2" fontId="25" fillId="0" borderId="25" xfId="3" applyNumberFormat="1" applyFont="1" applyFill="1" applyBorder="1" applyAlignment="1">
      <alignment horizontal="center"/>
    </xf>
    <xf numFmtId="0" fontId="8" fillId="0" borderId="98" xfId="3" applyFont="1" applyFill="1" applyBorder="1"/>
    <xf numFmtId="0" fontId="8" fillId="0" borderId="99" xfId="3" applyFont="1" applyFill="1" applyBorder="1"/>
    <xf numFmtId="0" fontId="8" fillId="0" borderId="100" xfId="3" applyFont="1" applyFill="1" applyBorder="1"/>
    <xf numFmtId="0" fontId="9" fillId="0" borderId="101" xfId="3" applyFont="1" applyFill="1" applyBorder="1" applyAlignment="1">
      <alignment horizontal="right"/>
    </xf>
    <xf numFmtId="0" fontId="25" fillId="0" borderId="54" xfId="3" applyFont="1" applyFill="1" applyBorder="1" applyAlignment="1">
      <alignment horizontal="center"/>
    </xf>
    <xf numFmtId="2" fontId="25" fillId="3" borderId="54" xfId="3" applyNumberFormat="1" applyFont="1" applyFill="1" applyBorder="1" applyAlignment="1">
      <alignment horizontal="center"/>
    </xf>
    <xf numFmtId="2" fontId="8" fillId="3" borderId="55" xfId="3" applyNumberFormat="1" applyFont="1" applyFill="1" applyBorder="1" applyAlignment="1">
      <alignment horizontal="center"/>
    </xf>
    <xf numFmtId="0" fontId="9" fillId="3" borderId="0" xfId="3" applyFont="1" applyFill="1" applyBorder="1" applyAlignment="1">
      <alignment horizontal="right"/>
    </xf>
    <xf numFmtId="2" fontId="25" fillId="3" borderId="0" xfId="3" applyNumberFormat="1" applyFont="1" applyFill="1" applyBorder="1" applyAlignment="1">
      <alignment horizontal="center"/>
    </xf>
    <xf numFmtId="0" fontId="8" fillId="3" borderId="0" xfId="3" applyFont="1" applyFill="1" applyAlignment="1">
      <alignment horizontal="center"/>
    </xf>
    <xf numFmtId="169" fontId="8" fillId="0" borderId="0" xfId="28" applyNumberFormat="1" applyFont="1" applyFill="1" applyBorder="1"/>
    <xf numFmtId="43" fontId="8" fillId="0" borderId="0" xfId="28" applyNumberFormat="1" applyFont="1" applyFill="1" applyBorder="1"/>
    <xf numFmtId="0" fontId="8" fillId="0" borderId="63" xfId="3" applyFont="1" applyFill="1" applyBorder="1"/>
    <xf numFmtId="0" fontId="9" fillId="0" borderId="23" xfId="3" applyFont="1" applyFill="1" applyBorder="1" applyAlignment="1">
      <alignment horizontal="right" vertical="center"/>
    </xf>
    <xf numFmtId="0" fontId="41" fillId="0" borderId="23" xfId="3" applyFont="1" applyFill="1" applyBorder="1" applyAlignment="1">
      <alignment horizontal="right" vertical="center"/>
    </xf>
    <xf numFmtId="0" fontId="41" fillId="0" borderId="23" xfId="3" applyFont="1" applyFill="1" applyBorder="1" applyAlignment="1">
      <alignment horizontal="center" vertical="center"/>
    </xf>
    <xf numFmtId="169" fontId="8" fillId="0" borderId="0" xfId="28" applyNumberFormat="1" applyFont="1" applyFill="1" applyBorder="1" applyAlignment="1">
      <alignment vertical="center"/>
    </xf>
    <xf numFmtId="43" fontId="8" fillId="0" borderId="0" xfId="28" applyNumberFormat="1" applyFont="1" applyFill="1" applyBorder="1" applyAlignment="1">
      <alignment vertical="center"/>
    </xf>
    <xf numFmtId="0" fontId="8" fillId="0" borderId="0" xfId="3" applyFont="1" applyFill="1" applyBorder="1" applyAlignment="1">
      <alignment horizontal="right" vertical="center"/>
    </xf>
    <xf numFmtId="0" fontId="8" fillId="0" borderId="0" xfId="3" applyFont="1" applyFill="1" applyBorder="1" applyAlignment="1">
      <alignment vertical="center"/>
    </xf>
    <xf numFmtId="169" fontId="8" fillId="0" borderId="4" xfId="28" applyNumberFormat="1" applyFont="1" applyFill="1" applyBorder="1" applyAlignment="1">
      <alignment vertical="center"/>
    </xf>
    <xf numFmtId="43" fontId="8" fillId="0" borderId="4" xfId="28" applyNumberFormat="1" applyFont="1" applyFill="1" applyBorder="1" applyAlignment="1">
      <alignment vertical="center"/>
    </xf>
    <xf numFmtId="0" fontId="8" fillId="0" borderId="4" xfId="3" applyFont="1" applyFill="1" applyBorder="1" applyAlignment="1">
      <alignment horizontal="right" vertical="center"/>
    </xf>
    <xf numFmtId="0" fontId="8" fillId="0" borderId="4" xfId="3" applyFont="1" applyFill="1" applyBorder="1" applyAlignment="1">
      <alignment vertical="center"/>
    </xf>
    <xf numFmtId="0" fontId="8" fillId="0" borderId="0" xfId="3" applyFont="1" applyFill="1" applyBorder="1" applyAlignment="1">
      <alignment vertical="top" wrapText="1"/>
    </xf>
    <xf numFmtId="170" fontId="8" fillId="0" borderId="0" xfId="3" applyNumberFormat="1" applyFont="1" applyFill="1" applyBorder="1"/>
    <xf numFmtId="10" fontId="8" fillId="0" borderId="0" xfId="3" applyNumberFormat="1" applyFont="1" applyFill="1" applyBorder="1"/>
    <xf numFmtId="0" fontId="92" fillId="0" borderId="0" xfId="27" applyFont="1" applyFill="1" applyAlignment="1" applyProtection="1"/>
    <xf numFmtId="165" fontId="25" fillId="0" borderId="0" xfId="3" applyNumberFormat="1" applyFont="1" applyFill="1" applyBorder="1" applyAlignment="1">
      <alignment horizontal="right"/>
    </xf>
    <xf numFmtId="0" fontId="4" fillId="0" borderId="2" xfId="3" applyFont="1" applyFill="1" applyBorder="1" applyAlignment="1">
      <alignment horizontal="left" wrapText="1"/>
    </xf>
    <xf numFmtId="0" fontId="4" fillId="0" borderId="3" xfId="3" applyFont="1" applyFill="1" applyBorder="1" applyAlignment="1">
      <alignment horizontal="left" wrapText="1"/>
    </xf>
    <xf numFmtId="0" fontId="41" fillId="0" borderId="0" xfId="3" applyFont="1" applyFill="1" applyBorder="1" applyAlignment="1">
      <alignment horizontal="right"/>
    </xf>
    <xf numFmtId="165" fontId="8" fillId="0" borderId="9" xfId="3" applyNumberFormat="1" applyFont="1" applyFill="1" applyBorder="1" applyAlignment="1">
      <alignment wrapText="1"/>
    </xf>
    <xf numFmtId="3" fontId="25" fillId="0" borderId="11" xfId="17" applyNumberFormat="1" applyFont="1" applyFill="1" applyBorder="1" applyAlignment="1">
      <alignment horizontal="right"/>
    </xf>
    <xf numFmtId="3" fontId="25" fillId="0" borderId="63" xfId="17" applyNumberFormat="1" applyFont="1" applyFill="1" applyBorder="1" applyAlignment="1">
      <alignment horizontal="right"/>
    </xf>
    <xf numFmtId="3" fontId="25" fillId="0" borderId="0" xfId="17" applyNumberFormat="1" applyFont="1" applyFill="1" applyBorder="1" applyAlignment="1">
      <alignment horizontal="right"/>
    </xf>
    <xf numFmtId="10" fontId="25" fillId="0" borderId="0" xfId="17" applyNumberFormat="1" applyFont="1" applyFill="1" applyBorder="1" applyAlignment="1">
      <alignment horizontal="right"/>
    </xf>
    <xf numFmtId="3" fontId="25" fillId="0" borderId="11" xfId="17" applyNumberFormat="1" applyFont="1" applyFill="1" applyBorder="1"/>
    <xf numFmtId="3" fontId="25" fillId="0" borderId="63" xfId="17" applyNumberFormat="1" applyFont="1" applyFill="1" applyBorder="1"/>
    <xf numFmtId="165" fontId="8" fillId="0" borderId="13" xfId="3" applyNumberFormat="1" applyFont="1" applyFill="1" applyBorder="1" applyAlignment="1">
      <alignment wrapText="1"/>
    </xf>
    <xf numFmtId="3" fontId="25" fillId="0" borderId="15" xfId="17" applyNumberFormat="1" applyFont="1" applyFill="1" applyBorder="1"/>
    <xf numFmtId="3" fontId="25" fillId="0" borderId="64" xfId="17" applyNumberFormat="1" applyFont="1" applyFill="1" applyBorder="1"/>
    <xf numFmtId="3" fontId="8" fillId="0" borderId="0" xfId="17" applyNumberFormat="1" applyFont="1" applyFill="1" applyBorder="1"/>
    <xf numFmtId="9" fontId="8" fillId="0" borderId="0" xfId="17" applyFont="1" applyFill="1" applyBorder="1"/>
    <xf numFmtId="3" fontId="25" fillId="0" borderId="0" xfId="17" applyNumberFormat="1" applyFont="1" applyFill="1" applyBorder="1"/>
    <xf numFmtId="193" fontId="14" fillId="0" borderId="0" xfId="17" applyNumberFormat="1" applyFont="1" applyFill="1"/>
    <xf numFmtId="165" fontId="14" fillId="0" borderId="0" xfId="3" applyNumberFormat="1" applyFont="1" applyFill="1"/>
    <xf numFmtId="9" fontId="14" fillId="0" borderId="0" xfId="17" applyFont="1" applyFill="1"/>
    <xf numFmtId="170" fontId="14" fillId="0" borderId="0" xfId="17" applyNumberFormat="1" applyFont="1" applyFill="1"/>
    <xf numFmtId="0" fontId="14" fillId="0" borderId="0" xfId="3" applyFont="1" applyFill="1" applyBorder="1" applyAlignment="1">
      <alignment vertical="top"/>
    </xf>
    <xf numFmtId="0" fontId="23" fillId="0" borderId="0" xfId="3" applyFont="1" applyFill="1" applyBorder="1" applyAlignment="1">
      <alignment vertical="top"/>
    </xf>
    <xf numFmtId="0" fontId="27" fillId="0" borderId="0" xfId="15" applyFont="1" applyFill="1" applyBorder="1" applyAlignment="1">
      <alignment horizontal="right"/>
    </xf>
    <xf numFmtId="0" fontId="27" fillId="0" borderId="0" xfId="15" applyFont="1" applyFill="1" applyBorder="1" applyAlignment="1">
      <alignment horizontal="left"/>
    </xf>
    <xf numFmtId="0" fontId="27" fillId="0" borderId="0" xfId="15" applyFont="1" applyFill="1" applyBorder="1" applyAlignment="1">
      <alignment horizontal="center"/>
    </xf>
    <xf numFmtId="0" fontId="77" fillId="0" borderId="0" xfId="15" applyFont="1" applyFill="1" applyBorder="1" applyAlignment="1">
      <alignment horizontal="center"/>
    </xf>
    <xf numFmtId="0" fontId="4" fillId="0" borderId="0" xfId="15" applyFont="1" applyFill="1" applyBorder="1" applyAlignment="1">
      <alignment horizontal="left"/>
    </xf>
    <xf numFmtId="0" fontId="3" fillId="0" borderId="0" xfId="29" applyFont="1" applyFill="1" applyBorder="1"/>
    <xf numFmtId="0" fontId="1" fillId="0" borderId="0" xfId="29" applyFill="1" applyBorder="1"/>
    <xf numFmtId="0" fontId="27" fillId="0" borderId="0" xfId="15" applyFont="1" applyFill="1" applyBorder="1" applyAlignment="1">
      <alignment horizontal="center" vertical="center"/>
    </xf>
    <xf numFmtId="0" fontId="4" fillId="0" borderId="0" xfId="15" applyFill="1" applyBorder="1" applyAlignment="1">
      <alignment horizontal="right"/>
    </xf>
    <xf numFmtId="0" fontId="4" fillId="0" borderId="0" xfId="30" applyFill="1" applyBorder="1"/>
    <xf numFmtId="0" fontId="86" fillId="0" borderId="0" xfId="3" applyFont="1" applyFill="1" applyBorder="1"/>
    <xf numFmtId="0" fontId="71" fillId="0" borderId="23" xfId="3" applyFont="1" applyFill="1" applyBorder="1" applyAlignment="1"/>
    <xf numFmtId="0" fontId="9" fillId="0" borderId="90" xfId="3" applyFont="1" applyFill="1" applyBorder="1" applyAlignment="1">
      <alignment horizontal="right"/>
    </xf>
    <xf numFmtId="165" fontId="8" fillId="0" borderId="0" xfId="3" applyNumberFormat="1" applyFont="1" applyFill="1" applyAlignment="1">
      <alignment vertical="top"/>
    </xf>
    <xf numFmtId="165" fontId="71" fillId="0" borderId="0" xfId="3" applyNumberFormat="1" applyFont="1" applyFill="1" applyAlignment="1"/>
    <xf numFmtId="165" fontId="8" fillId="0" borderId="87" xfId="3" applyNumberFormat="1" applyFont="1" applyFill="1" applyBorder="1" applyAlignment="1">
      <alignment horizontal="right"/>
    </xf>
    <xf numFmtId="165" fontId="8" fillId="0" borderId="7" xfId="3" applyNumberFormat="1" applyFont="1" applyFill="1" applyBorder="1" applyAlignment="1">
      <alignment horizontal="right"/>
    </xf>
    <xf numFmtId="165" fontId="8" fillId="0" borderId="20" xfId="3" applyNumberFormat="1" applyFont="1" applyFill="1" applyBorder="1" applyAlignment="1">
      <alignment horizontal="right"/>
    </xf>
    <xf numFmtId="0" fontId="71" fillId="0" borderId="0" xfId="3" applyFont="1" applyFill="1" applyAlignment="1"/>
    <xf numFmtId="165" fontId="8" fillId="0" borderId="0" xfId="3" applyNumberFormat="1" applyFont="1" applyFill="1" applyBorder="1" applyAlignment="1">
      <alignment horizontal="left" wrapText="1"/>
    </xf>
    <xf numFmtId="1" fontId="8" fillId="0" borderId="0" xfId="3" applyNumberFormat="1" applyFont="1" applyFill="1" applyBorder="1" applyAlignment="1">
      <alignment horizontal="right"/>
    </xf>
    <xf numFmtId="166" fontId="8" fillId="0" borderId="87" xfId="3" applyNumberFormat="1" applyFont="1" applyFill="1" applyBorder="1" applyAlignment="1">
      <alignment horizontal="right"/>
    </xf>
    <xf numFmtId="166" fontId="8" fillId="0" borderId="20" xfId="3" applyNumberFormat="1" applyFont="1" applyFill="1" applyBorder="1" applyAlignment="1">
      <alignment horizontal="right"/>
    </xf>
    <xf numFmtId="166" fontId="8" fillId="0" borderId="89" xfId="3" applyNumberFormat="1" applyFont="1" applyFill="1" applyBorder="1" applyAlignment="1">
      <alignment horizontal="right"/>
    </xf>
    <xf numFmtId="166" fontId="8" fillId="0" borderId="60" xfId="3" applyNumberFormat="1" applyFont="1" applyFill="1" applyBorder="1" applyAlignment="1">
      <alignment horizontal="right"/>
    </xf>
    <xf numFmtId="165" fontId="9" fillId="0" borderId="0" xfId="3" applyNumberFormat="1" applyFont="1" applyFill="1" applyBorder="1" applyAlignment="1">
      <alignment wrapText="1"/>
    </xf>
    <xf numFmtId="165" fontId="9" fillId="0" borderId="0" xfId="3" applyNumberFormat="1" applyFont="1" applyFill="1" applyBorder="1" applyAlignment="1">
      <alignment horizontal="left"/>
    </xf>
    <xf numFmtId="194" fontId="8" fillId="0" borderId="0" xfId="3" applyNumberFormat="1" applyFont="1" applyFill="1" applyBorder="1" applyAlignment="1">
      <alignment horizontal="right"/>
    </xf>
    <xf numFmtId="3" fontId="8" fillId="0" borderId="0" xfId="3" applyNumberFormat="1" applyFont="1" applyFill="1"/>
    <xf numFmtId="3" fontId="14" fillId="0" borderId="0" xfId="3" applyNumberFormat="1" applyFont="1" applyFill="1"/>
    <xf numFmtId="165" fontId="8" fillId="0" borderId="11" xfId="3" applyNumberFormat="1" applyFont="1" applyFill="1" applyBorder="1" applyAlignment="1">
      <alignment horizontal="right"/>
    </xf>
    <xf numFmtId="165" fontId="8" fillId="0" borderId="63" xfId="3" applyNumberFormat="1" applyFont="1" applyFill="1" applyBorder="1" applyAlignment="1">
      <alignment horizontal="right"/>
    </xf>
    <xf numFmtId="0" fontId="52" fillId="0" borderId="0" xfId="3" applyFont="1" applyFill="1" applyAlignment="1">
      <alignment vertical="top"/>
    </xf>
    <xf numFmtId="0" fontId="95" fillId="0" borderId="0" xfId="3" applyFont="1" applyFill="1" applyAlignment="1"/>
    <xf numFmtId="165" fontId="52" fillId="0" borderId="0" xfId="3" applyNumberFormat="1" applyFont="1" applyFill="1" applyBorder="1" applyAlignment="1"/>
    <xf numFmtId="165" fontId="52" fillId="0" borderId="0" xfId="3" applyNumberFormat="1" applyFont="1" applyFill="1" applyBorder="1" applyAlignment="1">
      <alignment horizontal="right"/>
    </xf>
    <xf numFmtId="165" fontId="52" fillId="0" borderId="11" xfId="3" applyNumberFormat="1" applyFont="1" applyFill="1" applyBorder="1" applyAlignment="1">
      <alignment horizontal="right"/>
    </xf>
    <xf numFmtId="165" fontId="52" fillId="0" borderId="63" xfId="3" applyNumberFormat="1" applyFont="1" applyFill="1" applyBorder="1" applyAlignment="1">
      <alignment horizontal="right"/>
    </xf>
    <xf numFmtId="165" fontId="52" fillId="0" borderId="58" xfId="3" applyNumberFormat="1" applyFont="1" applyFill="1" applyBorder="1" applyAlignment="1">
      <alignment horizontal="right"/>
    </xf>
    <xf numFmtId="0" fontId="52" fillId="0" borderId="0" xfId="3" applyFont="1" applyFill="1"/>
    <xf numFmtId="0" fontId="8" fillId="0" borderId="11" xfId="3" applyNumberFormat="1" applyFont="1" applyFill="1" applyBorder="1" applyAlignment="1">
      <alignment horizontal="right"/>
    </xf>
    <xf numFmtId="0" fontId="8" fillId="0" borderId="63" xfId="3" applyNumberFormat="1" applyFont="1" applyFill="1" applyBorder="1" applyAlignment="1">
      <alignment horizontal="right"/>
    </xf>
    <xf numFmtId="0" fontId="8" fillId="0" borderId="58" xfId="3" applyNumberFormat="1" applyFont="1" applyFill="1" applyBorder="1" applyAlignment="1">
      <alignment horizontal="right"/>
    </xf>
    <xf numFmtId="194" fontId="8" fillId="0" borderId="11" xfId="3" applyNumberFormat="1" applyFont="1" applyFill="1" applyBorder="1" applyAlignment="1">
      <alignment horizontal="right"/>
    </xf>
    <xf numFmtId="194" fontId="8" fillId="0" borderId="63" xfId="3" applyNumberFormat="1" applyFont="1" applyFill="1" applyBorder="1" applyAlignment="1">
      <alignment horizontal="right"/>
    </xf>
    <xf numFmtId="194" fontId="8" fillId="0" borderId="58" xfId="3" applyNumberFormat="1" applyFont="1" applyFill="1" applyBorder="1" applyAlignment="1">
      <alignment horizontal="right"/>
    </xf>
    <xf numFmtId="165" fontId="8" fillId="0" borderId="4" xfId="3" applyNumberFormat="1" applyFont="1" applyFill="1" applyBorder="1" applyAlignment="1"/>
    <xf numFmtId="165" fontId="8" fillId="0" borderId="4" xfId="3" applyNumberFormat="1" applyFont="1" applyFill="1" applyBorder="1" applyAlignment="1">
      <alignment horizontal="right"/>
    </xf>
    <xf numFmtId="0" fontId="8" fillId="0" borderId="7" xfId="3" applyNumberFormat="1" applyFont="1" applyFill="1" applyBorder="1" applyAlignment="1">
      <alignment horizontal="right"/>
    </xf>
    <xf numFmtId="194" fontId="8" fillId="0" borderId="71" xfId="3" applyNumberFormat="1" applyFont="1" applyFill="1" applyBorder="1" applyAlignment="1">
      <alignment horizontal="right"/>
    </xf>
    <xf numFmtId="0" fontId="8" fillId="0" borderId="20" xfId="3" applyNumberFormat="1" applyFont="1" applyFill="1" applyBorder="1" applyAlignment="1">
      <alignment horizontal="right"/>
    </xf>
    <xf numFmtId="165" fontId="9" fillId="0" borderId="0" xfId="3" applyNumberFormat="1" applyFont="1" applyFill="1" applyBorder="1" applyAlignment="1">
      <alignment horizontal="right"/>
    </xf>
    <xf numFmtId="165" fontId="8" fillId="0" borderId="6" xfId="3" applyNumberFormat="1" applyFont="1" applyFill="1" applyBorder="1" applyAlignment="1"/>
    <xf numFmtId="165" fontId="8" fillId="0" borderId="6" xfId="3" applyNumberFormat="1" applyFont="1" applyFill="1" applyBorder="1" applyAlignment="1">
      <alignment horizontal="right"/>
    </xf>
    <xf numFmtId="165" fontId="52" fillId="0" borderId="0" xfId="3" applyNumberFormat="1" applyFont="1" applyFill="1" applyBorder="1" applyAlignment="1">
      <alignment horizontal="right" wrapText="1"/>
    </xf>
    <xf numFmtId="1" fontId="52" fillId="0" borderId="0" xfId="3" applyNumberFormat="1" applyFont="1" applyFill="1" applyBorder="1" applyAlignment="1">
      <alignment horizontal="right"/>
    </xf>
    <xf numFmtId="195" fontId="8" fillId="0" borderId="0" xfId="3" quotePrefix="1" applyNumberFormat="1" applyFont="1" applyFill="1" applyBorder="1" applyAlignment="1">
      <alignment horizontal="right"/>
    </xf>
    <xf numFmtId="195" fontId="8" fillId="0" borderId="0" xfId="3" applyNumberFormat="1" applyFont="1" applyFill="1" applyBorder="1" applyAlignment="1">
      <alignment horizontal="right"/>
    </xf>
    <xf numFmtId="165" fontId="8" fillId="0" borderId="0" xfId="3" applyNumberFormat="1" applyFont="1" applyFill="1" applyBorder="1" applyAlignment="1">
      <alignment horizontal="right" wrapText="1"/>
    </xf>
    <xf numFmtId="165" fontId="8" fillId="0" borderId="0" xfId="3" quotePrefix="1" applyNumberFormat="1" applyFont="1" applyFill="1" applyBorder="1" applyAlignment="1">
      <alignment horizontal="right"/>
    </xf>
    <xf numFmtId="165" fontId="8" fillId="0" borderId="4" xfId="3" applyNumberFormat="1" applyFont="1" applyFill="1" applyBorder="1" applyAlignment="1">
      <alignment horizontal="right" wrapText="1"/>
    </xf>
    <xf numFmtId="195" fontId="8" fillId="0" borderId="4" xfId="3" quotePrefix="1" applyNumberFormat="1" applyFont="1" applyFill="1" applyBorder="1" applyAlignment="1">
      <alignment horizontal="right"/>
    </xf>
    <xf numFmtId="195" fontId="8" fillId="0" borderId="4" xfId="3" applyNumberFormat="1" applyFont="1" applyFill="1" applyBorder="1" applyAlignment="1">
      <alignment horizontal="right"/>
    </xf>
    <xf numFmtId="0" fontId="14" fillId="0" borderId="4" xfId="3" applyFont="1" applyFill="1" applyBorder="1"/>
    <xf numFmtId="0" fontId="41" fillId="3" borderId="17" xfId="3" applyFont="1" applyFill="1" applyBorder="1" applyAlignment="1">
      <alignment horizontal="right"/>
    </xf>
    <xf numFmtId="165" fontId="7" fillId="0" borderId="0" xfId="3" applyNumberFormat="1" applyFont="1" applyFill="1" applyAlignment="1">
      <alignment vertical="top"/>
    </xf>
    <xf numFmtId="165" fontId="8" fillId="0" borderId="9" xfId="3" applyNumberFormat="1" applyFont="1" applyFill="1" applyBorder="1"/>
    <xf numFmtId="165" fontId="25" fillId="0" borderId="11" xfId="3" applyNumberFormat="1" applyFont="1" applyFill="1" applyBorder="1" applyAlignment="1">
      <alignment horizontal="right"/>
    </xf>
    <xf numFmtId="165" fontId="28" fillId="0" borderId="11" xfId="3" applyNumberFormat="1" applyFont="1" applyFill="1" applyBorder="1" applyAlignment="1">
      <alignment horizontal="right"/>
    </xf>
    <xf numFmtId="165" fontId="25" fillId="0" borderId="58" xfId="3" applyNumberFormat="1" applyFont="1" applyFill="1" applyBorder="1"/>
    <xf numFmtId="165" fontId="25" fillId="3" borderId="58" xfId="3" applyNumberFormat="1" applyFont="1" applyFill="1" applyBorder="1"/>
    <xf numFmtId="165" fontId="25" fillId="0" borderId="63" xfId="3" applyNumberFormat="1" applyFont="1" applyFill="1" applyBorder="1"/>
    <xf numFmtId="165" fontId="25" fillId="0" borderId="0" xfId="3" applyNumberFormat="1" applyFont="1" applyFill="1" applyBorder="1"/>
    <xf numFmtId="0" fontId="25" fillId="0" borderId="11" xfId="3" applyFont="1" applyFill="1" applyBorder="1" applyAlignment="1">
      <alignment horizontal="right"/>
    </xf>
    <xf numFmtId="0" fontId="25" fillId="0" borderId="58" xfId="3" applyFont="1" applyFill="1" applyBorder="1"/>
    <xf numFmtId="0" fontId="25" fillId="3" borderId="58" xfId="3" applyFont="1" applyFill="1" applyBorder="1"/>
    <xf numFmtId="0" fontId="25" fillId="0" borderId="63" xfId="3" applyFont="1" applyFill="1" applyBorder="1"/>
    <xf numFmtId="0" fontId="25" fillId="0" borderId="0" xfId="3" applyFont="1" applyFill="1" applyBorder="1"/>
    <xf numFmtId="10" fontId="8" fillId="0" borderId="15" xfId="17" applyNumberFormat="1" applyFont="1" applyFill="1" applyBorder="1" applyAlignment="1">
      <alignment horizontal="right"/>
    </xf>
    <xf numFmtId="10" fontId="25" fillId="0" borderId="15" xfId="17" applyNumberFormat="1" applyFont="1" applyFill="1" applyBorder="1" applyAlignment="1">
      <alignment horizontal="right"/>
    </xf>
    <xf numFmtId="10" fontId="25" fillId="0" borderId="60" xfId="17" applyNumberFormat="1" applyFont="1" applyFill="1" applyBorder="1" applyAlignment="1">
      <alignment horizontal="right"/>
    </xf>
    <xf numFmtId="10" fontId="25" fillId="3" borderId="64" xfId="17" applyNumberFormat="1" applyFont="1" applyFill="1" applyBorder="1" applyAlignment="1">
      <alignment horizontal="right"/>
    </xf>
    <xf numFmtId="10" fontId="25" fillId="0" borderId="64" xfId="17" applyNumberFormat="1" applyFont="1" applyFill="1" applyBorder="1" applyAlignment="1">
      <alignment horizontal="right"/>
    </xf>
    <xf numFmtId="10" fontId="8" fillId="0" borderId="0" xfId="17" applyNumberFormat="1" applyFont="1" applyFill="1" applyBorder="1" applyAlignment="1">
      <alignment horizontal="right"/>
    </xf>
    <xf numFmtId="10" fontId="25" fillId="3" borderId="0" xfId="17" applyNumberFormat="1" applyFont="1" applyFill="1" applyBorder="1" applyAlignment="1">
      <alignment horizontal="right"/>
    </xf>
    <xf numFmtId="0" fontId="1" fillId="0" borderId="0" xfId="29" applyFill="1"/>
    <xf numFmtId="0" fontId="96" fillId="0" borderId="0" xfId="0" applyFont="1"/>
    <xf numFmtId="173" fontId="3" fillId="13" borderId="25" xfId="1" applyNumberFormat="1" applyFont="1" applyFill="1" applyBorder="1"/>
    <xf numFmtId="173" fontId="3" fillId="13" borderId="25" xfId="1" applyNumberFormat="1" applyFont="1" applyFill="1" applyBorder="1" applyAlignment="1">
      <alignment horizontal="center"/>
    </xf>
    <xf numFmtId="173" fontId="0" fillId="0" borderId="25" xfId="1" applyNumberFormat="1" applyFont="1" applyBorder="1"/>
    <xf numFmtId="173" fontId="97" fillId="0" borderId="25" xfId="1" applyNumberFormat="1" applyFont="1" applyBorder="1" applyAlignment="1">
      <alignment horizontal="center"/>
    </xf>
    <xf numFmtId="173" fontId="97" fillId="0" borderId="25" xfId="1" applyNumberFormat="1" applyFont="1" applyBorder="1"/>
    <xf numFmtId="173" fontId="98" fillId="0" borderId="25" xfId="1" applyNumberFormat="1" applyFont="1" applyBorder="1"/>
    <xf numFmtId="173" fontId="30" fillId="13" borderId="25" xfId="1" applyNumberFormat="1" applyFont="1" applyFill="1" applyBorder="1" applyAlignment="1">
      <alignment horizontal="center"/>
    </xf>
    <xf numFmtId="0" fontId="0" fillId="0" borderId="0" xfId="3" applyFont="1" applyAlignment="1" applyProtection="1">
      <alignment vertical="top"/>
    </xf>
    <xf numFmtId="0" fontId="0" fillId="0" borderId="0" xfId="3" applyFont="1" applyProtection="1"/>
    <xf numFmtId="0" fontId="0" fillId="0" borderId="0" xfId="3" applyFont="1" applyProtection="1">
      <protection locked="0"/>
    </xf>
    <xf numFmtId="0" fontId="5" fillId="0" borderId="0" xfId="3" applyFont="1" applyAlignment="1" applyProtection="1">
      <alignment vertical="top"/>
    </xf>
    <xf numFmtId="0" fontId="0" fillId="0" borderId="0" xfId="3" applyFont="1" applyAlignment="1" applyProtection="1">
      <protection locked="0"/>
    </xf>
    <xf numFmtId="0" fontId="0" fillId="0" borderId="10" xfId="3" applyFont="1" applyBorder="1" applyAlignment="1" applyProtection="1">
      <alignment vertical="top"/>
    </xf>
    <xf numFmtId="0" fontId="14" fillId="0" borderId="0" xfId="3" applyFont="1" applyFill="1" applyBorder="1" applyAlignment="1" applyProtection="1">
      <alignment horizontal="left" vertical="top" wrapText="1"/>
      <protection locked="0"/>
    </xf>
    <xf numFmtId="0" fontId="27" fillId="0" borderId="0" xfId="15" applyFont="1" applyBorder="1" applyAlignment="1"/>
    <xf numFmtId="0" fontId="9" fillId="3" borderId="23" xfId="15" applyFont="1" applyFill="1" applyBorder="1"/>
    <xf numFmtId="0" fontId="9" fillId="3" borderId="23" xfId="15" applyFont="1" applyFill="1" applyBorder="1" applyAlignment="1">
      <alignment horizontal="right"/>
    </xf>
    <xf numFmtId="0" fontId="0" fillId="0" borderId="0" xfId="3" applyFont="1" applyBorder="1" applyProtection="1">
      <protection locked="0"/>
    </xf>
    <xf numFmtId="0" fontId="8" fillId="0" borderId="0" xfId="15" applyFont="1" applyBorder="1" applyAlignment="1">
      <alignment horizontal="left"/>
    </xf>
    <xf numFmtId="166" fontId="8" fillId="0" borderId="0" xfId="15" applyNumberFormat="1" applyFont="1" applyBorder="1" applyAlignment="1">
      <alignment horizontal="right"/>
    </xf>
    <xf numFmtId="0" fontId="8" fillId="0" borderId="0" xfId="15" quotePrefix="1" applyFont="1" applyBorder="1" applyAlignment="1">
      <alignment horizontal="right"/>
    </xf>
    <xf numFmtId="170" fontId="8" fillId="0" borderId="0" xfId="2" quotePrefix="1" applyNumberFormat="1" applyFont="1" applyBorder="1" applyAlignment="1">
      <alignment horizontal="right"/>
    </xf>
    <xf numFmtId="0" fontId="8" fillId="0" borderId="4" xfId="15" applyFont="1" applyBorder="1" applyAlignment="1">
      <alignment horizontal="left"/>
    </xf>
    <xf numFmtId="166" fontId="8" fillId="0" borderId="4" xfId="15" applyNumberFormat="1" applyFont="1" applyBorder="1" applyAlignment="1">
      <alignment horizontal="right"/>
    </xf>
    <xf numFmtId="9" fontId="8" fillId="0" borderId="4" xfId="2" applyFont="1" applyBorder="1" applyAlignment="1">
      <alignment horizontal="right"/>
    </xf>
    <xf numFmtId="0" fontId="8" fillId="0" borderId="0" xfId="15" applyFont="1" applyBorder="1" applyAlignment="1">
      <alignment horizontal="right"/>
    </xf>
    <xf numFmtId="0" fontId="8" fillId="0" borderId="0" xfId="15" quotePrefix="1" applyFont="1" applyBorder="1" applyAlignment="1"/>
    <xf numFmtId="0" fontId="8" fillId="0" borderId="23" xfId="15" applyFont="1" applyBorder="1" applyAlignment="1">
      <alignment horizontal="left"/>
    </xf>
    <xf numFmtId="0" fontId="9" fillId="0" borderId="82" xfId="15" applyFont="1" applyBorder="1" applyAlignment="1">
      <alignment horizontal="center"/>
    </xf>
    <xf numFmtId="0" fontId="8" fillId="0" borderId="10" xfId="15" applyFont="1" applyBorder="1" applyAlignment="1">
      <alignment horizontal="left"/>
    </xf>
    <xf numFmtId="0" fontId="8" fillId="0" borderId="3" xfId="15" applyFont="1" applyBorder="1" applyAlignment="1">
      <alignment horizontal="right" wrapText="1"/>
    </xf>
    <xf numFmtId="0" fontId="8" fillId="0" borderId="81" xfId="15" applyFont="1" applyBorder="1" applyAlignment="1">
      <alignment horizontal="right"/>
    </xf>
    <xf numFmtId="0" fontId="8" fillId="0" borderId="2" xfId="15" applyFont="1" applyBorder="1" applyAlignment="1">
      <alignment horizontal="right" wrapText="1"/>
    </xf>
    <xf numFmtId="0" fontId="8" fillId="0" borderId="81" xfId="15" applyFont="1" applyBorder="1" applyAlignment="1">
      <alignment horizontal="right" wrapText="1"/>
    </xf>
    <xf numFmtId="0" fontId="8" fillId="0" borderId="81" xfId="15" applyFont="1" applyFill="1" applyBorder="1" applyAlignment="1">
      <alignment horizontal="right" wrapText="1"/>
    </xf>
    <xf numFmtId="0" fontId="8" fillId="0" borderId="81" xfId="15" applyFont="1" applyFill="1" applyBorder="1" applyAlignment="1">
      <alignment horizontal="right"/>
    </xf>
    <xf numFmtId="0" fontId="11" fillId="0" borderId="0" xfId="15" applyFont="1" applyFill="1" applyBorder="1" applyAlignment="1">
      <alignment horizontal="right" wrapText="1"/>
    </xf>
    <xf numFmtId="166" fontId="8" fillId="0" borderId="10" xfId="15" quotePrefix="1" applyNumberFormat="1" applyFont="1" applyBorder="1" applyAlignment="1">
      <alignment horizontal="right"/>
    </xf>
    <xf numFmtId="166" fontId="8" fillId="0" borderId="11" xfId="15" quotePrefix="1" applyNumberFormat="1" applyFont="1" applyBorder="1" applyAlignment="1">
      <alignment horizontal="right"/>
    </xf>
    <xf numFmtId="166" fontId="8" fillId="0" borderId="0" xfId="15" quotePrefix="1" applyNumberFormat="1" applyFont="1" applyBorder="1" applyAlignment="1">
      <alignment horizontal="right"/>
    </xf>
    <xf numFmtId="166" fontId="8" fillId="0" borderId="22" xfId="15" quotePrefix="1" applyNumberFormat="1" applyFont="1" applyFill="1" applyBorder="1" applyAlignment="1">
      <alignment horizontal="right"/>
    </xf>
    <xf numFmtId="166" fontId="8" fillId="0" borderId="7" xfId="15" quotePrefix="1" applyNumberFormat="1" applyFont="1" applyFill="1" applyBorder="1" applyAlignment="1">
      <alignment horizontal="right"/>
    </xf>
    <xf numFmtId="166" fontId="8" fillId="0" borderId="21" xfId="15" quotePrefix="1" applyNumberFormat="1" applyFont="1" applyFill="1" applyBorder="1" applyAlignment="1">
      <alignment horizontal="right"/>
    </xf>
    <xf numFmtId="166" fontId="8" fillId="0" borderId="7" xfId="15" quotePrefix="1" applyNumberFormat="1" applyFont="1" applyBorder="1" applyAlignment="1">
      <alignment horizontal="right"/>
    </xf>
    <xf numFmtId="0" fontId="9" fillId="0" borderId="4" xfId="15" applyFont="1" applyBorder="1" applyAlignment="1">
      <alignment horizontal="left"/>
    </xf>
    <xf numFmtId="166" fontId="9" fillId="0" borderId="14" xfId="15" quotePrefix="1" applyNumberFormat="1" applyFont="1" applyBorder="1" applyAlignment="1">
      <alignment horizontal="right"/>
    </xf>
    <xf numFmtId="166" fontId="9" fillId="0" borderId="15" xfId="15" quotePrefix="1" applyNumberFormat="1" applyFont="1" applyBorder="1" applyAlignment="1">
      <alignment horizontal="right"/>
    </xf>
    <xf numFmtId="166" fontId="9" fillId="0" borderId="15" xfId="15" applyNumberFormat="1" applyFont="1" applyBorder="1" applyAlignment="1">
      <alignment horizontal="right"/>
    </xf>
    <xf numFmtId="166" fontId="9" fillId="0" borderId="4" xfId="15" applyNumberFormat="1" applyFont="1" applyBorder="1" applyAlignment="1">
      <alignment horizontal="right"/>
    </xf>
    <xf numFmtId="166" fontId="9" fillId="0" borderId="10" xfId="15" quotePrefix="1" applyNumberFormat="1" applyFont="1" applyFill="1" applyBorder="1" applyAlignment="1">
      <alignment horizontal="right"/>
    </xf>
    <xf numFmtId="0" fontId="4" fillId="0" borderId="0" xfId="15" applyBorder="1" applyAlignment="1">
      <alignment horizontal="left"/>
    </xf>
    <xf numFmtId="0" fontId="4" fillId="0" borderId="0" xfId="15" applyFont="1" applyBorder="1" applyAlignment="1">
      <alignment horizontal="right"/>
    </xf>
    <xf numFmtId="0" fontId="4" fillId="0" borderId="0" xfId="15" quotePrefix="1" applyFont="1" applyBorder="1" applyAlignment="1">
      <alignment horizontal="right"/>
    </xf>
    <xf numFmtId="0" fontId="27" fillId="0" borderId="4" xfId="15" applyFont="1" applyBorder="1" applyAlignment="1">
      <alignment vertical="top" wrapText="1"/>
    </xf>
    <xf numFmtId="0" fontId="27" fillId="0" borderId="0" xfId="15" applyFont="1" applyBorder="1" applyAlignment="1">
      <alignment vertical="top" wrapText="1"/>
    </xf>
    <xf numFmtId="0" fontId="4" fillId="0" borderId="0" xfId="15" applyFont="1" applyBorder="1" applyAlignment="1">
      <alignment horizontal="right" wrapText="1"/>
    </xf>
    <xf numFmtId="0" fontId="4" fillId="0" borderId="0" xfId="15" applyFont="1" applyBorder="1" applyAlignment="1">
      <alignment horizontal="left"/>
    </xf>
    <xf numFmtId="0" fontId="9" fillId="0" borderId="23" xfId="15" applyFont="1" applyBorder="1" applyAlignment="1">
      <alignment horizontal="right"/>
    </xf>
    <xf numFmtId="166" fontId="8" fillId="3" borderId="0" xfId="15" applyNumberFormat="1" applyFont="1" applyFill="1" applyBorder="1" applyAlignment="1">
      <alignment horizontal="right"/>
    </xf>
    <xf numFmtId="0" fontId="8" fillId="0" borderId="21" xfId="15" applyFont="1" applyBorder="1" applyAlignment="1">
      <alignment horizontal="left"/>
    </xf>
    <xf numFmtId="166" fontId="8" fillId="3" borderId="21" xfId="15" applyNumberFormat="1" applyFont="1" applyFill="1" applyBorder="1" applyAlignment="1">
      <alignment horizontal="right"/>
    </xf>
    <xf numFmtId="166" fontId="9" fillId="3" borderId="4" xfId="15" applyNumberFormat="1" applyFont="1" applyFill="1" applyBorder="1" applyAlignment="1">
      <alignment horizontal="right"/>
    </xf>
    <xf numFmtId="0" fontId="4" fillId="3" borderId="0" xfId="3" applyFont="1" applyFill="1" applyProtection="1">
      <protection locked="0"/>
    </xf>
    <xf numFmtId="166" fontId="8" fillId="0" borderId="0" xfId="15" applyNumberFormat="1" applyFont="1" applyFill="1" applyBorder="1" applyAlignment="1">
      <alignment horizontal="right"/>
    </xf>
    <xf numFmtId="165" fontId="27" fillId="0" borderId="0" xfId="3" applyNumberFormat="1" applyFont="1" applyAlignment="1" applyProtection="1">
      <alignment vertical="top"/>
    </xf>
    <xf numFmtId="165" fontId="9" fillId="3" borderId="0" xfId="3" applyNumberFormat="1" applyFont="1" applyFill="1" applyBorder="1" applyProtection="1"/>
    <xf numFmtId="165" fontId="9" fillId="0" borderId="0" xfId="3" applyNumberFormat="1" applyFont="1" applyFill="1" applyBorder="1" applyProtection="1"/>
    <xf numFmtId="165" fontId="27" fillId="0" borderId="0" xfId="3" applyNumberFormat="1" applyFont="1" applyBorder="1" applyProtection="1">
      <protection locked="0"/>
    </xf>
    <xf numFmtId="165" fontId="27" fillId="0" borderId="0" xfId="3" applyNumberFormat="1" applyFont="1" applyProtection="1">
      <protection locked="0"/>
    </xf>
    <xf numFmtId="0" fontId="0" fillId="0" borderId="0" xfId="3" applyFont="1" applyAlignment="1" applyProtection="1">
      <alignment vertical="top"/>
      <protection locked="0"/>
    </xf>
    <xf numFmtId="0" fontId="8" fillId="0" borderId="21" xfId="3" applyFont="1" applyFill="1" applyBorder="1" applyProtection="1"/>
    <xf numFmtId="196" fontId="0" fillId="0" borderId="0" xfId="3" applyNumberFormat="1" applyFont="1" applyProtection="1">
      <protection locked="0"/>
    </xf>
    <xf numFmtId="0" fontId="0" fillId="0" borderId="0" xfId="3" applyFont="1" applyAlignment="1">
      <alignment vertical="top"/>
    </xf>
    <xf numFmtId="0" fontId="4" fillId="0" borderId="0" xfId="15"/>
    <xf numFmtId="0" fontId="99" fillId="0" borderId="0" xfId="3" applyFont="1" applyAlignment="1">
      <alignment horizontal="right"/>
    </xf>
    <xf numFmtId="0" fontId="0" fillId="0" borderId="0" xfId="3" applyFont="1" applyAlignment="1">
      <alignment horizontal="right"/>
    </xf>
    <xf numFmtId="0" fontId="27" fillId="0" borderId="0" xfId="3" applyFont="1"/>
    <xf numFmtId="17" fontId="27" fillId="0" borderId="0" xfId="3" quotePrefix="1" applyNumberFormat="1" applyFont="1"/>
    <xf numFmtId="0" fontId="27" fillId="0" borderId="0" xfId="3" quotePrefix="1" applyFont="1"/>
    <xf numFmtId="0" fontId="27" fillId="0" borderId="0" xfId="3" quotePrefix="1" applyFont="1" applyAlignment="1">
      <alignment horizontal="right"/>
    </xf>
    <xf numFmtId="166" fontId="0" fillId="0" borderId="0" xfId="3" applyNumberFormat="1" applyFont="1" applyAlignment="1">
      <alignment vertical="top"/>
    </xf>
    <xf numFmtId="0" fontId="0" fillId="0" borderId="0" xfId="3" quotePrefix="1" applyFont="1"/>
    <xf numFmtId="17" fontId="0" fillId="0" borderId="0" xfId="3" quotePrefix="1" applyNumberFormat="1" applyFont="1"/>
    <xf numFmtId="0" fontId="27" fillId="0" borderId="0" xfId="3" applyFont="1" applyFill="1" applyBorder="1" applyProtection="1">
      <protection locked="0"/>
    </xf>
    <xf numFmtId="49" fontId="9" fillId="0" borderId="0" xfId="3" applyNumberFormat="1" applyFont="1" applyFill="1" applyBorder="1" applyAlignment="1" applyProtection="1">
      <alignment vertical="top"/>
    </xf>
    <xf numFmtId="0" fontId="5" fillId="0" borderId="0" xfId="3" applyFont="1" applyAlignment="1" applyProtection="1">
      <alignment vertical="top" wrapText="1"/>
    </xf>
    <xf numFmtId="0" fontId="0" fillId="0" borderId="0" xfId="3" applyFont="1" applyAlignment="1" applyProtection="1">
      <alignment wrapText="1"/>
      <protection locked="0"/>
    </xf>
    <xf numFmtId="0" fontId="8" fillId="0" borderId="23" xfId="3" applyFont="1" applyBorder="1"/>
    <xf numFmtId="0" fontId="9" fillId="0" borderId="23" xfId="3" applyFont="1" applyBorder="1" applyAlignment="1">
      <alignment horizontal="right"/>
    </xf>
    <xf numFmtId="0" fontId="9" fillId="0" borderId="23" xfId="3" quotePrefix="1" applyFont="1" applyBorder="1" applyAlignment="1">
      <alignment horizontal="right"/>
    </xf>
    <xf numFmtId="17" fontId="9" fillId="0" borderId="23" xfId="3" quotePrefix="1" applyNumberFormat="1" applyFont="1" applyBorder="1" applyAlignment="1">
      <alignment horizontal="right"/>
    </xf>
    <xf numFmtId="0" fontId="8" fillId="0" borderId="0" xfId="3" applyFont="1" applyBorder="1"/>
    <xf numFmtId="168" fontId="8" fillId="0" borderId="0" xfId="3" applyNumberFormat="1" applyFont="1" applyBorder="1"/>
    <xf numFmtId="0" fontId="8" fillId="0" borderId="0" xfId="3" applyNumberFormat="1" applyFont="1" applyBorder="1"/>
    <xf numFmtId="0" fontId="9" fillId="0" borderId="41" xfId="3" applyFont="1" applyBorder="1"/>
    <xf numFmtId="168" fontId="9" fillId="3" borderId="41" xfId="3" applyNumberFormat="1" applyFont="1" applyFill="1" applyBorder="1"/>
    <xf numFmtId="165" fontId="9" fillId="0" borderId="0" xfId="3" applyNumberFormat="1" applyFont="1" applyBorder="1" applyProtection="1"/>
    <xf numFmtId="49" fontId="8" fillId="0" borderId="0" xfId="3" applyNumberFormat="1" applyFont="1" applyFill="1" applyBorder="1" applyProtection="1"/>
    <xf numFmtId="49" fontId="8" fillId="0" borderId="0" xfId="3" applyNumberFormat="1" applyFont="1" applyFill="1" applyBorder="1" applyAlignment="1" applyProtection="1">
      <alignment vertical="top"/>
    </xf>
    <xf numFmtId="0" fontId="1" fillId="0" borderId="0" xfId="3" applyFont="1" applyAlignment="1" applyProtection="1">
      <alignment vertical="top"/>
    </xf>
    <xf numFmtId="0" fontId="20" fillId="0" borderId="0" xfId="3" applyFont="1" applyBorder="1" applyProtection="1"/>
    <xf numFmtId="168" fontId="20" fillId="0" borderId="0" xfId="3" applyNumberFormat="1" applyFont="1" applyBorder="1" applyProtection="1"/>
    <xf numFmtId="168" fontId="20" fillId="0" borderId="0" xfId="3" applyNumberFormat="1" applyFont="1" applyBorder="1" applyAlignment="1" applyProtection="1">
      <alignment horizontal="left" indent="1"/>
    </xf>
    <xf numFmtId="0" fontId="1" fillId="0" borderId="23" xfId="3" applyFont="1" applyFill="1" applyBorder="1" applyProtection="1">
      <protection locked="0"/>
    </xf>
    <xf numFmtId="0" fontId="20" fillId="0" borderId="23" xfId="3" applyFont="1" applyBorder="1" applyAlignment="1" applyProtection="1">
      <alignment horizontal="right"/>
      <protection locked="0"/>
    </xf>
    <xf numFmtId="0" fontId="20" fillId="0" borderId="23" xfId="3" quotePrefix="1" applyFont="1" applyBorder="1" applyAlignment="1" applyProtection="1">
      <alignment horizontal="right"/>
      <protection locked="0"/>
    </xf>
    <xf numFmtId="17" fontId="20" fillId="0" borderId="23" xfId="3" quotePrefix="1" applyNumberFormat="1" applyFont="1" applyBorder="1" applyAlignment="1" applyProtection="1">
      <alignment horizontal="right"/>
      <protection locked="0"/>
    </xf>
    <xf numFmtId="0" fontId="17" fillId="0" borderId="0" xfId="3" applyFont="1" applyBorder="1" applyProtection="1">
      <protection locked="0"/>
    </xf>
    <xf numFmtId="2" fontId="1" fillId="0" borderId="0" xfId="17" applyNumberFormat="1" applyFont="1" applyFill="1" applyProtection="1">
      <protection locked="0"/>
    </xf>
    <xf numFmtId="0" fontId="17" fillId="0" borderId="21" xfId="3" applyFont="1" applyBorder="1" applyProtection="1">
      <protection locked="0"/>
    </xf>
    <xf numFmtId="2" fontId="1" fillId="0" borderId="21" xfId="17" applyNumberFormat="1" applyFont="1" applyFill="1" applyBorder="1" applyProtection="1">
      <protection locked="0"/>
    </xf>
    <xf numFmtId="0" fontId="20" fillId="0" borderId="4" xfId="3" applyFont="1" applyBorder="1" applyProtection="1">
      <protection locked="0"/>
    </xf>
    <xf numFmtId="2" fontId="3" fillId="0" borderId="4" xfId="17" applyNumberFormat="1" applyFont="1" applyFill="1" applyBorder="1" applyProtection="1">
      <protection locked="0"/>
    </xf>
    <xf numFmtId="9" fontId="1" fillId="0" borderId="0" xfId="17" applyFont="1" applyFill="1" applyProtection="1">
      <protection locked="0"/>
    </xf>
    <xf numFmtId="9" fontId="1" fillId="0" borderId="0" xfId="17" applyFont="1" applyFill="1" applyProtection="1"/>
    <xf numFmtId="178" fontId="8" fillId="0" borderId="0" xfId="3" applyNumberFormat="1" applyFont="1" applyFill="1" applyProtection="1">
      <protection locked="0"/>
    </xf>
    <xf numFmtId="178" fontId="8" fillId="0" borderId="0" xfId="3" applyNumberFormat="1" applyFont="1" applyBorder="1" applyProtection="1">
      <protection locked="0"/>
    </xf>
    <xf numFmtId="168" fontId="9" fillId="0" borderId="0" xfId="3" applyNumberFormat="1" applyFont="1" applyBorder="1"/>
    <xf numFmtId="0" fontId="0" fillId="0" borderId="0" xfId="3" applyFont="1" applyBorder="1"/>
    <xf numFmtId="166" fontId="0" fillId="0" borderId="0" xfId="3" applyNumberFormat="1" applyFont="1"/>
    <xf numFmtId="196" fontId="9" fillId="0" borderId="0" xfId="3" applyNumberFormat="1" applyFont="1" applyFill="1" applyBorder="1" applyProtection="1">
      <protection locked="0"/>
    </xf>
    <xf numFmtId="196" fontId="8" fillId="0" borderId="0" xfId="3" applyNumberFormat="1" applyFont="1" applyFill="1" applyBorder="1" applyProtection="1">
      <protection locked="0"/>
    </xf>
    <xf numFmtId="0" fontId="8" fillId="11" borderId="0" xfId="3" applyFont="1" applyFill="1" applyBorder="1"/>
    <xf numFmtId="0" fontId="8" fillId="11" borderId="4" xfId="3" applyFont="1" applyFill="1" applyBorder="1"/>
    <xf numFmtId="0" fontId="27" fillId="0" borderId="0" xfId="3" applyFont="1" applyProtection="1">
      <protection locked="0"/>
    </xf>
    <xf numFmtId="0" fontId="100" fillId="0" borderId="0" xfId="3" applyFont="1" applyAlignment="1" applyProtection="1">
      <alignment vertical="top"/>
    </xf>
    <xf numFmtId="0" fontId="101" fillId="0" borderId="0" xfId="3" applyFont="1" applyAlignment="1" applyProtection="1">
      <alignment vertical="top"/>
    </xf>
    <xf numFmtId="0" fontId="101" fillId="0" borderId="0" xfId="3" applyFont="1" applyProtection="1"/>
    <xf numFmtId="0" fontId="18" fillId="0" borderId="0" xfId="3" applyFont="1" applyProtection="1"/>
    <xf numFmtId="0" fontId="101" fillId="0" borderId="0" xfId="3" applyFont="1" applyProtection="1">
      <protection locked="0"/>
    </xf>
    <xf numFmtId="0" fontId="100" fillId="2" borderId="0" xfId="3" applyFont="1" applyFill="1" applyAlignment="1" applyProtection="1">
      <alignment vertical="top"/>
    </xf>
    <xf numFmtId="0" fontId="18" fillId="0" borderId="1" xfId="3" applyFont="1" applyFill="1" applyBorder="1" applyAlignment="1" applyProtection="1">
      <alignment vertical="top" wrapText="1"/>
    </xf>
    <xf numFmtId="0" fontId="18" fillId="0" borderId="2" xfId="3" applyFont="1" applyFill="1" applyBorder="1" applyAlignment="1" applyProtection="1">
      <alignment vertical="top" wrapText="1"/>
    </xf>
    <xf numFmtId="0" fontId="18" fillId="0" borderId="3" xfId="3" applyFont="1" applyFill="1" applyBorder="1" applyAlignment="1" applyProtection="1">
      <alignment vertical="top" wrapText="1"/>
    </xf>
    <xf numFmtId="0" fontId="101" fillId="0" borderId="0" xfId="3" applyFont="1" applyAlignment="1" applyProtection="1">
      <protection locked="0"/>
    </xf>
    <xf numFmtId="0" fontId="102" fillId="0" borderId="0" xfId="3" applyFont="1" applyFill="1" applyAlignment="1" applyProtection="1">
      <alignment vertical="top"/>
    </xf>
    <xf numFmtId="0" fontId="101" fillId="0" borderId="0" xfId="3" applyFont="1" applyFill="1" applyAlignment="1" applyProtection="1">
      <alignment vertical="top"/>
    </xf>
    <xf numFmtId="0" fontId="101" fillId="0" borderId="0" xfId="3" applyFont="1" applyFill="1" applyProtection="1">
      <protection locked="0"/>
    </xf>
    <xf numFmtId="0" fontId="18" fillId="0" borderId="0" xfId="3" applyFont="1" applyFill="1" applyProtection="1">
      <protection locked="0"/>
    </xf>
    <xf numFmtId="0" fontId="102" fillId="0" borderId="0" xfId="3" applyFont="1" applyAlignment="1" applyProtection="1">
      <alignment vertical="top"/>
    </xf>
    <xf numFmtId="17" fontId="41" fillId="0" borderId="0" xfId="3" applyNumberFormat="1" applyFont="1" applyBorder="1" applyAlignment="1" applyProtection="1">
      <alignment horizontal="left" vertical="center"/>
    </xf>
    <xf numFmtId="0" fontId="101" fillId="0" borderId="0" xfId="3" applyFont="1" applyBorder="1" applyAlignment="1" applyProtection="1">
      <alignment horizontal="left"/>
    </xf>
    <xf numFmtId="0" fontId="103" fillId="0" borderId="0" xfId="3" applyFont="1" applyBorder="1" applyAlignment="1" applyProtection="1">
      <alignment horizontal="left"/>
    </xf>
    <xf numFmtId="0" fontId="41" fillId="0" borderId="6" xfId="3" applyFont="1" applyBorder="1" applyProtection="1"/>
    <xf numFmtId="0" fontId="41" fillId="0" borderId="6" xfId="3" applyFont="1" applyBorder="1" applyAlignment="1" applyProtection="1">
      <alignment horizontal="center" wrapText="1"/>
    </xf>
    <xf numFmtId="0" fontId="41" fillId="0" borderId="92" xfId="3" applyFont="1" applyBorder="1" applyAlignment="1" applyProtection="1">
      <alignment horizontal="center"/>
    </xf>
    <xf numFmtId="0" fontId="41" fillId="0" borderId="6" xfId="3" applyFont="1" applyFill="1" applyBorder="1" applyAlignment="1" applyProtection="1">
      <alignment horizontal="center" wrapText="1"/>
    </xf>
    <xf numFmtId="0" fontId="41" fillId="0" borderId="6" xfId="3" applyFont="1" applyFill="1" applyBorder="1" applyAlignment="1" applyProtection="1">
      <alignment horizontal="center" vertical="center" wrapText="1"/>
    </xf>
    <xf numFmtId="170" fontId="41" fillId="0" borderId="6" xfId="3" applyNumberFormat="1" applyFont="1" applyFill="1" applyBorder="1" applyAlignment="1" applyProtection="1">
      <alignment horizontal="center" vertical="top" wrapText="1"/>
    </xf>
    <xf numFmtId="0" fontId="41" fillId="0" borderId="0" xfId="3" applyFont="1" applyBorder="1" applyAlignment="1" applyProtection="1"/>
    <xf numFmtId="0" fontId="41" fillId="0" borderId="0" xfId="3" applyFont="1" applyBorder="1" applyAlignment="1" applyProtection="1">
      <alignment horizontal="center" wrapText="1"/>
    </xf>
    <xf numFmtId="0" fontId="41" fillId="0" borderId="11" xfId="3" applyFont="1" applyBorder="1" applyAlignment="1" applyProtection="1">
      <alignment horizontal="center"/>
    </xf>
    <xf numFmtId="170" fontId="105" fillId="0" borderId="0" xfId="3" applyNumberFormat="1" applyFont="1" applyFill="1" applyBorder="1" applyAlignment="1" applyProtection="1">
      <alignment horizontal="center" wrapText="1"/>
    </xf>
    <xf numFmtId="0" fontId="41" fillId="0" borderId="0" xfId="3" applyFont="1" applyFill="1" applyBorder="1" applyAlignment="1" applyProtection="1">
      <alignment horizontal="center" wrapText="1"/>
    </xf>
    <xf numFmtId="170" fontId="41" fillId="0" borderId="0" xfId="3" applyNumberFormat="1" applyFont="1" applyFill="1" applyBorder="1" applyAlignment="1" applyProtection="1">
      <alignment horizontal="center" wrapText="1"/>
    </xf>
    <xf numFmtId="0" fontId="25" fillId="0" borderId="0" xfId="3" applyFont="1" applyBorder="1" applyAlignment="1" applyProtection="1">
      <protection locked="0"/>
    </xf>
    <xf numFmtId="165" fontId="25" fillId="0" borderId="0" xfId="3" applyNumberFormat="1" applyFont="1" applyBorder="1" applyAlignment="1" applyProtection="1">
      <protection locked="0"/>
    </xf>
    <xf numFmtId="165" fontId="25" fillId="0" borderId="11" xfId="3" applyNumberFormat="1" applyFont="1" applyBorder="1" applyAlignment="1" applyProtection="1">
      <protection locked="0"/>
    </xf>
    <xf numFmtId="192" fontId="25" fillId="0" borderId="0" xfId="3" applyNumberFormat="1" applyFont="1" applyFill="1" applyBorder="1" applyAlignment="1" applyProtection="1">
      <alignment wrapText="1"/>
      <protection locked="0"/>
    </xf>
    <xf numFmtId="165" fontId="25" fillId="0" borderId="0" xfId="3" applyNumberFormat="1" applyFont="1" applyFill="1" applyBorder="1" applyAlignment="1" applyProtection="1">
      <protection locked="0"/>
    </xf>
    <xf numFmtId="170" fontId="25" fillId="0" borderId="0" xfId="3" applyNumberFormat="1" applyFont="1" applyFill="1" applyBorder="1" applyAlignment="1" applyProtection="1">
      <alignment wrapText="1"/>
      <protection locked="0"/>
    </xf>
    <xf numFmtId="192" fontId="101" fillId="0" borderId="0" xfId="3" applyNumberFormat="1" applyFont="1" applyProtection="1">
      <protection locked="0"/>
    </xf>
    <xf numFmtId="0" fontId="101" fillId="0" borderId="0" xfId="3" applyNumberFormat="1" applyFont="1" applyProtection="1">
      <protection locked="0"/>
    </xf>
    <xf numFmtId="9" fontId="101" fillId="0" borderId="0" xfId="2" applyFont="1" applyProtection="1">
      <protection locked="0"/>
    </xf>
    <xf numFmtId="165" fontId="25" fillId="0" borderId="11" xfId="3" applyNumberFormat="1" applyFont="1" applyFill="1" applyBorder="1" applyAlignment="1" applyProtection="1">
      <protection locked="0"/>
    </xf>
    <xf numFmtId="170" fontId="25" fillId="0" borderId="21" xfId="3" applyNumberFormat="1" applyFont="1" applyFill="1" applyBorder="1" applyAlignment="1" applyProtection="1">
      <alignment wrapText="1"/>
      <protection locked="0"/>
    </xf>
    <xf numFmtId="0" fontId="41" fillId="0" borderId="41" xfId="3" applyFont="1" applyFill="1" applyBorder="1" applyAlignment="1" applyProtection="1">
      <protection locked="0"/>
    </xf>
    <xf numFmtId="165" fontId="41" fillId="0" borderId="41" xfId="3" applyNumberFormat="1" applyFont="1" applyFill="1" applyBorder="1" applyAlignment="1" applyProtection="1">
      <protection locked="0"/>
    </xf>
    <xf numFmtId="165" fontId="41" fillId="0" borderId="77" xfId="3" applyNumberFormat="1" applyFont="1" applyBorder="1" applyAlignment="1" applyProtection="1">
      <protection locked="0"/>
    </xf>
    <xf numFmtId="192" fontId="41" fillId="0" borderId="41" xfId="3" applyNumberFormat="1" applyFont="1" applyFill="1" applyBorder="1" applyAlignment="1" applyProtection="1">
      <alignment wrapText="1"/>
      <protection locked="0"/>
    </xf>
    <xf numFmtId="170" fontId="41" fillId="0" borderId="4" xfId="3" applyNumberFormat="1" applyFont="1" applyFill="1" applyBorder="1" applyAlignment="1" applyProtection="1">
      <alignment wrapText="1"/>
      <protection locked="0"/>
    </xf>
    <xf numFmtId="165" fontId="41" fillId="0" borderId="11" xfId="3" applyNumberFormat="1" applyFont="1" applyBorder="1" applyAlignment="1" applyProtection="1">
      <alignment horizontal="center"/>
    </xf>
    <xf numFmtId="192" fontId="41" fillId="0" borderId="0" xfId="3" applyNumberFormat="1" applyFont="1" applyFill="1" applyBorder="1" applyAlignment="1" applyProtection="1">
      <alignment horizontal="center" wrapText="1"/>
    </xf>
    <xf numFmtId="0" fontId="25" fillId="0" borderId="0" xfId="3" applyFont="1" applyBorder="1" applyAlignment="1" applyProtection="1"/>
    <xf numFmtId="165" fontId="25" fillId="0" borderId="0" xfId="3" applyNumberFormat="1" applyFont="1" applyBorder="1" applyAlignment="1" applyProtection="1"/>
    <xf numFmtId="165" fontId="25" fillId="0" borderId="11" xfId="3" applyNumberFormat="1" applyFont="1" applyBorder="1" applyAlignment="1" applyProtection="1"/>
    <xf numFmtId="192" fontId="25" fillId="0" borderId="0" xfId="3" applyNumberFormat="1" applyFont="1" applyFill="1" applyBorder="1" applyAlignment="1" applyProtection="1">
      <alignment wrapText="1"/>
    </xf>
    <xf numFmtId="165" fontId="25" fillId="0" borderId="0" xfId="3" applyNumberFormat="1" applyFont="1" applyFill="1" applyBorder="1" applyAlignment="1" applyProtection="1"/>
    <xf numFmtId="170" fontId="101" fillId="0" borderId="0" xfId="2" applyNumberFormat="1" applyFont="1" applyProtection="1">
      <protection locked="0"/>
    </xf>
    <xf numFmtId="165" fontId="41" fillId="0" borderId="41" xfId="3" applyNumberFormat="1" applyFont="1" applyFill="1" applyBorder="1" applyAlignment="1" applyProtection="1"/>
    <xf numFmtId="165" fontId="41" fillId="0" borderId="77" xfId="3" applyNumberFormat="1" applyFont="1" applyBorder="1" applyAlignment="1" applyProtection="1"/>
    <xf numFmtId="192" fontId="41" fillId="0" borderId="41" xfId="3" applyNumberFormat="1" applyFont="1" applyFill="1" applyBorder="1" applyAlignment="1" applyProtection="1">
      <alignment wrapText="1"/>
    </xf>
    <xf numFmtId="0" fontId="41" fillId="0" borderId="0" xfId="3" applyFont="1" applyFill="1" applyBorder="1" applyAlignment="1" applyProtection="1"/>
    <xf numFmtId="165" fontId="41" fillId="0" borderId="0" xfId="3" applyNumberFormat="1" applyFont="1" applyFill="1" applyBorder="1" applyAlignment="1" applyProtection="1"/>
    <xf numFmtId="165" fontId="41" fillId="0" borderId="11" xfId="3" applyNumberFormat="1" applyFont="1" applyBorder="1" applyAlignment="1" applyProtection="1"/>
    <xf numFmtId="170" fontId="25" fillId="0" borderId="0" xfId="3" applyNumberFormat="1" applyFont="1" applyFill="1" applyBorder="1" applyAlignment="1" applyProtection="1">
      <alignment wrapText="1"/>
    </xf>
    <xf numFmtId="165" fontId="41" fillId="0" borderId="59" xfId="3" applyNumberFormat="1" applyFont="1" applyBorder="1" applyAlignment="1" applyProtection="1"/>
    <xf numFmtId="165" fontId="25" fillId="3" borderId="0" xfId="3" applyNumberFormat="1" applyFont="1" applyFill="1" applyBorder="1" applyAlignment="1" applyProtection="1"/>
    <xf numFmtId="165" fontId="25" fillId="3" borderId="11" xfId="3" applyNumberFormat="1" applyFont="1" applyFill="1" applyBorder="1" applyAlignment="1" applyProtection="1"/>
    <xf numFmtId="192" fontId="25" fillId="3" borderId="0" xfId="3" applyNumberFormat="1" applyFont="1" applyFill="1" applyBorder="1" applyAlignment="1" applyProtection="1">
      <alignment wrapText="1"/>
    </xf>
    <xf numFmtId="165" fontId="41" fillId="3" borderId="41" xfId="3" applyNumberFormat="1" applyFont="1" applyFill="1" applyBorder="1" applyAlignment="1" applyProtection="1"/>
    <xf numFmtId="165" fontId="41" fillId="3" borderId="77" xfId="3" applyNumberFormat="1" applyFont="1" applyFill="1" applyBorder="1" applyAlignment="1" applyProtection="1"/>
    <xf numFmtId="192" fontId="41" fillId="3" borderId="41" xfId="3" applyNumberFormat="1" applyFont="1" applyFill="1" applyBorder="1" applyAlignment="1" applyProtection="1">
      <alignment wrapText="1"/>
    </xf>
    <xf numFmtId="0" fontId="41" fillId="0" borderId="0" xfId="3" quotePrefix="1" applyFont="1" applyFill="1" applyBorder="1" applyAlignment="1" applyProtection="1"/>
    <xf numFmtId="192" fontId="106" fillId="0" borderId="0" xfId="3" applyNumberFormat="1" applyFont="1" applyProtection="1">
      <protection locked="0"/>
    </xf>
    <xf numFmtId="192" fontId="25" fillId="3" borderId="0" xfId="3" applyNumberFormat="1" applyFont="1" applyFill="1" applyBorder="1" applyAlignment="1" applyProtection="1">
      <alignment horizontal="right" wrapText="1"/>
    </xf>
    <xf numFmtId="165" fontId="41" fillId="3" borderId="0" xfId="3" applyNumberFormat="1" applyFont="1" applyFill="1" applyBorder="1" applyAlignment="1" applyProtection="1"/>
    <xf numFmtId="165" fontId="25" fillId="0" borderId="59" xfId="3" applyNumberFormat="1" applyFont="1" applyBorder="1" applyAlignment="1" applyProtection="1"/>
    <xf numFmtId="192" fontId="41" fillId="3" borderId="0" xfId="3" applyNumberFormat="1" applyFont="1" applyFill="1" applyBorder="1" applyAlignment="1" applyProtection="1">
      <alignment wrapText="1"/>
    </xf>
    <xf numFmtId="0" fontId="25" fillId="0" borderId="0" xfId="3" quotePrefix="1" applyFont="1" applyFill="1" applyBorder="1" applyAlignment="1" applyProtection="1"/>
    <xf numFmtId="192" fontId="41" fillId="3" borderId="41" xfId="3" applyNumberFormat="1" applyFont="1" applyFill="1" applyBorder="1" applyAlignment="1" applyProtection="1">
      <alignment wrapText="1"/>
      <protection locked="0"/>
    </xf>
    <xf numFmtId="0" fontId="101" fillId="0" borderId="0" xfId="3" applyFont="1" applyAlignment="1" applyProtection="1">
      <alignment wrapText="1"/>
      <protection locked="0"/>
    </xf>
    <xf numFmtId="192" fontId="25" fillId="3" borderId="0" xfId="3" applyNumberFormat="1" applyFont="1" applyFill="1" applyBorder="1" applyAlignment="1" applyProtection="1">
      <alignment wrapText="1"/>
      <protection locked="0"/>
    </xf>
    <xf numFmtId="170" fontId="25" fillId="3" borderId="0" xfId="3" applyNumberFormat="1" applyFont="1" applyFill="1" applyBorder="1" applyAlignment="1" applyProtection="1">
      <alignment wrapText="1"/>
    </xf>
    <xf numFmtId="192" fontId="25" fillId="3" borderId="0" xfId="3" applyNumberFormat="1" applyFont="1" applyFill="1" applyBorder="1" applyAlignment="1" applyProtection="1">
      <alignment horizontal="right" wrapText="1"/>
      <protection locked="0"/>
    </xf>
    <xf numFmtId="170" fontId="41" fillId="3" borderId="41" xfId="3" applyNumberFormat="1" applyFont="1" applyFill="1" applyBorder="1" applyAlignment="1" applyProtection="1">
      <alignment wrapText="1"/>
    </xf>
    <xf numFmtId="192" fontId="41" fillId="3" borderId="0" xfId="3" applyNumberFormat="1" applyFont="1" applyFill="1" applyBorder="1" applyAlignment="1" applyProtection="1">
      <alignment wrapText="1"/>
      <protection locked="0"/>
    </xf>
    <xf numFmtId="170" fontId="41" fillId="3" borderId="0" xfId="3" applyNumberFormat="1" applyFont="1" applyFill="1" applyBorder="1" applyAlignment="1" applyProtection="1">
      <alignment wrapText="1"/>
    </xf>
    <xf numFmtId="0" fontId="100" fillId="3" borderId="0" xfId="3" applyFont="1" applyFill="1" applyAlignment="1" applyProtection="1">
      <alignment vertical="top"/>
    </xf>
    <xf numFmtId="0" fontId="101" fillId="3" borderId="0" xfId="3" applyFont="1" applyFill="1" applyAlignment="1" applyProtection="1">
      <alignment vertical="top"/>
    </xf>
    <xf numFmtId="0" fontId="41" fillId="3" borderId="0" xfId="3" quotePrefix="1" applyFont="1" applyFill="1" applyBorder="1" applyAlignment="1" applyProtection="1"/>
    <xf numFmtId="165" fontId="25" fillId="3" borderId="59" xfId="3" applyNumberFormat="1" applyFont="1" applyFill="1" applyBorder="1" applyAlignment="1" applyProtection="1"/>
    <xf numFmtId="192" fontId="101" fillId="3" borderId="0" xfId="3" applyNumberFormat="1" applyFont="1" applyFill="1" applyProtection="1">
      <protection locked="0"/>
    </xf>
    <xf numFmtId="0" fontId="101" fillId="3" borderId="0" xfId="3" applyNumberFormat="1" applyFont="1" applyFill="1" applyProtection="1">
      <protection locked="0"/>
    </xf>
    <xf numFmtId="0" fontId="101" fillId="3" borderId="0" xfId="3" applyFont="1" applyFill="1" applyProtection="1">
      <protection locked="0"/>
    </xf>
    <xf numFmtId="0" fontId="101" fillId="3" borderId="0" xfId="3" applyFont="1" applyFill="1" applyAlignment="1" applyProtection="1">
      <alignment wrapText="1"/>
      <protection locked="0"/>
    </xf>
    <xf numFmtId="170" fontId="25" fillId="3" borderId="0" xfId="3" applyNumberFormat="1" applyFont="1" applyFill="1" applyBorder="1" applyAlignment="1" applyProtection="1">
      <alignment wrapText="1"/>
      <protection locked="0"/>
    </xf>
    <xf numFmtId="170" fontId="25" fillId="2" borderId="0" xfId="3" applyNumberFormat="1" applyFont="1" applyFill="1" applyBorder="1" applyAlignment="1" applyProtection="1">
      <alignment wrapText="1"/>
      <protection locked="0"/>
    </xf>
    <xf numFmtId="170" fontId="25" fillId="3" borderId="21" xfId="3" applyNumberFormat="1" applyFont="1" applyFill="1" applyBorder="1" applyAlignment="1" applyProtection="1">
      <alignment wrapText="1"/>
      <protection locked="0"/>
    </xf>
    <xf numFmtId="170" fontId="25" fillId="2" borderId="21" xfId="3" applyNumberFormat="1" applyFont="1" applyFill="1" applyBorder="1" applyAlignment="1" applyProtection="1">
      <alignment wrapText="1"/>
      <protection locked="0"/>
    </xf>
    <xf numFmtId="170" fontId="41" fillId="3" borderId="4" xfId="3" applyNumberFormat="1" applyFont="1" applyFill="1" applyBorder="1" applyAlignment="1" applyProtection="1">
      <alignment wrapText="1"/>
      <protection locked="0"/>
    </xf>
    <xf numFmtId="170" fontId="41" fillId="2" borderId="4" xfId="3" applyNumberFormat="1" applyFont="1" applyFill="1" applyBorder="1" applyAlignment="1" applyProtection="1">
      <alignment wrapText="1"/>
      <protection locked="0"/>
    </xf>
    <xf numFmtId="0" fontId="41" fillId="0" borderId="45" xfId="3" applyFont="1" applyFill="1" applyBorder="1" applyAlignment="1" applyProtection="1">
      <protection locked="0"/>
    </xf>
    <xf numFmtId="165" fontId="41" fillId="3" borderId="45" xfId="3" applyNumberFormat="1" applyFont="1" applyFill="1" applyBorder="1" applyAlignment="1" applyProtection="1"/>
    <xf numFmtId="192" fontId="41" fillId="3" borderId="45" xfId="3" applyNumberFormat="1" applyFont="1" applyFill="1" applyBorder="1" applyAlignment="1" applyProtection="1">
      <alignment wrapText="1"/>
    </xf>
    <xf numFmtId="170" fontId="41" fillId="3" borderId="0" xfId="3" applyNumberFormat="1" applyFont="1" applyFill="1" applyBorder="1" applyAlignment="1" applyProtection="1">
      <alignment wrapText="1"/>
      <protection locked="0"/>
    </xf>
    <xf numFmtId="0" fontId="100" fillId="0" borderId="0" xfId="3" applyFont="1" applyFill="1" applyAlignment="1" applyProtection="1">
      <alignment vertical="top"/>
    </xf>
    <xf numFmtId="0" fontId="100" fillId="0" borderId="0" xfId="3" applyFont="1" applyAlignment="1" applyProtection="1">
      <alignment vertical="top" wrapText="1"/>
    </xf>
    <xf numFmtId="0" fontId="104" fillId="2" borderId="0" xfId="3" quotePrefix="1" applyFont="1" applyFill="1" applyBorder="1" applyAlignment="1" applyProtection="1"/>
    <xf numFmtId="165" fontId="104" fillId="2" borderId="0" xfId="3" applyNumberFormat="1" applyFont="1" applyFill="1" applyBorder="1" applyAlignment="1" applyProtection="1"/>
    <xf numFmtId="192" fontId="104" fillId="2" borderId="0" xfId="3" applyNumberFormat="1" applyFont="1" applyFill="1" applyBorder="1" applyAlignment="1" applyProtection="1">
      <alignment wrapText="1"/>
    </xf>
    <xf numFmtId="170" fontId="107" fillId="2" borderId="0" xfId="3" applyNumberFormat="1" applyFont="1" applyFill="1" applyBorder="1" applyAlignment="1" applyProtection="1">
      <alignment wrapText="1"/>
      <protection locked="0"/>
    </xf>
    <xf numFmtId="0" fontId="107" fillId="2" borderId="0" xfId="3" quotePrefix="1" applyFont="1" applyFill="1" applyBorder="1" applyAlignment="1" applyProtection="1"/>
    <xf numFmtId="165" fontId="107" fillId="2" borderId="0" xfId="3" applyNumberFormat="1" applyFont="1" applyFill="1" applyBorder="1" applyAlignment="1" applyProtection="1"/>
    <xf numFmtId="165" fontId="107" fillId="2" borderId="11" xfId="3" applyNumberFormat="1" applyFont="1" applyFill="1" applyBorder="1" applyAlignment="1" applyProtection="1"/>
    <xf numFmtId="0" fontId="107" fillId="2" borderId="0" xfId="3" applyFont="1" applyFill="1" applyBorder="1" applyAlignment="1" applyProtection="1"/>
    <xf numFmtId="0" fontId="104" fillId="2" borderId="41" xfId="3" applyFont="1" applyFill="1" applyBorder="1" applyAlignment="1" applyProtection="1">
      <protection locked="0"/>
    </xf>
    <xf numFmtId="165" fontId="104" fillId="2" borderId="41" xfId="3" applyNumberFormat="1" applyFont="1" applyFill="1" applyBorder="1" applyAlignment="1" applyProtection="1"/>
    <xf numFmtId="165" fontId="104" fillId="2" borderId="77" xfId="3" applyNumberFormat="1" applyFont="1" applyFill="1" applyBorder="1" applyAlignment="1" applyProtection="1"/>
    <xf numFmtId="192" fontId="104" fillId="2" borderId="41" xfId="3" applyNumberFormat="1" applyFont="1" applyFill="1" applyBorder="1" applyAlignment="1" applyProtection="1">
      <alignment wrapText="1"/>
    </xf>
    <xf numFmtId="170" fontId="104" fillId="2" borderId="41" xfId="3" applyNumberFormat="1" applyFont="1" applyFill="1" applyBorder="1" applyAlignment="1" applyProtection="1">
      <alignment wrapText="1"/>
    </xf>
    <xf numFmtId="0" fontId="41" fillId="0" borderId="0" xfId="3" applyFont="1" applyFill="1" applyBorder="1" applyAlignment="1" applyProtection="1">
      <protection locked="0"/>
    </xf>
    <xf numFmtId="170" fontId="41" fillId="2" borderId="41" xfId="3" applyNumberFormat="1" applyFont="1" applyFill="1" applyBorder="1" applyAlignment="1" applyProtection="1">
      <alignment wrapText="1"/>
    </xf>
    <xf numFmtId="0" fontId="41" fillId="14" borderId="0" xfId="3" applyFont="1" applyFill="1" applyBorder="1" applyAlignment="1" applyProtection="1">
      <protection locked="0"/>
    </xf>
    <xf numFmtId="165" fontId="41" fillId="14" borderId="0" xfId="3" applyNumberFormat="1" applyFont="1" applyFill="1" applyBorder="1" applyAlignment="1" applyProtection="1"/>
    <xf numFmtId="10" fontId="41" fillId="14" borderId="0" xfId="3" applyNumberFormat="1" applyFont="1" applyFill="1" applyBorder="1" applyAlignment="1" applyProtection="1"/>
    <xf numFmtId="0" fontId="25" fillId="14" borderId="0" xfId="3" applyFont="1" applyFill="1" applyBorder="1" applyAlignment="1" applyProtection="1">
      <protection locked="0"/>
    </xf>
    <xf numFmtId="165" fontId="41" fillId="14" borderId="11" xfId="3" applyNumberFormat="1" applyFont="1" applyFill="1" applyBorder="1" applyAlignment="1" applyProtection="1"/>
    <xf numFmtId="10" fontId="41" fillId="14" borderId="0" xfId="3" applyNumberFormat="1" applyFont="1" applyFill="1" applyBorder="1" applyAlignment="1" applyProtection="1">
      <alignment wrapText="1"/>
      <protection locked="0"/>
    </xf>
    <xf numFmtId="0" fontId="41" fillId="0" borderId="4" xfId="3" applyFont="1" applyFill="1" applyBorder="1" applyAlignment="1" applyProtection="1">
      <protection locked="0"/>
    </xf>
    <xf numFmtId="165" fontId="41" fillId="3" borderId="4" xfId="3" applyNumberFormat="1" applyFont="1" applyFill="1" applyBorder="1" applyAlignment="1" applyProtection="1"/>
    <xf numFmtId="192" fontId="41" fillId="3" borderId="4" xfId="3" applyNumberFormat="1" applyFont="1" applyFill="1" applyBorder="1" applyAlignment="1" applyProtection="1">
      <alignment wrapText="1"/>
    </xf>
    <xf numFmtId="170" fontId="41" fillId="3" borderId="4" xfId="3" applyNumberFormat="1" applyFont="1" applyFill="1" applyBorder="1" applyAlignment="1" applyProtection="1">
      <alignment wrapText="1"/>
    </xf>
    <xf numFmtId="0" fontId="41" fillId="0" borderId="18" xfId="3" applyFont="1" applyBorder="1" applyAlignment="1" applyProtection="1">
      <alignment horizontal="center"/>
    </xf>
    <xf numFmtId="0" fontId="41" fillId="0" borderId="19" xfId="3" applyFont="1" applyBorder="1" applyAlignment="1" applyProtection="1">
      <alignment horizontal="center"/>
    </xf>
    <xf numFmtId="0" fontId="18" fillId="0" borderId="0" xfId="3" applyFont="1" applyProtection="1">
      <protection locked="0"/>
    </xf>
    <xf numFmtId="0" fontId="25" fillId="0" borderId="23" xfId="3" applyFont="1" applyBorder="1" applyAlignment="1" applyProtection="1">
      <protection locked="0"/>
    </xf>
    <xf numFmtId="0" fontId="25" fillId="0" borderId="24" xfId="3" applyFont="1" applyBorder="1" applyAlignment="1" applyProtection="1">
      <protection locked="0"/>
    </xf>
    <xf numFmtId="0" fontId="25" fillId="0" borderId="5" xfId="3" applyFont="1" applyBorder="1" applyAlignment="1" applyProtection="1">
      <protection locked="0"/>
    </xf>
    <xf numFmtId="0" fontId="25" fillId="0" borderId="9" xfId="3" quotePrefix="1" applyFont="1" applyFill="1" applyBorder="1" applyAlignment="1" applyProtection="1"/>
    <xf numFmtId="0" fontId="25" fillId="0" borderId="12" xfId="3" applyFont="1" applyFill="1" applyBorder="1" applyAlignment="1" applyProtection="1">
      <protection locked="0"/>
    </xf>
    <xf numFmtId="165" fontId="25" fillId="0" borderId="12" xfId="3" applyNumberFormat="1" applyFont="1" applyBorder="1" applyAlignment="1" applyProtection="1">
      <protection locked="0"/>
    </xf>
    <xf numFmtId="165" fontId="25" fillId="0" borderId="9" xfId="3" applyNumberFormat="1" applyFont="1" applyBorder="1" applyAlignment="1" applyProtection="1">
      <protection locked="0"/>
    </xf>
    <xf numFmtId="165" fontId="25" fillId="3" borderId="9" xfId="3" applyNumberFormat="1" applyFont="1" applyFill="1" applyBorder="1" applyAlignment="1" applyProtection="1"/>
    <xf numFmtId="165" fontId="25" fillId="3" borderId="12" xfId="3" applyNumberFormat="1" applyFont="1" applyFill="1" applyBorder="1" applyAlignment="1" applyProtection="1"/>
    <xf numFmtId="165" fontId="25" fillId="0" borderId="63" xfId="3" applyNumberFormat="1" applyFont="1" applyBorder="1" applyAlignment="1" applyProtection="1">
      <protection locked="0"/>
    </xf>
    <xf numFmtId="165" fontId="25" fillId="0" borderId="88" xfId="3" applyNumberFormat="1" applyFont="1" applyBorder="1" applyAlignment="1" applyProtection="1">
      <protection locked="0"/>
    </xf>
    <xf numFmtId="165" fontId="25" fillId="3" borderId="88" xfId="3" applyNumberFormat="1" applyFont="1" applyFill="1" applyBorder="1" applyAlignment="1" applyProtection="1"/>
    <xf numFmtId="165" fontId="25" fillId="3" borderId="58" xfId="3" applyNumberFormat="1" applyFont="1" applyFill="1" applyBorder="1" applyAlignment="1" applyProtection="1"/>
    <xf numFmtId="192" fontId="25" fillId="0" borderId="12" xfId="3" applyNumberFormat="1" applyFont="1" applyFill="1" applyBorder="1" applyAlignment="1" applyProtection="1">
      <alignment wrapText="1"/>
      <protection locked="0"/>
    </xf>
    <xf numFmtId="192" fontId="25" fillId="0" borderId="9" xfId="3" applyNumberFormat="1" applyFont="1" applyFill="1" applyBorder="1" applyAlignment="1" applyProtection="1">
      <alignment wrapText="1"/>
      <protection locked="0"/>
    </xf>
    <xf numFmtId="192" fontId="25" fillId="3" borderId="9" xfId="3" applyNumberFormat="1" applyFont="1" applyFill="1" applyBorder="1" applyAlignment="1" applyProtection="1">
      <alignment wrapText="1"/>
    </xf>
    <xf numFmtId="192" fontId="25" fillId="3" borderId="12" xfId="3" applyNumberFormat="1" applyFont="1" applyFill="1" applyBorder="1" applyAlignment="1" applyProtection="1">
      <alignment wrapText="1"/>
    </xf>
    <xf numFmtId="165" fontId="18" fillId="0" borderId="0" xfId="3" applyNumberFormat="1" applyFont="1" applyProtection="1">
      <protection locked="0"/>
    </xf>
    <xf numFmtId="165" fontId="25" fillId="0" borderId="12" xfId="3" applyNumberFormat="1" applyFont="1" applyFill="1" applyBorder="1" applyAlignment="1" applyProtection="1">
      <protection locked="0"/>
    </xf>
    <xf numFmtId="165" fontId="25" fillId="0" borderId="9" xfId="3" applyNumberFormat="1" applyFont="1" applyFill="1" applyBorder="1" applyAlignment="1" applyProtection="1">
      <protection locked="0"/>
    </xf>
    <xf numFmtId="0" fontId="41" fillId="0" borderId="17" xfId="3" applyFont="1" applyBorder="1" applyAlignment="1" applyProtection="1">
      <alignment horizontal="center"/>
    </xf>
    <xf numFmtId="170" fontId="25" fillId="0" borderId="4" xfId="3" applyNumberFormat="1" applyFont="1" applyFill="1" applyBorder="1" applyAlignment="1" applyProtection="1">
      <alignment wrapText="1"/>
      <protection locked="0"/>
    </xf>
    <xf numFmtId="170" fontId="25" fillId="0" borderId="16" xfId="3" applyNumberFormat="1" applyFont="1" applyFill="1" applyBorder="1" applyAlignment="1" applyProtection="1">
      <alignment wrapText="1"/>
      <protection locked="0"/>
    </xf>
    <xf numFmtId="170" fontId="25" fillId="0" borderId="13" xfId="3" applyNumberFormat="1" applyFont="1" applyFill="1" applyBorder="1" applyAlignment="1" applyProtection="1">
      <alignment wrapText="1"/>
      <protection locked="0"/>
    </xf>
    <xf numFmtId="0" fontId="41" fillId="0" borderId="91" xfId="3" applyFont="1" applyBorder="1" applyProtection="1"/>
    <xf numFmtId="0" fontId="41" fillId="0" borderId="67" xfId="3" applyFont="1" applyBorder="1" applyAlignment="1" applyProtection="1">
      <alignment horizontal="center" wrapText="1"/>
    </xf>
    <xf numFmtId="0" fontId="41" fillId="0" borderId="67" xfId="3" applyFont="1" applyBorder="1" applyAlignment="1" applyProtection="1">
      <alignment horizontal="center"/>
    </xf>
    <xf numFmtId="0" fontId="41" fillId="0" borderId="67" xfId="3" applyFont="1" applyFill="1" applyBorder="1" applyAlignment="1" applyProtection="1">
      <alignment horizontal="center" wrapText="1"/>
    </xf>
    <xf numFmtId="170" fontId="41" fillId="0" borderId="26" xfId="3" applyNumberFormat="1" applyFont="1" applyFill="1" applyBorder="1" applyAlignment="1" applyProtection="1">
      <alignment horizontal="center" vertical="top" wrapText="1"/>
    </xf>
    <xf numFmtId="0" fontId="23" fillId="0" borderId="0" xfId="3" applyFont="1" applyAlignment="1" applyProtection="1">
      <alignment vertical="top"/>
    </xf>
    <xf numFmtId="0" fontId="9" fillId="0" borderId="0" xfId="3" applyFont="1"/>
    <xf numFmtId="168" fontId="8" fillId="0" borderId="0" xfId="31" applyNumberFormat="1" applyFont="1" applyBorder="1" applyAlignment="1">
      <alignment horizontal="right"/>
    </xf>
    <xf numFmtId="0" fontId="27" fillId="0" borderId="0" xfId="3" applyFont="1" applyAlignment="1" applyProtection="1">
      <alignment vertical="top"/>
    </xf>
    <xf numFmtId="0" fontId="9" fillId="0" borderId="41" xfId="3" applyFont="1" applyFill="1" applyBorder="1"/>
    <xf numFmtId="168" fontId="9" fillId="0" borderId="41" xfId="31" applyNumberFormat="1" applyFont="1" applyBorder="1" applyAlignment="1">
      <alignment horizontal="right"/>
    </xf>
    <xf numFmtId="0" fontId="8" fillId="0" borderId="0" xfId="3" applyFont="1" applyAlignment="1" applyProtection="1">
      <alignment vertical="top"/>
    </xf>
    <xf numFmtId="0" fontId="8" fillId="0" borderId="0" xfId="3" applyFont="1" applyBorder="1" applyAlignment="1" applyProtection="1">
      <alignment vertical="top"/>
    </xf>
    <xf numFmtId="0" fontId="4" fillId="0" borderId="0" xfId="3" applyFont="1" applyAlignment="1">
      <alignment vertical="top"/>
    </xf>
    <xf numFmtId="0" fontId="4" fillId="0" borderId="0" xfId="3" applyFont="1"/>
    <xf numFmtId="0" fontId="4" fillId="0" borderId="0" xfId="3" quotePrefix="1" applyFont="1"/>
    <xf numFmtId="17" fontId="4" fillId="0" borderId="0" xfId="3" quotePrefix="1" applyNumberFormat="1" applyFont="1"/>
    <xf numFmtId="0" fontId="4" fillId="0" borderId="0" xfId="3" applyFont="1" applyBorder="1"/>
    <xf numFmtId="3" fontId="4" fillId="0" borderId="0" xfId="31" applyFont="1" applyAlignment="1">
      <alignment vertical="top"/>
    </xf>
    <xf numFmtId="0" fontId="8" fillId="0" borderId="0" xfId="17" applyNumberFormat="1" applyFont="1" applyBorder="1" applyAlignment="1">
      <alignment horizontal="right"/>
    </xf>
    <xf numFmtId="166" fontId="8" fillId="0" borderId="0" xfId="17" applyNumberFormat="1" applyFont="1" applyBorder="1" applyAlignment="1">
      <alignment horizontal="right"/>
    </xf>
    <xf numFmtId="0" fontId="8" fillId="0" borderId="4" xfId="17" applyNumberFormat="1" applyFont="1" applyBorder="1" applyAlignment="1">
      <alignment horizontal="right"/>
    </xf>
    <xf numFmtId="166" fontId="8" fillId="0" borderId="4" xfId="17" applyNumberFormat="1" applyFont="1" applyBorder="1" applyAlignment="1">
      <alignment horizontal="right"/>
    </xf>
    <xf numFmtId="168" fontId="10" fillId="2" borderId="0" xfId="31" applyNumberFormat="1" applyFont="1" applyFill="1" applyBorder="1" applyAlignment="1">
      <alignment horizontal="right"/>
    </xf>
    <xf numFmtId="166" fontId="4" fillId="0" borderId="0" xfId="3" applyNumberFormat="1" applyFont="1" applyAlignment="1">
      <alignment vertical="top"/>
    </xf>
    <xf numFmtId="166" fontId="4" fillId="0" borderId="0" xfId="3" applyNumberFormat="1" applyFont="1"/>
    <xf numFmtId="0" fontId="0" fillId="0" borderId="0" xfId="3" applyFont="1" applyBorder="1" applyAlignment="1">
      <alignment vertical="top"/>
    </xf>
    <xf numFmtId="0" fontId="0" fillId="0" borderId="0" xfId="3" applyFont="1" applyBorder="1" applyAlignment="1">
      <alignment horizontal="right"/>
    </xf>
    <xf numFmtId="0" fontId="27" fillId="0" borderId="0" xfId="3" applyFont="1" applyBorder="1" applyAlignment="1">
      <alignment vertical="top"/>
    </xf>
    <xf numFmtId="0" fontId="27" fillId="0" borderId="0" xfId="3" applyFont="1" applyBorder="1"/>
    <xf numFmtId="0" fontId="27" fillId="0" borderId="0" xfId="3" quotePrefix="1" applyFont="1" applyBorder="1"/>
    <xf numFmtId="17" fontId="27" fillId="0" borderId="0" xfId="3" quotePrefix="1" applyNumberFormat="1" applyFont="1" applyBorder="1"/>
    <xf numFmtId="0" fontId="109" fillId="0" borderId="0" xfId="3" quotePrefix="1" applyFont="1" applyBorder="1" applyAlignment="1">
      <alignment horizontal="right"/>
    </xf>
    <xf numFmtId="0" fontId="9" fillId="0" borderId="0" xfId="3" quotePrefix="1" applyFont="1" applyBorder="1" applyAlignment="1">
      <alignment horizontal="right"/>
    </xf>
    <xf numFmtId="3" fontId="4" fillId="0" borderId="0" xfId="31" applyBorder="1" applyAlignment="1">
      <alignment vertical="top"/>
    </xf>
    <xf numFmtId="3" fontId="4" fillId="0" borderId="0" xfId="31" applyBorder="1"/>
    <xf numFmtId="3" fontId="110" fillId="0" borderId="0" xfId="31" applyFont="1" applyBorder="1" applyAlignment="1">
      <alignment horizontal="right"/>
    </xf>
    <xf numFmtId="0" fontId="0" fillId="15" borderId="0" xfId="3" applyFont="1" applyFill="1" applyBorder="1" applyProtection="1">
      <protection locked="0"/>
    </xf>
    <xf numFmtId="3" fontId="4" fillId="0" borderId="0" xfId="31" applyFill="1" applyBorder="1"/>
    <xf numFmtId="3" fontId="110" fillId="0" borderId="0" xfId="31" applyFont="1" applyFill="1" applyBorder="1" applyAlignment="1">
      <alignment horizontal="right"/>
    </xf>
    <xf numFmtId="168" fontId="8" fillId="0" borderId="0" xfId="31" applyNumberFormat="1" applyFont="1" applyFill="1" applyBorder="1" applyAlignment="1">
      <alignment horizontal="right"/>
    </xf>
    <xf numFmtId="0" fontId="111" fillId="0" borderId="0" xfId="3" applyFont="1" applyBorder="1" applyAlignment="1">
      <alignment horizontal="right"/>
    </xf>
    <xf numFmtId="166" fontId="0" fillId="0" borderId="0" xfId="3" applyNumberFormat="1" applyFont="1" applyBorder="1" applyAlignment="1">
      <alignment vertical="top"/>
    </xf>
    <xf numFmtId="166" fontId="0" fillId="0" borderId="0" xfId="3" applyNumberFormat="1" applyFont="1" applyBorder="1"/>
    <xf numFmtId="166" fontId="99" fillId="0" borderId="0" xfId="3" applyNumberFormat="1" applyFont="1" applyAlignment="1">
      <alignment horizontal="right"/>
    </xf>
    <xf numFmtId="170" fontId="4" fillId="0" borderId="0" xfId="17" applyNumberFormat="1" applyFont="1" applyProtection="1"/>
    <xf numFmtId="0" fontId="26" fillId="0" borderId="2" xfId="4" applyFont="1" applyBorder="1" applyAlignment="1" applyProtection="1"/>
    <xf numFmtId="0" fontId="26" fillId="0" borderId="3" xfId="4" applyFont="1" applyBorder="1" applyAlignment="1"/>
    <xf numFmtId="0" fontId="14" fillId="0" borderId="0" xfId="3" applyFont="1" applyFill="1" applyBorder="1" applyAlignment="1" applyProtection="1">
      <alignment horizontal="left" vertical="top" wrapText="1"/>
    </xf>
    <xf numFmtId="170" fontId="4" fillId="0" borderId="0" xfId="17" applyNumberFormat="1" applyFont="1" applyFill="1" applyBorder="1" applyAlignment="1" applyProtection="1">
      <alignment vertical="top" wrapText="1"/>
    </xf>
    <xf numFmtId="170" fontId="8" fillId="0" borderId="0" xfId="17" applyNumberFormat="1" applyFont="1" applyProtection="1"/>
    <xf numFmtId="0" fontId="5" fillId="0" borderId="0" xfId="3" applyFont="1" applyBorder="1" applyAlignment="1" applyProtection="1">
      <alignment vertical="top"/>
    </xf>
    <xf numFmtId="17" fontId="9" fillId="0" borderId="0" xfId="3" quotePrefix="1" applyNumberFormat="1" applyFont="1" applyBorder="1" applyAlignment="1">
      <alignment horizontal="right"/>
    </xf>
    <xf numFmtId="0" fontId="113" fillId="0" borderId="0" xfId="3" applyFont="1" applyBorder="1" applyAlignment="1" applyProtection="1">
      <alignment horizontal="right" vertical="top" textRotation="90" wrapText="1"/>
    </xf>
    <xf numFmtId="168" fontId="8" fillId="3" borderId="0" xfId="31" applyNumberFormat="1" applyFont="1" applyFill="1" applyBorder="1" applyAlignment="1">
      <alignment horizontal="right"/>
    </xf>
    <xf numFmtId="166" fontId="17" fillId="3" borderId="0" xfId="3" applyNumberFormat="1" applyFont="1" applyFill="1" applyProtection="1">
      <protection locked="0"/>
    </xf>
    <xf numFmtId="166" fontId="0" fillId="0" borderId="0" xfId="3" applyNumberFormat="1" applyFont="1" applyProtection="1">
      <protection locked="0"/>
    </xf>
    <xf numFmtId="0" fontId="112" fillId="0" borderId="0" xfId="3" applyFont="1" applyBorder="1" applyAlignment="1" applyProtection="1">
      <alignment horizontal="right" vertical="top" textRotation="90" wrapText="1"/>
    </xf>
    <xf numFmtId="0" fontId="8" fillId="0" borderId="21" xfId="3" applyFont="1" applyBorder="1"/>
    <xf numFmtId="168" fontId="8" fillId="0" borderId="21" xfId="31" applyNumberFormat="1" applyFont="1" applyBorder="1" applyAlignment="1">
      <alignment horizontal="right"/>
    </xf>
    <xf numFmtId="168" fontId="8" fillId="3" borderId="21" xfId="31" applyNumberFormat="1" applyFont="1" applyFill="1" applyBorder="1" applyAlignment="1">
      <alignment horizontal="right"/>
    </xf>
    <xf numFmtId="166" fontId="17" fillId="3" borderId="21" xfId="3" applyNumberFormat="1" applyFont="1" applyFill="1" applyBorder="1" applyProtection="1">
      <protection locked="0"/>
    </xf>
    <xf numFmtId="0" fontId="9" fillId="0" borderId="41" xfId="3" applyFont="1" applyBorder="1" applyAlignment="1">
      <alignment horizontal="left"/>
    </xf>
    <xf numFmtId="168" fontId="9" fillId="0" borderId="41" xfId="3" applyNumberFormat="1" applyFont="1" applyBorder="1" applyAlignment="1">
      <alignment horizontal="right"/>
    </xf>
    <xf numFmtId="168" fontId="9" fillId="3" borderId="4" xfId="3" applyNumberFormat="1" applyFont="1" applyFill="1" applyBorder="1" applyAlignment="1">
      <alignment horizontal="right"/>
    </xf>
    <xf numFmtId="168" fontId="9" fillId="3" borderId="41" xfId="3" applyNumberFormat="1" applyFont="1" applyFill="1" applyBorder="1" applyAlignment="1">
      <alignment horizontal="right"/>
    </xf>
    <xf numFmtId="168" fontId="8" fillId="0" borderId="0" xfId="3" applyNumberFormat="1" applyFont="1" applyBorder="1" applyAlignment="1">
      <alignment horizontal="right"/>
    </xf>
    <xf numFmtId="0" fontId="9" fillId="0" borderId="0" xfId="3" applyFont="1" applyBorder="1" applyProtection="1"/>
    <xf numFmtId="170" fontId="9" fillId="0" borderId="0" xfId="17" applyNumberFormat="1" applyFont="1" applyBorder="1" applyProtection="1"/>
    <xf numFmtId="170" fontId="9" fillId="3" borderId="0" xfId="17" applyNumberFormat="1" applyFont="1" applyFill="1" applyBorder="1" applyProtection="1"/>
    <xf numFmtId="170" fontId="4" fillId="0" borderId="0" xfId="17" applyNumberFormat="1" applyFont="1" applyFill="1" applyProtection="1"/>
    <xf numFmtId="170" fontId="4" fillId="0" borderId="0" xfId="17" applyNumberFormat="1" applyFont="1" applyProtection="1">
      <protection locked="0"/>
    </xf>
    <xf numFmtId="0" fontId="0" fillId="0" borderId="0" xfId="3" applyFont="1" applyBorder="1" applyAlignment="1"/>
    <xf numFmtId="170" fontId="0" fillId="0" borderId="0" xfId="2" applyNumberFormat="1" applyFont="1" applyBorder="1"/>
    <xf numFmtId="0" fontId="8" fillId="0" borderId="0" xfId="3" applyFont="1"/>
    <xf numFmtId="0" fontId="4" fillId="0" borderId="4" xfId="15" applyBorder="1"/>
    <xf numFmtId="0" fontId="0" fillId="0" borderId="4" xfId="3" applyFont="1" applyBorder="1"/>
    <xf numFmtId="0" fontId="9" fillId="3" borderId="0" xfId="15" applyFont="1" applyFill="1" applyBorder="1"/>
    <xf numFmtId="170" fontId="9" fillId="0" borderId="0" xfId="2" quotePrefix="1" applyNumberFormat="1" applyFont="1" applyFill="1" applyBorder="1" applyAlignment="1">
      <alignment horizontal="right" wrapText="1"/>
    </xf>
    <xf numFmtId="0" fontId="8" fillId="0" borderId="0" xfId="3" applyFont="1" applyBorder="1" applyAlignment="1">
      <alignment vertical="top" wrapText="1"/>
    </xf>
    <xf numFmtId="181" fontId="8" fillId="0" borderId="0" xfId="3" applyNumberFormat="1" applyFont="1" applyFill="1" applyBorder="1" applyAlignment="1">
      <alignment horizontal="right" vertical="top" wrapText="1"/>
    </xf>
    <xf numFmtId="181" fontId="8" fillId="3" borderId="0" xfId="3" applyNumberFormat="1" applyFont="1" applyFill="1" applyBorder="1" applyAlignment="1">
      <alignment horizontal="right" vertical="top" wrapText="1"/>
    </xf>
    <xf numFmtId="170" fontId="8" fillId="0" borderId="0" xfId="2" applyNumberFormat="1" applyFont="1" applyFill="1" applyBorder="1" applyAlignment="1">
      <alignment horizontal="right" vertical="top" wrapText="1"/>
    </xf>
    <xf numFmtId="0" fontId="8" fillId="0" borderId="4" xfId="3" applyFont="1" applyBorder="1" applyAlignment="1">
      <alignment vertical="top" wrapText="1"/>
    </xf>
    <xf numFmtId="181" fontId="8" fillId="0" borderId="4" xfId="3" applyNumberFormat="1" applyFont="1" applyFill="1" applyBorder="1" applyAlignment="1">
      <alignment horizontal="right" vertical="top" wrapText="1"/>
    </xf>
    <xf numFmtId="181" fontId="8" fillId="3" borderId="4" xfId="3" applyNumberFormat="1" applyFont="1" applyFill="1" applyBorder="1" applyAlignment="1">
      <alignment horizontal="right" vertical="top" wrapText="1"/>
    </xf>
    <xf numFmtId="181" fontId="8" fillId="0" borderId="0" xfId="3" applyNumberFormat="1" applyFont="1" applyFill="1" applyBorder="1" applyAlignment="1">
      <alignment vertical="top" wrapText="1"/>
    </xf>
    <xf numFmtId="170" fontId="8" fillId="0" borderId="0" xfId="17" applyNumberFormat="1" applyFont="1" applyFill="1" applyBorder="1" applyAlignment="1">
      <alignment horizontal="right" vertical="top" wrapText="1"/>
    </xf>
    <xf numFmtId="0" fontId="4" fillId="0" borderId="23" xfId="15" applyBorder="1"/>
    <xf numFmtId="3" fontId="8" fillId="0" borderId="0" xfId="3" applyNumberFormat="1" applyFont="1" applyFill="1" applyBorder="1" applyAlignment="1">
      <alignment horizontal="right" vertical="top" wrapText="1"/>
    </xf>
    <xf numFmtId="170" fontId="4" fillId="0" borderId="0" xfId="2" applyNumberFormat="1" applyFont="1"/>
    <xf numFmtId="173" fontId="11" fillId="0" borderId="0" xfId="1" applyNumberFormat="1" applyFont="1" applyFill="1"/>
    <xf numFmtId="173" fontId="12" fillId="0" borderId="0" xfId="1" applyNumberFormat="1" applyFont="1"/>
    <xf numFmtId="0" fontId="12" fillId="0" borderId="0" xfId="15" applyFont="1"/>
    <xf numFmtId="170" fontId="12" fillId="0" borderId="0" xfId="2" applyNumberFormat="1" applyFont="1"/>
    <xf numFmtId="166" fontId="9" fillId="0" borderId="23" xfId="3" quotePrefix="1" applyNumberFormat="1" applyFont="1" applyFill="1" applyBorder="1" applyAlignment="1">
      <alignment horizontal="right"/>
    </xf>
    <xf numFmtId="166" fontId="4" fillId="0" borderId="0" xfId="15" applyNumberFormat="1"/>
    <xf numFmtId="166" fontId="4" fillId="0" borderId="0" xfId="15" applyNumberFormat="1" applyFont="1"/>
    <xf numFmtId="166" fontId="4" fillId="0" borderId="4" xfId="15" applyNumberFormat="1" applyBorder="1"/>
    <xf numFmtId="166" fontId="4" fillId="0" borderId="4" xfId="15" applyNumberFormat="1" applyFont="1" applyBorder="1"/>
    <xf numFmtId="0" fontId="4" fillId="0" borderId="45" xfId="3" applyFont="1" applyFill="1" applyBorder="1" applyAlignment="1" applyProtection="1">
      <alignment vertical="top" wrapText="1"/>
    </xf>
    <xf numFmtId="0" fontId="20" fillId="0" borderId="23" xfId="3" quotePrefix="1" applyFont="1" applyBorder="1" applyAlignment="1">
      <alignment horizontal="right"/>
    </xf>
    <xf numFmtId="0" fontId="8" fillId="0" borderId="21" xfId="3" applyFont="1" applyBorder="1" applyAlignment="1" applyProtection="1">
      <protection locked="0"/>
    </xf>
    <xf numFmtId="0" fontId="8" fillId="0" borderId="0" xfId="3" applyFont="1" applyBorder="1" applyAlignment="1" applyProtection="1">
      <protection locked="0"/>
    </xf>
    <xf numFmtId="0" fontId="17" fillId="0" borderId="21" xfId="3" applyFont="1" applyBorder="1" applyAlignment="1" applyProtection="1">
      <protection locked="0"/>
    </xf>
    <xf numFmtId="0" fontId="20" fillId="0" borderId="21" xfId="3" applyFont="1" applyBorder="1" applyAlignment="1">
      <alignment horizontal="right"/>
    </xf>
    <xf numFmtId="3" fontId="17" fillId="16" borderId="0" xfId="15" applyNumberFormat="1" applyFont="1" applyFill="1" applyBorder="1"/>
    <xf numFmtId="3" fontId="17" fillId="16" borderId="23" xfId="15" applyNumberFormat="1" applyFont="1" applyFill="1" applyBorder="1"/>
    <xf numFmtId="3" fontId="17" fillId="3" borderId="0" xfId="15" applyNumberFormat="1" applyFont="1" applyFill="1" applyBorder="1"/>
    <xf numFmtId="170" fontId="0" fillId="0" borderId="0" xfId="2" applyNumberFormat="1" applyFont="1"/>
    <xf numFmtId="3" fontId="20" fillId="3" borderId="4" xfId="15" applyNumberFormat="1" applyFont="1" applyFill="1" applyBorder="1"/>
    <xf numFmtId="3" fontId="20" fillId="3" borderId="0" xfId="15" applyNumberFormat="1" applyFont="1" applyFill="1" applyBorder="1"/>
    <xf numFmtId="168" fontId="20" fillId="3" borderId="0" xfId="15" applyNumberFormat="1" applyFont="1" applyFill="1" applyBorder="1"/>
    <xf numFmtId="3" fontId="9" fillId="0" borderId="0" xfId="3" applyNumberFormat="1" applyFont="1" applyBorder="1" applyAlignment="1">
      <alignment horizontal="right"/>
    </xf>
    <xf numFmtId="0" fontId="8" fillId="0" borderId="6" xfId="3" applyFont="1" applyFill="1" applyBorder="1"/>
    <xf numFmtId="0" fontId="9" fillId="0" borderId="6" xfId="3" quotePrefix="1" applyFont="1" applyBorder="1" applyAlignment="1">
      <alignment horizontal="right"/>
    </xf>
    <xf numFmtId="0" fontId="20" fillId="0" borderId="6" xfId="3" quotePrefix="1" applyFont="1" applyFill="1" applyBorder="1" applyAlignment="1">
      <alignment horizontal="right"/>
    </xf>
    <xf numFmtId="0" fontId="17" fillId="16" borderId="0" xfId="15" applyFont="1" applyFill="1" applyBorder="1"/>
    <xf numFmtId="166" fontId="17" fillId="0" borderId="0" xfId="3" applyNumberFormat="1" applyFont="1" applyFill="1" applyBorder="1" applyAlignment="1">
      <alignment horizontal="right"/>
    </xf>
    <xf numFmtId="166" fontId="17" fillId="0" borderId="0" xfId="31" applyNumberFormat="1" applyFont="1" applyFill="1" applyBorder="1" applyAlignment="1">
      <alignment horizontal="right"/>
    </xf>
    <xf numFmtId="0" fontId="17" fillId="3" borderId="0" xfId="15" applyFont="1" applyFill="1" applyBorder="1"/>
    <xf numFmtId="0" fontId="20" fillId="3" borderId="4" xfId="15" applyFont="1" applyFill="1" applyBorder="1"/>
    <xf numFmtId="166" fontId="20" fillId="3" borderId="4" xfId="15" applyNumberFormat="1" applyFont="1" applyFill="1" applyBorder="1"/>
    <xf numFmtId="168" fontId="9" fillId="3" borderId="4" xfId="31" applyNumberFormat="1" applyFont="1" applyFill="1" applyBorder="1" applyAlignment="1">
      <alignment horizontal="right"/>
    </xf>
    <xf numFmtId="168" fontId="20" fillId="0" borderId="4" xfId="31" applyNumberFormat="1" applyFont="1" applyFill="1" applyBorder="1" applyAlignment="1">
      <alignment horizontal="right"/>
    </xf>
    <xf numFmtId="0" fontId="9" fillId="0" borderId="0" xfId="3" applyFont="1" applyFill="1" applyBorder="1" applyAlignment="1">
      <alignment horizontal="center" wrapText="1"/>
    </xf>
    <xf numFmtId="0" fontId="7" fillId="0" borderId="0" xfId="3" applyFont="1" applyAlignment="1" applyProtection="1">
      <alignment vertical="top"/>
    </xf>
    <xf numFmtId="0" fontId="71" fillId="0" borderId="0" xfId="3" applyFont="1" applyBorder="1" applyAlignment="1" applyProtection="1">
      <alignment horizontal="right" vertical="top" textRotation="90" wrapText="1"/>
    </xf>
    <xf numFmtId="0" fontId="114" fillId="0" borderId="0" xfId="3" applyFont="1" applyBorder="1" applyAlignment="1" applyProtection="1">
      <alignment horizontal="right" vertical="top" textRotation="90" wrapText="1"/>
    </xf>
    <xf numFmtId="0" fontId="8" fillId="0" borderId="6" xfId="3" applyFont="1" applyFill="1" applyBorder="1" applyAlignment="1">
      <alignment horizontal="left" vertical="top"/>
    </xf>
    <xf numFmtId="0" fontId="9" fillId="3" borderId="6" xfId="15" applyFont="1" applyFill="1" applyBorder="1" applyAlignment="1">
      <alignment horizontal="right" wrapText="1"/>
    </xf>
    <xf numFmtId="0" fontId="20" fillId="0" borderId="6" xfId="15" applyFont="1" applyFill="1" applyBorder="1" applyAlignment="1">
      <alignment horizontal="right" wrapText="1"/>
    </xf>
    <xf numFmtId="0" fontId="39" fillId="0" borderId="0" xfId="3" applyFont="1" applyProtection="1">
      <protection locked="0"/>
    </xf>
    <xf numFmtId="170" fontId="8" fillId="3" borderId="0" xfId="15" applyNumberFormat="1" applyFont="1" applyFill="1" applyBorder="1" applyAlignment="1">
      <alignment horizontal="right"/>
    </xf>
    <xf numFmtId="170" fontId="17" fillId="3" borderId="0" xfId="15" applyNumberFormat="1" applyFont="1" applyFill="1" applyBorder="1" applyAlignment="1">
      <alignment horizontal="right"/>
    </xf>
    <xf numFmtId="170" fontId="9" fillId="3" borderId="4" xfId="15" applyNumberFormat="1" applyFont="1" applyFill="1" applyBorder="1" applyAlignment="1">
      <alignment horizontal="right"/>
    </xf>
    <xf numFmtId="170" fontId="20" fillId="3" borderId="4" xfId="15" applyNumberFormat="1" applyFont="1" applyFill="1" applyBorder="1" applyAlignment="1">
      <alignment horizontal="right"/>
    </xf>
    <xf numFmtId="0" fontId="4" fillId="0" borderId="2" xfId="3" applyFont="1" applyFill="1" applyBorder="1" applyAlignment="1" applyProtection="1"/>
    <xf numFmtId="0" fontId="4" fillId="0" borderId="3" xfId="3" applyFont="1" applyBorder="1" applyAlignment="1"/>
    <xf numFmtId="0" fontId="0" fillId="0" borderId="25" xfId="3" applyFont="1" applyBorder="1" applyProtection="1">
      <protection locked="0"/>
    </xf>
    <xf numFmtId="0" fontId="3" fillId="0" borderId="25" xfId="3" applyFont="1" applyBorder="1" applyProtection="1">
      <protection locked="0"/>
    </xf>
    <xf numFmtId="0" fontId="98" fillId="0" borderId="25" xfId="3" applyFont="1" applyBorder="1" applyProtection="1">
      <protection locked="0"/>
    </xf>
    <xf numFmtId="0" fontId="0" fillId="0" borderId="25" xfId="3" applyFont="1" applyBorder="1" applyAlignment="1" applyProtection="1">
      <alignment wrapText="1"/>
      <protection locked="0"/>
    </xf>
    <xf numFmtId="173" fontId="0" fillId="0" borderId="25" xfId="1" applyNumberFormat="1" applyFont="1" applyBorder="1" applyProtection="1">
      <protection locked="0"/>
    </xf>
    <xf numFmtId="173" fontId="26" fillId="0" borderId="25" xfId="1" applyNumberFormat="1" applyFont="1" applyBorder="1" applyProtection="1">
      <protection locked="0"/>
    </xf>
    <xf numFmtId="0" fontId="26" fillId="0" borderId="25" xfId="3" applyFont="1" applyBorder="1" applyProtection="1">
      <protection locked="0"/>
    </xf>
    <xf numFmtId="0" fontId="20" fillId="0" borderId="23" xfId="3" quotePrefix="1" applyFont="1" applyFill="1" applyBorder="1" applyAlignment="1">
      <alignment horizontal="right"/>
    </xf>
    <xf numFmtId="0" fontId="8" fillId="0" borderId="21" xfId="3" applyFont="1" applyBorder="1" applyAlignment="1" applyProtection="1">
      <alignment horizontal="right"/>
      <protection locked="0"/>
    </xf>
    <xf numFmtId="0" fontId="9" fillId="0" borderId="21" xfId="3" applyFont="1" applyBorder="1" applyAlignment="1">
      <alignment horizontal="right"/>
    </xf>
    <xf numFmtId="0" fontId="20" fillId="0" borderId="21" xfId="3" applyFont="1" applyFill="1" applyBorder="1" applyAlignment="1">
      <alignment horizontal="right"/>
    </xf>
    <xf numFmtId="3" fontId="17" fillId="16" borderId="0" xfId="15" applyNumberFormat="1" applyFont="1" applyFill="1" applyBorder="1" applyAlignment="1">
      <alignment horizontal="right"/>
    </xf>
    <xf numFmtId="3" fontId="17" fillId="3" borderId="0" xfId="15" applyNumberFormat="1" applyFont="1" applyFill="1" applyBorder="1" applyAlignment="1">
      <alignment horizontal="right"/>
    </xf>
    <xf numFmtId="3" fontId="17" fillId="0" borderId="0" xfId="15" applyNumberFormat="1" applyFont="1" applyFill="1" applyBorder="1" applyAlignment="1">
      <alignment horizontal="right"/>
    </xf>
    <xf numFmtId="3" fontId="20" fillId="3" borderId="4" xfId="15" applyNumberFormat="1" applyFont="1" applyFill="1" applyBorder="1" applyAlignment="1">
      <alignment horizontal="right"/>
    </xf>
    <xf numFmtId="3" fontId="20" fillId="0" borderId="4" xfId="15" applyNumberFormat="1" applyFont="1" applyFill="1" applyBorder="1" applyAlignment="1">
      <alignment horizontal="right"/>
    </xf>
    <xf numFmtId="3" fontId="20" fillId="3" borderId="0" xfId="15" applyNumberFormat="1" applyFont="1" applyFill="1" applyBorder="1" applyAlignment="1">
      <alignment horizontal="right"/>
    </xf>
    <xf numFmtId="0" fontId="20" fillId="0" borderId="0" xfId="3" applyFont="1" applyFill="1" applyBorder="1" applyAlignment="1">
      <alignment horizontal="right"/>
    </xf>
    <xf numFmtId="0" fontId="0" fillId="0" borderId="0" xfId="3" applyFont="1" applyBorder="1" applyAlignment="1" applyProtection="1">
      <alignment horizontal="right"/>
      <protection locked="0"/>
    </xf>
    <xf numFmtId="0" fontId="9" fillId="3" borderId="6" xfId="3" quotePrefix="1" applyFont="1" applyFill="1" applyBorder="1" applyAlignment="1">
      <alignment horizontal="right"/>
    </xf>
    <xf numFmtId="0" fontId="17" fillId="16" borderId="0" xfId="15" applyFont="1" applyFill="1" applyBorder="1" applyAlignment="1">
      <alignment horizontal="right"/>
    </xf>
    <xf numFmtId="166" fontId="17" fillId="16" borderId="0" xfId="15" applyNumberFormat="1" applyFont="1" applyFill="1" applyBorder="1" applyAlignment="1">
      <alignment horizontal="right"/>
    </xf>
    <xf numFmtId="166" fontId="17" fillId="3" borderId="0" xfId="15" applyNumberFormat="1" applyFont="1" applyFill="1" applyBorder="1" applyAlignment="1">
      <alignment horizontal="right"/>
    </xf>
    <xf numFmtId="166" fontId="8" fillId="3" borderId="0" xfId="31" applyNumberFormat="1" applyFont="1" applyFill="1" applyBorder="1" applyAlignment="1">
      <alignment horizontal="right"/>
    </xf>
    <xf numFmtId="0" fontId="20" fillId="3" borderId="4" xfId="15" applyFont="1" applyFill="1" applyBorder="1" applyAlignment="1">
      <alignment horizontal="right"/>
    </xf>
    <xf numFmtId="166" fontId="20" fillId="3" borderId="4" xfId="15" applyNumberFormat="1" applyFont="1" applyFill="1" applyBorder="1" applyAlignment="1">
      <alignment horizontal="right"/>
    </xf>
    <xf numFmtId="166" fontId="9" fillId="3" borderId="4" xfId="31" applyNumberFormat="1" applyFont="1" applyFill="1" applyBorder="1" applyAlignment="1">
      <alignment horizontal="right"/>
    </xf>
    <xf numFmtId="168" fontId="17" fillId="0" borderId="0" xfId="31" applyNumberFormat="1" applyFont="1" applyFill="1" applyBorder="1" applyAlignment="1">
      <alignment horizontal="right"/>
    </xf>
    <xf numFmtId="168" fontId="8" fillId="0" borderId="4" xfId="31" applyNumberFormat="1" applyFont="1" applyBorder="1" applyAlignment="1">
      <alignment horizontal="right"/>
    </xf>
    <xf numFmtId="168" fontId="8" fillId="3" borderId="4" xfId="31" applyNumberFormat="1" applyFont="1" applyFill="1" applyBorder="1" applyAlignment="1">
      <alignment horizontal="right"/>
    </xf>
    <xf numFmtId="0" fontId="20" fillId="16" borderId="6" xfId="15" applyFont="1" applyFill="1" applyBorder="1" applyAlignment="1">
      <alignment horizontal="right" wrapText="1"/>
    </xf>
    <xf numFmtId="0" fontId="20" fillId="16" borderId="21" xfId="15" applyFont="1" applyFill="1" applyBorder="1" applyAlignment="1">
      <alignment horizontal="right" wrapText="1"/>
    </xf>
    <xf numFmtId="0" fontId="20" fillId="3" borderId="6" xfId="3" applyFont="1" applyFill="1" applyBorder="1" applyAlignment="1" applyProtection="1">
      <alignment horizontal="center" wrapText="1"/>
      <protection locked="0"/>
    </xf>
    <xf numFmtId="0" fontId="20" fillId="3" borderId="6" xfId="15" applyFont="1" applyFill="1" applyBorder="1" applyAlignment="1">
      <alignment horizontal="right" wrapText="1"/>
    </xf>
    <xf numFmtId="0" fontId="20" fillId="0" borderId="0" xfId="15" applyFont="1" applyFill="1" applyBorder="1" applyAlignment="1">
      <alignment horizontal="right" wrapText="1"/>
    </xf>
    <xf numFmtId="0" fontId="20" fillId="16" borderId="0" xfId="15" applyFont="1" applyFill="1" applyBorder="1" applyAlignment="1">
      <alignment horizontal="right" wrapText="1"/>
    </xf>
    <xf numFmtId="170" fontId="17" fillId="16" borderId="0" xfId="15" applyNumberFormat="1" applyFont="1" applyFill="1" applyBorder="1" applyAlignment="1">
      <alignment horizontal="right"/>
    </xf>
    <xf numFmtId="170" fontId="8" fillId="16" borderId="0" xfId="15" applyNumberFormat="1" applyFont="1" applyFill="1" applyBorder="1" applyAlignment="1">
      <alignment horizontal="right"/>
    </xf>
    <xf numFmtId="170" fontId="17" fillId="0" borderId="0" xfId="15" applyNumberFormat="1" applyFont="1" applyFill="1" applyBorder="1" applyAlignment="1">
      <alignment horizontal="right"/>
    </xf>
    <xf numFmtId="10" fontId="9" fillId="0" borderId="0" xfId="2" applyNumberFormat="1" applyFont="1" applyBorder="1" applyAlignment="1">
      <alignment horizontal="right"/>
    </xf>
    <xf numFmtId="170" fontId="20" fillId="0" borderId="4" xfId="15" applyNumberFormat="1" applyFont="1" applyFill="1" applyBorder="1" applyAlignment="1">
      <alignment horizontal="right"/>
    </xf>
    <xf numFmtId="0" fontId="0" fillId="0" borderId="25" xfId="3" applyFont="1" applyBorder="1" applyAlignment="1" applyProtection="1">
      <alignment vertical="top"/>
    </xf>
    <xf numFmtId="17" fontId="3" fillId="0" borderId="25" xfId="3" quotePrefix="1" applyNumberFormat="1" applyFont="1" applyBorder="1" applyAlignment="1" applyProtection="1">
      <alignment vertical="top"/>
    </xf>
    <xf numFmtId="0" fontId="3" fillId="0" borderId="25" xfId="3" applyFont="1" applyBorder="1" applyAlignment="1" applyProtection="1">
      <alignment vertical="top"/>
    </xf>
    <xf numFmtId="173" fontId="0" fillId="0" borderId="25" xfId="1" applyNumberFormat="1" applyFont="1" applyBorder="1" applyAlignment="1" applyProtection="1">
      <alignment vertical="top"/>
    </xf>
    <xf numFmtId="0" fontId="0" fillId="0" borderId="25" xfId="3" applyFont="1" applyBorder="1" applyAlignment="1" applyProtection="1">
      <alignment vertical="top" wrapText="1"/>
    </xf>
    <xf numFmtId="166" fontId="0" fillId="0" borderId="25" xfId="3" applyNumberFormat="1" applyFont="1" applyBorder="1" applyAlignment="1" applyProtection="1">
      <alignment vertical="top"/>
    </xf>
    <xf numFmtId="0" fontId="4" fillId="0" borderId="0" xfId="30"/>
    <xf numFmtId="0" fontId="4" fillId="0" borderId="0" xfId="3" applyFont="1" applyFill="1" applyBorder="1" applyAlignment="1">
      <alignment horizontal="left" vertical="top"/>
    </xf>
    <xf numFmtId="0" fontId="0" fillId="0" borderId="0" xfId="3" applyFont="1" applyFill="1"/>
    <xf numFmtId="0" fontId="4" fillId="0" borderId="0" xfId="3" applyFont="1" applyFill="1" applyBorder="1" applyAlignment="1">
      <alignment horizontal="left" vertical="top" wrapText="1" shrinkToFit="1"/>
    </xf>
    <xf numFmtId="0" fontId="4" fillId="0" borderId="0" xfId="3" applyFont="1" applyFill="1" applyBorder="1" applyAlignment="1">
      <alignment vertical="top" wrapText="1" shrinkToFit="1"/>
    </xf>
    <xf numFmtId="0" fontId="0" fillId="0" borderId="0" xfId="3" applyFont="1" applyFill="1" applyBorder="1"/>
    <xf numFmtId="0" fontId="4" fillId="0" borderId="0" xfId="30" applyBorder="1"/>
    <xf numFmtId="0" fontId="58" fillId="0" borderId="0" xfId="3" applyFont="1" applyFill="1" applyBorder="1" applyAlignment="1">
      <alignment vertical="top"/>
    </xf>
    <xf numFmtId="165" fontId="8" fillId="3" borderId="0" xfId="3" applyNumberFormat="1" applyFont="1" applyFill="1" applyBorder="1" applyAlignment="1">
      <alignment horizontal="right"/>
    </xf>
    <xf numFmtId="9" fontId="8" fillId="0" borderId="0" xfId="24" applyFont="1" applyFill="1" applyBorder="1" applyAlignment="1">
      <alignment horizontal="right"/>
    </xf>
    <xf numFmtId="0" fontId="46" fillId="0" borderId="21" xfId="3" applyFont="1" applyFill="1" applyBorder="1"/>
    <xf numFmtId="0" fontId="46" fillId="0" borderId="0" xfId="3" applyFont="1" applyFill="1" applyBorder="1"/>
    <xf numFmtId="170" fontId="8" fillId="0" borderId="0" xfId="24" applyNumberFormat="1" applyFont="1" applyFill="1" applyBorder="1" applyAlignment="1">
      <alignment horizontal="left"/>
    </xf>
    <xf numFmtId="0" fontId="5" fillId="0" borderId="1" xfId="3" applyFont="1" applyFill="1" applyBorder="1" applyAlignment="1">
      <alignment vertical="top"/>
    </xf>
    <xf numFmtId="0" fontId="8" fillId="0" borderId="2" xfId="3" applyFont="1" applyFill="1" applyBorder="1" applyAlignment="1">
      <alignment horizontal="left"/>
    </xf>
    <xf numFmtId="49" fontId="9" fillId="0" borderId="2" xfId="3" applyNumberFormat="1" applyFont="1" applyFill="1" applyBorder="1" applyAlignment="1">
      <alignment horizontal="right"/>
    </xf>
    <xf numFmtId="0" fontId="9" fillId="0" borderId="3" xfId="3" applyFont="1" applyFill="1" applyBorder="1" applyAlignment="1">
      <alignment horizontal="right" wrapText="1"/>
    </xf>
    <xf numFmtId="0" fontId="58" fillId="0" borderId="21" xfId="3" applyFont="1" applyFill="1" applyBorder="1" applyAlignment="1">
      <alignment horizontal="right" vertical="top"/>
    </xf>
    <xf numFmtId="0" fontId="8" fillId="0" borderId="21" xfId="3" applyFont="1" applyFill="1" applyBorder="1" applyAlignment="1">
      <alignment horizontal="left"/>
    </xf>
    <xf numFmtId="170" fontId="8" fillId="0" borderId="3" xfId="2" applyNumberFormat="1" applyFont="1" applyFill="1" applyBorder="1" applyAlignment="1">
      <alignment horizontal="right"/>
    </xf>
    <xf numFmtId="0" fontId="58" fillId="4" borderId="0" xfId="3" applyFont="1" applyFill="1" applyAlignment="1">
      <alignment horizontal="right" vertical="top"/>
    </xf>
    <xf numFmtId="0" fontId="8" fillId="4" borderId="0" xfId="3" applyFont="1" applyFill="1" applyBorder="1" applyAlignment="1">
      <alignment horizontal="left" indent="1"/>
    </xf>
    <xf numFmtId="165" fontId="115" fillId="0" borderId="0" xfId="3" applyNumberFormat="1" applyFont="1" applyFill="1" applyBorder="1" applyAlignment="1">
      <alignment horizontal="right"/>
    </xf>
    <xf numFmtId="170" fontId="8" fillId="0" borderId="10" xfId="2" applyNumberFormat="1" applyFont="1" applyFill="1" applyBorder="1" applyAlignment="1">
      <alignment horizontal="right"/>
    </xf>
    <xf numFmtId="165" fontId="115" fillId="4" borderId="0" xfId="3" applyNumberFormat="1" applyFont="1" applyFill="1" applyBorder="1" applyAlignment="1">
      <alignment horizontal="right"/>
    </xf>
    <xf numFmtId="165" fontId="8" fillId="4" borderId="0" xfId="3" applyNumberFormat="1" applyFont="1" applyFill="1" applyBorder="1" applyAlignment="1">
      <alignment horizontal="right"/>
    </xf>
    <xf numFmtId="0" fontId="8" fillId="4" borderId="83" xfId="3" applyFont="1" applyFill="1" applyBorder="1" applyAlignment="1">
      <alignment horizontal="left" indent="2"/>
    </xf>
    <xf numFmtId="165" fontId="8" fillId="0" borderId="2" xfId="3" applyNumberFormat="1" applyFont="1" applyFill="1" applyBorder="1" applyAlignment="1">
      <alignment horizontal="right"/>
    </xf>
    <xf numFmtId="0" fontId="8" fillId="4" borderId="1" xfId="3" applyFont="1" applyFill="1" applyBorder="1" applyAlignment="1">
      <alignment horizontal="left" indent="2"/>
    </xf>
    <xf numFmtId="165" fontId="8" fillId="4" borderId="3" xfId="3" applyNumberFormat="1" applyFont="1" applyFill="1" applyBorder="1" applyAlignment="1">
      <alignment horizontal="right"/>
    </xf>
    <xf numFmtId="165" fontId="8" fillId="4" borderId="2" xfId="3" applyNumberFormat="1" applyFont="1" applyFill="1" applyBorder="1" applyAlignment="1">
      <alignment horizontal="right"/>
    </xf>
    <xf numFmtId="0" fontId="58" fillId="17" borderId="0" xfId="3" applyFont="1" applyFill="1" applyAlignment="1">
      <alignment horizontal="right" vertical="top"/>
    </xf>
    <xf numFmtId="0" fontId="8" fillId="17" borderId="0" xfId="3" applyFont="1" applyFill="1" applyBorder="1" applyAlignment="1">
      <alignment horizontal="left" indent="1"/>
    </xf>
    <xf numFmtId="0" fontId="58" fillId="0" borderId="0" xfId="3" applyFont="1" applyFill="1" applyAlignment="1">
      <alignment horizontal="right" vertical="top"/>
    </xf>
    <xf numFmtId="170" fontId="8" fillId="0" borderId="0" xfId="2" applyNumberFormat="1" applyFont="1" applyFill="1" applyBorder="1"/>
    <xf numFmtId="0" fontId="9" fillId="3" borderId="4" xfId="3" applyFont="1" applyFill="1" applyBorder="1" applyAlignment="1">
      <alignment horizontal="left"/>
    </xf>
    <xf numFmtId="0" fontId="8" fillId="4" borderId="4" xfId="3" applyFont="1" applyFill="1" applyBorder="1" applyAlignment="1">
      <alignment horizontal="right"/>
    </xf>
    <xf numFmtId="49" fontId="9" fillId="0" borderId="2" xfId="3" applyNumberFormat="1" applyFont="1" applyFill="1" applyBorder="1" applyAlignment="1">
      <alignment horizontal="right" wrapText="1"/>
    </xf>
    <xf numFmtId="170" fontId="9" fillId="0" borderId="0" xfId="3" applyNumberFormat="1" applyFont="1" applyFill="1" applyBorder="1" applyAlignment="1">
      <alignment horizontal="right"/>
    </xf>
    <xf numFmtId="9" fontId="8" fillId="0" borderId="0" xfId="24" applyNumberFormat="1" applyFont="1" applyFill="1" applyBorder="1"/>
    <xf numFmtId="0" fontId="4" fillId="0" borderId="0" xfId="30" applyFont="1" applyFill="1"/>
    <xf numFmtId="165" fontId="4" fillId="0" borderId="0" xfId="30" applyNumberFormat="1"/>
    <xf numFmtId="176" fontId="4" fillId="0" borderId="0" xfId="3" applyNumberFormat="1" applyFont="1" applyFill="1" applyBorder="1" applyAlignment="1" applyProtection="1">
      <alignment vertical="top" wrapText="1"/>
      <protection locked="0"/>
    </xf>
    <xf numFmtId="176" fontId="0" fillId="0" borderId="0" xfId="3" applyNumberFormat="1" applyFont="1" applyProtection="1">
      <protection locked="0"/>
    </xf>
    <xf numFmtId="0" fontId="0" fillId="0" borderId="0" xfId="3" applyFont="1" applyAlignment="1" applyProtection="1">
      <alignment horizontal="center" vertical="top"/>
    </xf>
    <xf numFmtId="0" fontId="20" fillId="0" borderId="0" xfId="3" applyFont="1" applyFill="1" applyBorder="1" applyAlignment="1" applyProtection="1">
      <alignment horizontal="left"/>
    </xf>
    <xf numFmtId="0" fontId="9" fillId="0" borderId="0" xfId="3" applyFont="1" applyBorder="1" applyAlignment="1" applyProtection="1">
      <alignment horizontal="left"/>
    </xf>
    <xf numFmtId="0" fontId="8" fillId="0" borderId="0" xfId="3" applyFont="1" applyBorder="1" applyAlignment="1" applyProtection="1">
      <alignment horizontal="center"/>
    </xf>
    <xf numFmtId="0" fontId="9" fillId="0" borderId="0" xfId="3" applyFont="1" applyBorder="1" applyAlignment="1" applyProtection="1">
      <alignment horizontal="center"/>
    </xf>
    <xf numFmtId="0" fontId="0" fillId="0" borderId="0" xfId="3" applyFont="1" applyBorder="1" applyAlignment="1" applyProtection="1">
      <alignment horizontal="center"/>
    </xf>
    <xf numFmtId="0" fontId="8" fillId="0" borderId="0" xfId="3" applyFont="1" applyAlignment="1" applyProtection="1">
      <alignment horizontal="center"/>
    </xf>
    <xf numFmtId="196" fontId="8" fillId="0" borderId="0" xfId="3" applyNumberFormat="1" applyFont="1" applyAlignment="1" applyProtection="1">
      <alignment horizontal="center"/>
    </xf>
    <xf numFmtId="0" fontId="0" fillId="0" borderId="0" xfId="3" applyFont="1" applyAlignment="1" applyProtection="1">
      <alignment horizontal="center"/>
      <protection locked="0"/>
    </xf>
    <xf numFmtId="0" fontId="17" fillId="0" borderId="0" xfId="3" applyFont="1" applyBorder="1" applyProtection="1"/>
    <xf numFmtId="176" fontId="8" fillId="0" borderId="0" xfId="3" applyNumberFormat="1" applyFont="1" applyBorder="1" applyAlignment="1" applyProtection="1">
      <alignment horizontal="right"/>
    </xf>
    <xf numFmtId="176" fontId="8" fillId="3" borderId="0" xfId="3" applyNumberFormat="1" applyFont="1" applyFill="1" applyBorder="1" applyAlignment="1" applyProtection="1">
      <alignment horizontal="right"/>
    </xf>
    <xf numFmtId="0" fontId="8" fillId="0" borderId="21" xfId="3" applyFont="1" applyBorder="1" applyProtection="1"/>
    <xf numFmtId="176" fontId="8" fillId="0" borderId="21" xfId="3" applyNumberFormat="1" applyFont="1" applyBorder="1" applyAlignment="1" applyProtection="1">
      <alignment horizontal="right"/>
    </xf>
    <xf numFmtId="176" fontId="8" fillId="0" borderId="21" xfId="3" applyNumberFormat="1" applyFont="1" applyBorder="1" applyProtection="1">
      <protection locked="0"/>
    </xf>
    <xf numFmtId="176" fontId="8" fillId="3" borderId="21" xfId="3" applyNumberFormat="1" applyFont="1" applyFill="1" applyBorder="1" applyProtection="1">
      <protection locked="0"/>
    </xf>
    <xf numFmtId="0" fontId="8" fillId="0" borderId="0" xfId="3" applyFont="1" applyAlignment="1" applyProtection="1">
      <alignment horizontal="right"/>
    </xf>
    <xf numFmtId="176" fontId="8" fillId="0" borderId="0" xfId="3" applyNumberFormat="1" applyFont="1" applyProtection="1">
      <protection locked="0"/>
    </xf>
    <xf numFmtId="176" fontId="8" fillId="3" borderId="0" xfId="3" applyNumberFormat="1" applyFont="1" applyFill="1" applyProtection="1">
      <protection locked="0"/>
    </xf>
    <xf numFmtId="0" fontId="3" fillId="0" borderId="0" xfId="3" applyFont="1" applyAlignment="1" applyProtection="1">
      <alignment vertical="top"/>
    </xf>
    <xf numFmtId="0" fontId="9" fillId="0" borderId="41" xfId="3" applyFont="1" applyBorder="1" applyProtection="1"/>
    <xf numFmtId="176" fontId="9" fillId="0" borderId="41" xfId="3" applyNumberFormat="1" applyFont="1" applyBorder="1" applyAlignment="1" applyProtection="1">
      <alignment horizontal="right"/>
    </xf>
    <xf numFmtId="176" fontId="9" fillId="3" borderId="41" xfId="3" applyNumberFormat="1" applyFont="1" applyFill="1" applyBorder="1" applyAlignment="1" applyProtection="1">
      <alignment horizontal="right"/>
    </xf>
    <xf numFmtId="0" fontId="3" fillId="0" borderId="0" xfId="3" applyFont="1" applyProtection="1">
      <protection locked="0"/>
    </xf>
    <xf numFmtId="0" fontId="0" fillId="0" borderId="0" xfId="3" applyFont="1" applyBorder="1" applyAlignment="1" applyProtection="1">
      <alignment vertical="top"/>
    </xf>
    <xf numFmtId="196" fontId="0" fillId="0" borderId="0" xfId="3" applyNumberFormat="1" applyFont="1" applyBorder="1" applyAlignment="1" applyProtection="1">
      <alignment vertical="top"/>
    </xf>
    <xf numFmtId="196" fontId="0" fillId="0" borderId="0" xfId="3" applyNumberFormat="1" applyFont="1" applyFill="1" applyBorder="1" applyProtection="1"/>
    <xf numFmtId="0" fontId="17" fillId="0" borderId="0" xfId="3" applyFont="1" applyProtection="1">
      <protection locked="0"/>
    </xf>
    <xf numFmtId="0" fontId="9" fillId="0" borderId="4" xfId="3" applyFont="1" applyFill="1" applyBorder="1" applyAlignment="1" applyProtection="1">
      <alignment horizontal="left"/>
    </xf>
    <xf numFmtId="0" fontId="9" fillId="0" borderId="4" xfId="3" applyFont="1" applyBorder="1" applyAlignment="1" applyProtection="1">
      <alignment horizontal="left"/>
    </xf>
    <xf numFmtId="0" fontId="8" fillId="0" borderId="4" xfId="3" applyFont="1" applyBorder="1" applyAlignment="1" applyProtection="1">
      <alignment horizontal="center"/>
    </xf>
    <xf numFmtId="0" fontId="9" fillId="0" borderId="4" xfId="3" applyFont="1" applyBorder="1" applyAlignment="1" applyProtection="1">
      <alignment horizontal="center"/>
    </xf>
    <xf numFmtId="0" fontId="0" fillId="0" borderId="4" xfId="3" applyFont="1" applyBorder="1" applyAlignment="1" applyProtection="1">
      <alignment horizontal="center"/>
    </xf>
    <xf numFmtId="196" fontId="8" fillId="0" borderId="4" xfId="3" applyNumberFormat="1" applyFont="1" applyBorder="1" applyAlignment="1" applyProtection="1">
      <alignment horizontal="center"/>
    </xf>
    <xf numFmtId="196" fontId="8" fillId="0" borderId="0" xfId="3" applyNumberFormat="1" applyFont="1" applyBorder="1" applyAlignment="1" applyProtection="1">
      <alignment horizontal="center"/>
    </xf>
    <xf numFmtId="0" fontId="26" fillId="3" borderId="0" xfId="3" applyFont="1" applyFill="1" applyAlignment="1" applyProtection="1">
      <alignment horizontal="center"/>
      <protection locked="0"/>
    </xf>
    <xf numFmtId="196" fontId="8" fillId="3" borderId="0" xfId="3" applyNumberFormat="1" applyFont="1" applyFill="1" applyBorder="1" applyAlignment="1" applyProtection="1">
      <alignment horizontal="center"/>
    </xf>
    <xf numFmtId="0" fontId="17" fillId="0" borderId="0" xfId="3" applyFont="1" applyAlignment="1" applyProtection="1">
      <alignment horizontal="center"/>
      <protection locked="0"/>
    </xf>
    <xf numFmtId="0" fontId="8" fillId="0" borderId="23" xfId="3" applyFont="1" applyBorder="1" applyAlignment="1">
      <alignment horizontal="left"/>
    </xf>
    <xf numFmtId="0" fontId="9" fillId="3" borderId="23" xfId="3" quotePrefix="1" applyFont="1" applyFill="1" applyBorder="1" applyAlignment="1">
      <alignment horizontal="right"/>
    </xf>
    <xf numFmtId="0" fontId="8" fillId="0" borderId="4" xfId="3" applyFont="1" applyBorder="1" applyAlignment="1" applyProtection="1">
      <alignment horizontal="right"/>
    </xf>
    <xf numFmtId="176" fontId="8" fillId="0" borderId="4" xfId="3" applyNumberFormat="1" applyFont="1" applyBorder="1" applyAlignment="1" applyProtection="1">
      <alignment horizontal="right"/>
    </xf>
    <xf numFmtId="176" fontId="8" fillId="0" borderId="4" xfId="3" applyNumberFormat="1" applyFont="1" applyBorder="1" applyProtection="1">
      <protection locked="0"/>
    </xf>
    <xf numFmtId="176" fontId="8" fillId="3" borderId="4" xfId="3" applyNumberFormat="1" applyFont="1" applyFill="1" applyBorder="1" applyProtection="1">
      <protection locked="0"/>
    </xf>
    <xf numFmtId="0" fontId="8" fillId="0" borderId="0" xfId="3" applyFont="1" applyBorder="1" applyAlignment="1" applyProtection="1">
      <alignment horizontal="right"/>
    </xf>
    <xf numFmtId="176" fontId="8" fillId="0" borderId="0" xfId="3" applyNumberFormat="1" applyFont="1" applyBorder="1" applyProtection="1">
      <protection locked="0"/>
    </xf>
    <xf numFmtId="0" fontId="4" fillId="3" borderId="0" xfId="15" applyFill="1"/>
    <xf numFmtId="183" fontId="8" fillId="0" borderId="0" xfId="3" applyNumberFormat="1" applyFont="1" applyBorder="1" applyAlignment="1">
      <alignment horizontal="right"/>
    </xf>
    <xf numFmtId="183" fontId="8" fillId="3" borderId="0" xfId="3" applyNumberFormat="1" applyFont="1" applyFill="1" applyBorder="1" applyAlignment="1">
      <alignment horizontal="right"/>
    </xf>
    <xf numFmtId="183" fontId="25" fillId="3" borderId="0" xfId="3" applyNumberFormat="1" applyFont="1" applyFill="1" applyBorder="1" applyAlignment="1">
      <alignment horizontal="right"/>
    </xf>
    <xf numFmtId="183" fontId="8" fillId="0" borderId="4" xfId="3" applyNumberFormat="1" applyFont="1" applyBorder="1" applyAlignment="1">
      <alignment horizontal="right"/>
    </xf>
    <xf numFmtId="183" fontId="8" fillId="3" borderId="4" xfId="3" applyNumberFormat="1" applyFont="1" applyFill="1" applyBorder="1" applyAlignment="1">
      <alignment horizontal="right"/>
    </xf>
    <xf numFmtId="183" fontId="25" fillId="3" borderId="4" xfId="3" applyNumberFormat="1" applyFont="1" applyFill="1" applyBorder="1" applyAlignment="1">
      <alignment horizontal="right"/>
    </xf>
    <xf numFmtId="0" fontId="8" fillId="0" borderId="0" xfId="3" applyFont="1" applyFill="1" applyAlignment="1" applyProtection="1">
      <alignment horizontal="left"/>
    </xf>
    <xf numFmtId="196" fontId="0" fillId="0" borderId="0" xfId="3" applyNumberFormat="1" applyFont="1" applyBorder="1" applyProtection="1"/>
    <xf numFmtId="196" fontId="0" fillId="0" borderId="0" xfId="3" applyNumberFormat="1" applyFont="1" applyBorder="1" applyProtection="1">
      <protection locked="0"/>
    </xf>
    <xf numFmtId="0" fontId="41" fillId="0" borderId="4" xfId="3" applyFont="1" applyBorder="1" applyAlignment="1" applyProtection="1"/>
    <xf numFmtId="0" fontId="41" fillId="0" borderId="0" xfId="3" applyFont="1" applyFill="1" applyBorder="1" applyAlignment="1" applyProtection="1">
      <alignment horizontal="left"/>
    </xf>
    <xf numFmtId="0" fontId="41" fillId="0" borderId="0" xfId="3" applyFont="1" applyBorder="1" applyAlignment="1" applyProtection="1">
      <alignment horizontal="left"/>
    </xf>
    <xf numFmtId="0" fontId="25" fillId="0" borderId="0" xfId="3" applyFont="1" applyBorder="1" applyAlignment="1" applyProtection="1">
      <alignment horizontal="center"/>
    </xf>
    <xf numFmtId="0" fontId="41" fillId="0" borderId="0" xfId="3" applyFont="1" applyBorder="1" applyAlignment="1" applyProtection="1">
      <alignment horizontal="center"/>
    </xf>
    <xf numFmtId="0" fontId="101" fillId="0" borderId="0" xfId="3" applyFont="1" applyBorder="1" applyAlignment="1" applyProtection="1">
      <alignment horizontal="center"/>
    </xf>
    <xf numFmtId="0" fontId="25" fillId="0" borderId="0" xfId="3" applyFont="1" applyAlignment="1" applyProtection="1">
      <alignment horizontal="center"/>
    </xf>
    <xf numFmtId="0" fontId="101" fillId="0" borderId="0" xfId="3" applyFont="1" applyAlignment="1" applyProtection="1">
      <alignment horizontal="center"/>
      <protection locked="0"/>
    </xf>
    <xf numFmtId="0" fontId="25" fillId="0" borderId="0" xfId="3" applyFont="1" applyProtection="1"/>
    <xf numFmtId="0" fontId="41" fillId="0" borderId="23" xfId="3" quotePrefix="1" applyFont="1" applyBorder="1" applyAlignment="1">
      <alignment horizontal="right"/>
    </xf>
    <xf numFmtId="17" fontId="41" fillId="0" borderId="23" xfId="3" quotePrefix="1" applyNumberFormat="1" applyFont="1" applyBorder="1" applyAlignment="1">
      <alignment horizontal="right"/>
    </xf>
    <xf numFmtId="0" fontId="25" fillId="0" borderId="21" xfId="3" applyFont="1" applyBorder="1" applyProtection="1"/>
    <xf numFmtId="196" fontId="25" fillId="0" borderId="21" xfId="3" applyNumberFormat="1" applyFont="1" applyBorder="1" applyAlignment="1" applyProtection="1">
      <alignment horizontal="right"/>
    </xf>
    <xf numFmtId="0" fontId="25" fillId="0" borderId="21" xfId="3" applyFont="1" applyBorder="1" applyProtection="1">
      <protection locked="0"/>
    </xf>
    <xf numFmtId="196" fontId="25" fillId="3" borderId="21" xfId="3" applyNumberFormat="1" applyFont="1" applyFill="1" applyBorder="1" applyAlignment="1" applyProtection="1">
      <alignment horizontal="right"/>
    </xf>
    <xf numFmtId="0" fontId="25" fillId="0" borderId="0" xfId="3" applyFont="1" applyBorder="1" applyAlignment="1" applyProtection="1">
      <alignment horizontal="left"/>
    </xf>
    <xf numFmtId="196" fontId="41" fillId="0" borderId="0" xfId="3" applyNumberFormat="1" applyFont="1" applyBorder="1" applyAlignment="1" applyProtection="1">
      <alignment horizontal="right"/>
    </xf>
    <xf numFmtId="196" fontId="41" fillId="3" borderId="0" xfId="3" applyNumberFormat="1" applyFont="1" applyFill="1" applyBorder="1" applyAlignment="1" applyProtection="1">
      <alignment horizontal="right"/>
    </xf>
    <xf numFmtId="196" fontId="25" fillId="0" borderId="0" xfId="3" applyNumberFormat="1" applyFont="1" applyBorder="1" applyAlignment="1" applyProtection="1">
      <alignment horizontal="right"/>
    </xf>
    <xf numFmtId="0" fontId="25" fillId="0" borderId="0" xfId="3" applyFont="1" applyProtection="1">
      <protection locked="0"/>
    </xf>
    <xf numFmtId="196" fontId="25" fillId="3" borderId="0" xfId="3" applyNumberFormat="1" applyFont="1" applyFill="1" applyBorder="1" applyAlignment="1" applyProtection="1">
      <alignment horizontal="right"/>
    </xf>
    <xf numFmtId="0" fontId="25" fillId="0" borderId="0" xfId="3" applyFont="1" applyBorder="1" applyAlignment="1">
      <alignment horizontal="left"/>
    </xf>
    <xf numFmtId="0" fontId="41" fillId="0" borderId="0" xfId="3" quotePrefix="1" applyFont="1" applyBorder="1" applyAlignment="1">
      <alignment horizontal="right"/>
    </xf>
    <xf numFmtId="183" fontId="25" fillId="0" borderId="0" xfId="3" applyNumberFormat="1" applyFont="1" applyBorder="1" applyAlignment="1">
      <alignment horizontal="right"/>
    </xf>
    <xf numFmtId="0" fontId="25" fillId="0" borderId="21" xfId="3" applyFont="1" applyBorder="1" applyAlignment="1">
      <alignment horizontal="left"/>
    </xf>
    <xf numFmtId="183" fontId="25" fillId="0" borderId="21" xfId="3" applyNumberFormat="1" applyFont="1" applyBorder="1" applyAlignment="1">
      <alignment horizontal="right"/>
    </xf>
    <xf numFmtId="183" fontId="25" fillId="3" borderId="21" xfId="3" applyNumberFormat="1" applyFont="1" applyFill="1" applyBorder="1" applyAlignment="1">
      <alignment horizontal="right"/>
    </xf>
    <xf numFmtId="0" fontId="25" fillId="0" borderId="4" xfId="3" applyFont="1" applyBorder="1" applyAlignment="1">
      <alignment horizontal="left"/>
    </xf>
    <xf numFmtId="183" fontId="25" fillId="0" borderId="4" xfId="3" applyNumberFormat="1" applyFont="1" applyBorder="1" applyAlignment="1">
      <alignment horizontal="right"/>
    </xf>
    <xf numFmtId="0" fontId="41" fillId="0" borderId="4" xfId="3" applyFont="1" applyBorder="1" applyAlignment="1">
      <alignment horizontal="left"/>
    </xf>
    <xf numFmtId="183" fontId="41" fillId="0" borderId="4" xfId="3" applyNumberFormat="1" applyFont="1" applyBorder="1" applyAlignment="1">
      <alignment horizontal="right"/>
    </xf>
    <xf numFmtId="183" fontId="41" fillId="3" borderId="4" xfId="3" applyNumberFormat="1" applyFont="1" applyFill="1" applyBorder="1" applyAlignment="1">
      <alignment horizontal="right"/>
    </xf>
    <xf numFmtId="183" fontId="41" fillId="0" borderId="4" xfId="3" applyNumberFormat="1" applyFont="1" applyFill="1" applyBorder="1" applyAlignment="1">
      <alignment horizontal="right"/>
    </xf>
    <xf numFmtId="183" fontId="107" fillId="0" borderId="0" xfId="3" applyNumberFormat="1" applyFont="1" applyFill="1" applyBorder="1" applyAlignment="1">
      <alignment horizontal="right"/>
    </xf>
    <xf numFmtId="0" fontId="25" fillId="3" borderId="0" xfId="3" applyFont="1" applyFill="1" applyAlignment="1" applyProtection="1">
      <alignment horizontal="center"/>
    </xf>
    <xf numFmtId="0" fontId="0" fillId="3" borderId="4" xfId="3" applyFont="1" applyFill="1" applyBorder="1" applyAlignment="1" applyProtection="1">
      <alignment horizontal="center"/>
      <protection locked="0"/>
    </xf>
    <xf numFmtId="0" fontId="2" fillId="0" borderId="4" xfId="3" applyFont="1" applyFill="1" applyBorder="1" applyAlignment="1" applyProtection="1">
      <alignment horizontal="center"/>
      <protection locked="0"/>
    </xf>
    <xf numFmtId="0" fontId="41" fillId="3" borderId="23" xfId="3" quotePrefix="1" applyFont="1" applyFill="1" applyBorder="1" applyAlignment="1">
      <alignment horizontal="right"/>
    </xf>
    <xf numFmtId="0" fontId="57" fillId="3" borderId="0" xfId="3" applyFont="1" applyFill="1" applyAlignment="1" applyProtection="1">
      <alignment horizontal="right"/>
      <protection locked="0"/>
    </xf>
    <xf numFmtId="0" fontId="41" fillId="0" borderId="0" xfId="3" applyFont="1" applyFill="1" applyAlignment="1" applyProtection="1">
      <alignment horizontal="right"/>
      <protection locked="0"/>
    </xf>
    <xf numFmtId="183" fontId="25" fillId="0" borderId="0" xfId="3" applyNumberFormat="1" applyFont="1" applyFill="1" applyBorder="1" applyAlignment="1">
      <alignment horizontal="right"/>
    </xf>
    <xf numFmtId="183" fontId="25" fillId="0" borderId="4" xfId="3" applyNumberFormat="1" applyFont="1" applyFill="1" applyBorder="1" applyAlignment="1">
      <alignment horizontal="right"/>
    </xf>
    <xf numFmtId="0" fontId="41" fillId="0" borderId="0" xfId="3" applyFont="1" applyBorder="1" applyAlignment="1">
      <alignment horizontal="left"/>
    </xf>
    <xf numFmtId="183" fontId="41" fillId="0" borderId="0" xfId="3" applyNumberFormat="1" applyFont="1" applyBorder="1" applyAlignment="1">
      <alignment horizontal="center"/>
    </xf>
    <xf numFmtId="0" fontId="57" fillId="0" borderId="0" xfId="3" applyFont="1" applyAlignment="1" applyProtection="1">
      <alignment horizontal="center"/>
      <protection locked="0"/>
    </xf>
    <xf numFmtId="2" fontId="3" fillId="0" borderId="0" xfId="3" applyNumberFormat="1" applyFont="1" applyProtection="1">
      <protection locked="0"/>
    </xf>
    <xf numFmtId="0" fontId="70" fillId="0" borderId="0" xfId="3" applyFont="1" applyAlignment="1" applyProtection="1">
      <alignment vertical="top"/>
    </xf>
    <xf numFmtId="0" fontId="70" fillId="0" borderId="0" xfId="3" applyFont="1" applyProtection="1"/>
    <xf numFmtId="0" fontId="70" fillId="0" borderId="0" xfId="3" applyFont="1" applyProtection="1">
      <protection locked="0"/>
    </xf>
    <xf numFmtId="183" fontId="8" fillId="3" borderId="0" xfId="3" applyNumberFormat="1" applyFont="1" applyFill="1" applyBorder="1" applyAlignment="1">
      <alignment horizontal="center" vertical="top"/>
    </xf>
    <xf numFmtId="0" fontId="70" fillId="0" borderId="0" xfId="3" applyFont="1" applyBorder="1" applyAlignment="1" applyProtection="1">
      <alignment horizontal="center" vertical="top"/>
    </xf>
    <xf numFmtId="0" fontId="20" fillId="0" borderId="0" xfId="3" applyFont="1" applyBorder="1" applyAlignment="1" applyProtection="1"/>
    <xf numFmtId="0" fontId="20" fillId="0" borderId="0" xfId="3" applyFont="1" applyFill="1" applyBorder="1" applyAlignment="1" applyProtection="1">
      <alignment horizontal="left" vertical="top"/>
    </xf>
    <xf numFmtId="0" fontId="70" fillId="0" borderId="0" xfId="3" applyFont="1" applyBorder="1" applyAlignment="1" applyProtection="1">
      <alignment horizontal="center"/>
      <protection locked="0"/>
    </xf>
    <xf numFmtId="0" fontId="20" fillId="0" borderId="0" xfId="3" applyFont="1" applyBorder="1" applyAlignment="1" applyProtection="1">
      <alignment horizontal="center"/>
    </xf>
    <xf numFmtId="0" fontId="17" fillId="0" borderId="0" xfId="3" applyFont="1" applyBorder="1" applyAlignment="1" applyProtection="1">
      <alignment horizontal="center"/>
    </xf>
    <xf numFmtId="0" fontId="17" fillId="0" borderId="0" xfId="3" applyFont="1" applyBorder="1" applyAlignment="1" applyProtection="1">
      <alignment horizontal="center"/>
      <protection locked="0"/>
    </xf>
    <xf numFmtId="0" fontId="116" fillId="0" borderId="0" xfId="3" applyFont="1" applyBorder="1" applyAlignment="1" applyProtection="1">
      <alignment vertical="top"/>
    </xf>
    <xf numFmtId="0" fontId="76" fillId="0" borderId="0" xfId="3" applyFont="1" applyBorder="1" applyAlignment="1" applyProtection="1">
      <alignment vertical="top"/>
    </xf>
    <xf numFmtId="0" fontId="70" fillId="3" borderId="23" xfId="0" applyFont="1" applyFill="1" applyBorder="1" applyAlignment="1">
      <alignment horizontal="center" vertical="top" wrapText="1"/>
    </xf>
    <xf numFmtId="0" fontId="20" fillId="3" borderId="23" xfId="3" quotePrefix="1" applyFont="1" applyFill="1" applyBorder="1" applyAlignment="1">
      <alignment horizontal="center" vertical="top" wrapText="1"/>
    </xf>
    <xf numFmtId="17" fontId="20" fillId="3" borderId="23" xfId="3" quotePrefix="1" applyNumberFormat="1" applyFont="1" applyFill="1" applyBorder="1" applyAlignment="1">
      <alignment horizontal="center" vertical="top" wrapText="1"/>
    </xf>
    <xf numFmtId="0" fontId="20" fillId="3" borderId="23" xfId="3" applyFont="1" applyFill="1" applyBorder="1" applyAlignment="1" applyProtection="1">
      <alignment horizontal="center" vertical="top" wrapText="1"/>
      <protection locked="0"/>
    </xf>
    <xf numFmtId="0" fontId="76" fillId="0" borderId="0" xfId="3" applyFont="1" applyBorder="1" applyProtection="1">
      <protection locked="0"/>
    </xf>
    <xf numFmtId="9" fontId="117" fillId="0" borderId="0" xfId="0" applyNumberFormat="1" applyFont="1" applyAlignment="1">
      <alignment vertical="center"/>
    </xf>
    <xf numFmtId="183" fontId="17" fillId="0" borderId="0" xfId="3" applyNumberFormat="1" applyFont="1" applyBorder="1" applyAlignment="1">
      <alignment horizontal="left" vertical="top" wrapText="1"/>
    </xf>
    <xf numFmtId="183" fontId="17" fillId="0" borderId="0" xfId="3" applyNumberFormat="1" applyFont="1" applyBorder="1" applyAlignment="1">
      <alignment horizontal="right"/>
    </xf>
    <xf numFmtId="183" fontId="17" fillId="0" borderId="0" xfId="3" applyNumberFormat="1" applyFont="1" applyBorder="1" applyAlignment="1">
      <alignment horizontal="center" vertical="top"/>
    </xf>
    <xf numFmtId="0" fontId="70" fillId="0" borderId="0" xfId="3" applyFont="1" applyBorder="1" applyAlignment="1" applyProtection="1">
      <alignment vertical="top"/>
    </xf>
    <xf numFmtId="0" fontId="70" fillId="0" borderId="0" xfId="3" applyFont="1" applyBorder="1" applyProtection="1">
      <protection locked="0"/>
    </xf>
    <xf numFmtId="183" fontId="17" fillId="0" borderId="41" xfId="3" applyNumberFormat="1" applyFont="1" applyBorder="1" applyAlignment="1">
      <alignment horizontal="left" vertical="top" wrapText="1"/>
    </xf>
    <xf numFmtId="183" fontId="17" fillId="0" borderId="41" xfId="3" applyNumberFormat="1" applyFont="1" applyBorder="1" applyAlignment="1">
      <alignment horizontal="right"/>
    </xf>
    <xf numFmtId="9" fontId="20" fillId="0" borderId="41" xfId="2" applyFont="1" applyBorder="1" applyAlignment="1">
      <alignment horizontal="center" vertical="top"/>
    </xf>
    <xf numFmtId="9" fontId="9" fillId="3" borderId="41" xfId="2" applyFont="1" applyFill="1" applyBorder="1" applyAlignment="1">
      <alignment horizontal="center" vertical="top"/>
    </xf>
    <xf numFmtId="183" fontId="20" fillId="0" borderId="0" xfId="3" applyNumberFormat="1" applyFont="1" applyBorder="1" applyAlignment="1">
      <alignment horizontal="center" vertical="top"/>
    </xf>
    <xf numFmtId="183" fontId="9" fillId="3" borderId="0" xfId="3" applyNumberFormat="1" applyFont="1" applyFill="1" applyBorder="1" applyAlignment="1">
      <alignment horizontal="center" vertical="top"/>
    </xf>
    <xf numFmtId="0" fontId="14" fillId="3" borderId="0" xfId="3" applyFont="1" applyFill="1" applyBorder="1" applyProtection="1">
      <protection locked="0"/>
    </xf>
    <xf numFmtId="183" fontId="20" fillId="0" borderId="0" xfId="3" applyNumberFormat="1" applyFont="1" applyBorder="1" applyAlignment="1">
      <alignment horizontal="left" vertical="top" wrapText="1"/>
    </xf>
    <xf numFmtId="0" fontId="20" fillId="0" borderId="0" xfId="3" applyFont="1" applyFill="1" applyBorder="1" applyAlignment="1" applyProtection="1">
      <alignment horizontal="center" vertical="top"/>
    </xf>
    <xf numFmtId="0" fontId="70" fillId="3" borderId="23" xfId="0" applyFont="1" applyFill="1" applyBorder="1" applyAlignment="1">
      <alignment horizontal="left" vertical="top" wrapText="1"/>
    </xf>
    <xf numFmtId="0" fontId="9" fillId="3" borderId="23" xfId="3" applyFont="1" applyFill="1" applyBorder="1" applyAlignment="1" applyProtection="1">
      <alignment horizontal="center" vertical="top" wrapText="1"/>
      <protection locked="0"/>
    </xf>
    <xf numFmtId="183" fontId="17" fillId="3" borderId="0" xfId="3" applyNumberFormat="1" applyFont="1" applyFill="1" applyBorder="1" applyAlignment="1">
      <alignment horizontal="center"/>
    </xf>
    <xf numFmtId="183" fontId="8" fillId="3" borderId="0" xfId="3" applyNumberFormat="1" applyFont="1" applyFill="1" applyBorder="1" applyAlignment="1">
      <alignment horizontal="center"/>
    </xf>
    <xf numFmtId="0" fontId="117" fillId="0" borderId="0" xfId="0" applyFont="1" applyAlignment="1">
      <alignment vertical="center"/>
    </xf>
    <xf numFmtId="183" fontId="20" fillId="0" borderId="41" xfId="3" applyNumberFormat="1" applyFont="1" applyBorder="1" applyAlignment="1">
      <alignment horizontal="right"/>
    </xf>
    <xf numFmtId="196" fontId="70" fillId="0" borderId="0" xfId="3" applyNumberFormat="1" applyFont="1" applyBorder="1" applyProtection="1"/>
    <xf numFmtId="196" fontId="70" fillId="0" borderId="0" xfId="3" applyNumberFormat="1" applyFont="1" applyBorder="1" applyProtection="1">
      <protection locked="0"/>
    </xf>
    <xf numFmtId="0" fontId="14" fillId="0" borderId="0" xfId="3" quotePrefix="1" applyFont="1" applyFill="1" applyBorder="1" applyAlignment="1" applyProtection="1">
      <alignment horizontal="left" vertical="top" wrapText="1"/>
      <protection locked="0"/>
    </xf>
    <xf numFmtId="0" fontId="8" fillId="0" borderId="23" xfId="3" applyFont="1" applyBorder="1" applyProtection="1"/>
    <xf numFmtId="173" fontId="8" fillId="0" borderId="0" xfId="14" applyNumberFormat="1" applyFont="1" applyBorder="1" applyAlignment="1" applyProtection="1">
      <alignment horizontal="right"/>
    </xf>
    <xf numFmtId="173" fontId="8" fillId="3" borderId="0" xfId="14" applyNumberFormat="1" applyFont="1" applyFill="1" applyBorder="1" applyAlignment="1" applyProtection="1">
      <alignment horizontal="right"/>
    </xf>
    <xf numFmtId="0" fontId="8" fillId="0" borderId="0" xfId="3" applyFont="1" applyBorder="1" applyProtection="1">
      <protection locked="0"/>
    </xf>
    <xf numFmtId="49" fontId="8" fillId="0" borderId="0" xfId="3" applyNumberFormat="1" applyFont="1" applyBorder="1" applyAlignment="1" applyProtection="1">
      <alignment wrapText="1"/>
    </xf>
    <xf numFmtId="9" fontId="8" fillId="0" borderId="0" xfId="17" applyFont="1" applyBorder="1" applyAlignment="1" applyProtection="1">
      <alignment horizontal="right"/>
    </xf>
    <xf numFmtId="9" fontId="8" fillId="3" borderId="0" xfId="17" applyFont="1" applyFill="1" applyBorder="1" applyAlignment="1" applyProtection="1">
      <alignment horizontal="right"/>
    </xf>
    <xf numFmtId="173" fontId="8" fillId="0" borderId="0" xfId="3" applyNumberFormat="1" applyFont="1" applyFill="1" applyBorder="1" applyAlignment="1" applyProtection="1">
      <alignment horizontal="right"/>
    </xf>
    <xf numFmtId="173" fontId="8" fillId="3" borderId="0" xfId="3" applyNumberFormat="1" applyFont="1" applyFill="1" applyBorder="1" applyAlignment="1" applyProtection="1">
      <alignment horizontal="right"/>
    </xf>
    <xf numFmtId="173" fontId="8" fillId="0" borderId="0" xfId="3" applyNumberFormat="1" applyFont="1" applyBorder="1" applyAlignment="1" applyProtection="1">
      <alignment horizontal="right"/>
    </xf>
    <xf numFmtId="0" fontId="14" fillId="0" borderId="0" xfId="3" applyFont="1" applyAlignment="1" applyProtection="1">
      <alignment vertical="top"/>
    </xf>
    <xf numFmtId="173" fontId="8" fillId="0" borderId="4" xfId="3" applyNumberFormat="1" applyFont="1" applyFill="1" applyBorder="1" applyAlignment="1" applyProtection="1">
      <alignment horizontal="right"/>
    </xf>
    <xf numFmtId="173" fontId="8" fillId="0" borderId="4" xfId="3" applyNumberFormat="1" applyFont="1" applyBorder="1" applyAlignment="1" applyProtection="1">
      <alignment horizontal="right"/>
    </xf>
    <xf numFmtId="173" fontId="8" fillId="3" borderId="4" xfId="3" applyNumberFormat="1" applyFont="1" applyFill="1" applyBorder="1" applyAlignment="1" applyProtection="1">
      <alignment horizontal="right"/>
    </xf>
    <xf numFmtId="173" fontId="14" fillId="0" borderId="0" xfId="3" applyNumberFormat="1" applyFont="1" applyFill="1" applyProtection="1"/>
    <xf numFmtId="173" fontId="8" fillId="0" borderId="0" xfId="3" applyNumberFormat="1" applyFont="1" applyProtection="1"/>
    <xf numFmtId="0" fontId="14" fillId="3" borderId="0" xfId="3" applyFont="1" applyFill="1" applyProtection="1"/>
    <xf numFmtId="0" fontId="14" fillId="0" borderId="0" xfId="3" applyFont="1" applyFill="1" applyAlignment="1" applyProtection="1">
      <alignment horizontal="left"/>
    </xf>
    <xf numFmtId="0" fontId="27" fillId="0" borderId="0" xfId="3" applyFont="1" applyBorder="1" applyProtection="1"/>
    <xf numFmtId="0" fontId="14" fillId="0" borderId="0" xfId="3" applyFont="1" applyBorder="1" applyAlignment="1" applyProtection="1">
      <alignment vertical="top" wrapText="1"/>
    </xf>
    <xf numFmtId="0" fontId="14" fillId="0" borderId="0" xfId="3" applyFont="1" applyFill="1" applyBorder="1" applyAlignment="1" applyProtection="1">
      <alignment wrapText="1"/>
    </xf>
    <xf numFmtId="0" fontId="14" fillId="0" borderId="0" xfId="3" applyFont="1" applyFill="1" applyAlignment="1"/>
    <xf numFmtId="0" fontId="31" fillId="0" borderId="0" xfId="3" applyFont="1" applyFill="1" applyAlignment="1">
      <alignment vertical="top"/>
    </xf>
    <xf numFmtId="0" fontId="19" fillId="0" borderId="0" xfId="3" applyFont="1" applyFill="1" applyAlignment="1">
      <alignment vertical="top"/>
    </xf>
    <xf numFmtId="0" fontId="9" fillId="0" borderId="18" xfId="3" applyFont="1" applyFill="1" applyBorder="1" applyAlignment="1"/>
    <xf numFmtId="170" fontId="8" fillId="0" borderId="12" xfId="17" applyNumberFormat="1" applyFont="1" applyFill="1" applyBorder="1" applyAlignment="1">
      <alignment horizontal="right"/>
    </xf>
    <xf numFmtId="10" fontId="8" fillId="0" borderId="0" xfId="3" applyNumberFormat="1" applyFont="1" applyFill="1" applyAlignment="1">
      <alignment horizontal="right"/>
    </xf>
    <xf numFmtId="170" fontId="17" fillId="0" borderId="12" xfId="0" applyNumberFormat="1" applyFont="1" applyFill="1" applyBorder="1" applyAlignment="1">
      <alignment horizontal="right"/>
    </xf>
    <xf numFmtId="0" fontId="19" fillId="0" borderId="0" xfId="3" applyFont="1" applyFill="1" applyBorder="1" applyAlignment="1">
      <alignment vertical="top"/>
    </xf>
    <xf numFmtId="170" fontId="8" fillId="0" borderId="4" xfId="17" applyNumberFormat="1" applyFont="1" applyFill="1" applyBorder="1" applyAlignment="1">
      <alignment horizontal="right"/>
    </xf>
    <xf numFmtId="170" fontId="8" fillId="0" borderId="16" xfId="17" applyNumberFormat="1" applyFont="1" applyFill="1" applyBorder="1" applyAlignment="1">
      <alignment horizontal="right"/>
    </xf>
    <xf numFmtId="170" fontId="17" fillId="0" borderId="16" xfId="0" applyNumberFormat="1" applyFont="1" applyFill="1" applyBorder="1" applyAlignment="1">
      <alignment horizontal="right"/>
    </xf>
    <xf numFmtId="0" fontId="30" fillId="0" borderId="0" xfId="3" applyFont="1" applyFill="1" applyBorder="1"/>
    <xf numFmtId="0" fontId="19" fillId="0" borderId="0" xfId="3" applyFont="1" applyFill="1" applyBorder="1" applyAlignment="1">
      <alignment vertical="top" wrapText="1"/>
    </xf>
    <xf numFmtId="0" fontId="19" fillId="0" borderId="0" xfId="3" applyFont="1" applyFill="1" applyBorder="1"/>
    <xf numFmtId="0" fontId="19" fillId="0" borderId="0" xfId="3" applyFont="1" applyFill="1" applyAlignment="1">
      <alignment wrapText="1"/>
    </xf>
    <xf numFmtId="0" fontId="64" fillId="0" borderId="0" xfId="3" applyFont="1" applyFill="1"/>
    <xf numFmtId="0" fontId="43" fillId="0" borderId="0" xfId="3" applyFont="1" applyFill="1"/>
    <xf numFmtId="0" fontId="64" fillId="0" borderId="0" xfId="3" applyFont="1" applyFill="1" applyBorder="1"/>
    <xf numFmtId="0" fontId="52" fillId="0" borderId="0" xfId="3" applyFont="1" applyFill="1" applyAlignment="1">
      <alignment horizontal="left"/>
    </xf>
    <xf numFmtId="0" fontId="52" fillId="0" borderId="0" xfId="3" applyFont="1" applyFill="1" applyBorder="1" applyAlignment="1">
      <alignment horizontal="left"/>
    </xf>
    <xf numFmtId="0" fontId="7" fillId="0" borderId="0" xfId="3" applyFont="1" applyFill="1" applyAlignment="1">
      <alignment horizontal="right" vertical="top"/>
    </xf>
    <xf numFmtId="0" fontId="8" fillId="0" borderId="0" xfId="3" applyFont="1" applyFill="1" applyAlignment="1">
      <alignment horizontal="right" vertical="top"/>
    </xf>
    <xf numFmtId="0" fontId="8" fillId="0" borderId="5" xfId="3" applyFont="1" applyFill="1" applyBorder="1" applyAlignment="1">
      <alignment horizontal="right" wrapText="1"/>
    </xf>
    <xf numFmtId="0" fontId="75" fillId="0" borderId="0" xfId="3" applyFont="1" applyFill="1" applyBorder="1" applyAlignment="1">
      <alignment horizontal="right"/>
    </xf>
    <xf numFmtId="0" fontId="9" fillId="0" borderId="59" xfId="3" applyFont="1" applyFill="1" applyBorder="1" applyAlignment="1">
      <alignment horizontal="right"/>
    </xf>
    <xf numFmtId="0" fontId="9" fillId="0" borderId="62" xfId="3" applyFont="1" applyFill="1" applyBorder="1" applyAlignment="1">
      <alignment horizontal="right"/>
    </xf>
    <xf numFmtId="0" fontId="8" fillId="0" borderId="9" xfId="3" applyFont="1" applyFill="1" applyBorder="1" applyAlignment="1">
      <alignment horizontal="left" wrapText="1"/>
    </xf>
    <xf numFmtId="0" fontId="8" fillId="0" borderId="5" xfId="3" applyFont="1" applyFill="1" applyBorder="1" applyAlignment="1">
      <alignment horizontal="left" wrapText="1"/>
    </xf>
    <xf numFmtId="3" fontId="8" fillId="0" borderId="23" xfId="3" applyNumberFormat="1" applyFont="1" applyFill="1" applyBorder="1" applyAlignment="1"/>
    <xf numFmtId="165" fontId="8" fillId="0" borderId="59" xfId="3" applyNumberFormat="1" applyFont="1" applyFill="1" applyBorder="1" applyAlignment="1"/>
    <xf numFmtId="0" fontId="8" fillId="0" borderId="59" xfId="3" applyFont="1" applyFill="1" applyBorder="1" applyAlignment="1"/>
    <xf numFmtId="0" fontId="8" fillId="0" borderId="62" xfId="3" applyFont="1" applyFill="1" applyBorder="1" applyAlignment="1"/>
    <xf numFmtId="165" fontId="8" fillId="0" borderId="11" xfId="14" applyNumberFormat="1" applyFont="1" applyFill="1" applyBorder="1" applyAlignment="1">
      <alignment horizontal="right"/>
    </xf>
    <xf numFmtId="170" fontId="8" fillId="0" borderId="11" xfId="17" applyNumberFormat="1" applyFont="1" applyFill="1" applyBorder="1" applyAlignment="1">
      <alignment horizontal="right"/>
    </xf>
    <xf numFmtId="170" fontId="8" fillId="0" borderId="63" xfId="17" applyNumberFormat="1" applyFont="1" applyFill="1" applyBorder="1" applyAlignment="1">
      <alignment horizontal="right"/>
    </xf>
    <xf numFmtId="170" fontId="52" fillId="0" borderId="0" xfId="17" applyNumberFormat="1" applyFont="1" applyFill="1" applyBorder="1" applyAlignment="1">
      <alignment horizontal="right"/>
    </xf>
    <xf numFmtId="165" fontId="8" fillId="0" borderId="11" xfId="3" applyNumberFormat="1" applyFont="1" applyFill="1" applyBorder="1" applyAlignment="1"/>
    <xf numFmtId="170" fontId="8" fillId="0" borderId="11" xfId="17" applyNumberFormat="1" applyFont="1" applyFill="1" applyBorder="1" applyAlignment="1"/>
    <xf numFmtId="170" fontId="8" fillId="0" borderId="63" xfId="17" applyNumberFormat="1" applyFont="1" applyFill="1" applyBorder="1" applyAlignment="1"/>
    <xf numFmtId="165" fontId="8" fillId="0" borderId="63" xfId="14" applyNumberFormat="1" applyFont="1" applyFill="1" applyBorder="1" applyAlignment="1">
      <alignment horizontal="right"/>
    </xf>
    <xf numFmtId="165" fontId="8" fillId="0" borderId="0" xfId="14" applyNumberFormat="1" applyFont="1" applyFill="1" applyBorder="1" applyAlignment="1">
      <alignment horizontal="right"/>
    </xf>
    <xf numFmtId="165" fontId="52" fillId="0" borderId="0" xfId="14" applyNumberFormat="1" applyFont="1" applyFill="1" applyBorder="1" applyAlignment="1">
      <alignment horizontal="right"/>
    </xf>
    <xf numFmtId="165" fontId="8" fillId="0" borderId="9" xfId="14" applyNumberFormat="1" applyFont="1" applyFill="1" applyBorder="1" applyAlignment="1">
      <alignment wrapText="1"/>
    </xf>
    <xf numFmtId="165" fontId="8" fillId="0" borderId="0" xfId="14" applyNumberFormat="1" applyFont="1" applyFill="1" applyBorder="1" applyAlignment="1"/>
    <xf numFmtId="165" fontId="8" fillId="0" borderId="11" xfId="14" applyNumberFormat="1" applyFont="1" applyFill="1" applyBorder="1" applyAlignment="1"/>
    <xf numFmtId="165" fontId="8" fillId="0" borderId="63" xfId="14" applyNumberFormat="1" applyFont="1" applyFill="1" applyBorder="1" applyAlignment="1"/>
    <xf numFmtId="0" fontId="51" fillId="0" borderId="0" xfId="3" applyFont="1" applyFill="1" applyAlignment="1">
      <alignment vertical="top"/>
    </xf>
    <xf numFmtId="0" fontId="52" fillId="0" borderId="11" xfId="3" applyFont="1" applyFill="1" applyBorder="1" applyAlignment="1">
      <alignment horizontal="right"/>
    </xf>
    <xf numFmtId="170" fontId="52" fillId="0" borderId="0" xfId="17" applyNumberFormat="1" applyFont="1" applyFill="1" applyBorder="1" applyAlignment="1"/>
    <xf numFmtId="0" fontId="52" fillId="0" borderId="11" xfId="3" applyFont="1" applyFill="1" applyBorder="1" applyAlignment="1"/>
    <xf numFmtId="0" fontId="52" fillId="0" borderId="0" xfId="3" applyFont="1" applyFill="1" applyAlignment="1">
      <alignment horizontal="left" vertical="top"/>
    </xf>
    <xf numFmtId="0" fontId="8" fillId="0" borderId="29" xfId="3" applyFont="1" applyFill="1" applyBorder="1" applyAlignment="1">
      <alignment horizontal="left" wrapText="1"/>
    </xf>
    <xf numFmtId="0" fontId="8" fillId="0" borderId="7" xfId="3" applyFont="1" applyFill="1" applyBorder="1" applyAlignment="1">
      <alignment horizontal="right"/>
    </xf>
    <xf numFmtId="0" fontId="52" fillId="0" borderId="7" xfId="3" applyFont="1" applyFill="1" applyBorder="1" applyAlignment="1">
      <alignment horizontal="right"/>
    </xf>
    <xf numFmtId="0" fontId="8" fillId="0" borderId="0" xfId="3" applyFont="1" applyFill="1" applyAlignment="1">
      <alignment horizontal="left" vertical="top"/>
    </xf>
    <xf numFmtId="0" fontId="9" fillId="0" borderId="9" xfId="3" applyFont="1" applyFill="1" applyBorder="1" applyAlignment="1">
      <alignment horizontal="left" vertical="center" wrapText="1"/>
    </xf>
    <xf numFmtId="0" fontId="9" fillId="0" borderId="11" xfId="3" applyFont="1" applyFill="1" applyBorder="1" applyAlignment="1">
      <alignment horizontal="right"/>
    </xf>
    <xf numFmtId="0" fontId="75" fillId="0" borderId="11" xfId="3" applyFont="1" applyFill="1" applyBorder="1" applyAlignment="1">
      <alignment horizontal="right"/>
    </xf>
    <xf numFmtId="0" fontId="75" fillId="0" borderId="63" xfId="3" applyFont="1" applyFill="1" applyBorder="1" applyAlignment="1">
      <alignment horizontal="right"/>
    </xf>
    <xf numFmtId="0" fontId="9" fillId="0" borderId="17" xfId="3" applyFont="1" applyFill="1" applyBorder="1" applyAlignment="1">
      <alignment horizontal="left" vertical="center" wrapText="1"/>
    </xf>
    <xf numFmtId="0" fontId="52" fillId="0" borderId="18" xfId="3" applyFont="1" applyFill="1" applyBorder="1" applyAlignment="1"/>
    <xf numFmtId="0" fontId="9" fillId="0" borderId="56" xfId="3" applyFont="1" applyFill="1" applyBorder="1" applyAlignment="1">
      <alignment horizontal="center"/>
    </xf>
    <xf numFmtId="0" fontId="9" fillId="0" borderId="61" xfId="3" applyFont="1" applyFill="1" applyBorder="1" applyAlignment="1">
      <alignment horizontal="center"/>
    </xf>
    <xf numFmtId="170" fontId="8" fillId="0" borderId="0" xfId="17" applyNumberFormat="1" applyFont="1" applyFill="1" applyBorder="1" applyAlignment="1"/>
    <xf numFmtId="0" fontId="52" fillId="0" borderId="0" xfId="3" applyFont="1" applyFill="1" applyBorder="1" applyAlignment="1"/>
    <xf numFmtId="165" fontId="8" fillId="0" borderId="11" xfId="17" applyNumberFormat="1" applyFont="1" applyFill="1" applyBorder="1" applyAlignment="1"/>
    <xf numFmtId="0" fontId="8" fillId="0" borderId="11" xfId="3" applyFont="1" applyFill="1" applyBorder="1" applyAlignment="1"/>
    <xf numFmtId="0" fontId="8" fillId="0" borderId="63" xfId="3" applyFont="1" applyFill="1" applyBorder="1" applyAlignment="1"/>
    <xf numFmtId="170" fontId="8" fillId="0" borderId="11" xfId="17" applyNumberFormat="1" applyFont="1" applyFill="1" applyBorder="1" applyAlignment="1">
      <alignment horizontal="center"/>
    </xf>
    <xf numFmtId="0" fontId="8" fillId="0" borderId="13" xfId="3" applyFont="1" applyFill="1" applyBorder="1" applyAlignment="1">
      <alignment horizontal="left" wrapText="1"/>
    </xf>
    <xf numFmtId="170" fontId="8" fillId="0" borderId="15" xfId="17" applyNumberFormat="1" applyFont="1" applyFill="1" applyBorder="1" applyAlignment="1">
      <alignment horizontal="right"/>
    </xf>
    <xf numFmtId="0" fontId="52" fillId="0" borderId="15" xfId="3" applyFont="1" applyFill="1" applyBorder="1"/>
    <xf numFmtId="170" fontId="8" fillId="0" borderId="15" xfId="17" applyNumberFormat="1" applyFont="1" applyFill="1" applyBorder="1" applyAlignment="1"/>
    <xf numFmtId="0" fontId="52" fillId="0" borderId="15" xfId="3" applyFont="1" applyFill="1" applyBorder="1" applyAlignment="1">
      <alignment horizontal="left"/>
    </xf>
    <xf numFmtId="0" fontId="52" fillId="0" borderId="64" xfId="3" applyFont="1" applyFill="1" applyBorder="1" applyAlignment="1">
      <alignment horizontal="left"/>
    </xf>
    <xf numFmtId="0" fontId="52" fillId="0" borderId="0" xfId="3" applyFont="1" applyFill="1" applyAlignment="1">
      <alignment wrapText="1"/>
    </xf>
    <xf numFmtId="0" fontId="52" fillId="0" borderId="0" xfId="3" applyFont="1" applyFill="1" applyBorder="1"/>
    <xf numFmtId="170" fontId="52" fillId="0" borderId="11" xfId="17" applyNumberFormat="1" applyFont="1" applyFill="1" applyBorder="1" applyAlignment="1"/>
    <xf numFmtId="0" fontId="52" fillId="0" borderId="4" xfId="3" applyFont="1" applyFill="1" applyBorder="1" applyAlignment="1">
      <alignment wrapText="1"/>
    </xf>
    <xf numFmtId="0" fontId="52" fillId="0" borderId="4" xfId="3" applyFont="1" applyFill="1" applyBorder="1" applyAlignment="1"/>
    <xf numFmtId="0" fontId="52" fillId="0" borderId="15" xfId="3" applyFont="1" applyFill="1" applyBorder="1" applyAlignment="1"/>
    <xf numFmtId="170" fontId="52" fillId="0" borderId="15" xfId="17" applyNumberFormat="1" applyFont="1" applyFill="1" applyBorder="1" applyAlignment="1"/>
    <xf numFmtId="170" fontId="8" fillId="0" borderId="64" xfId="17" applyNumberFormat="1" applyFont="1" applyFill="1" applyBorder="1" applyAlignment="1"/>
    <xf numFmtId="0" fontId="19" fillId="0" borderId="0" xfId="3" applyFont="1" applyFill="1" applyBorder="1" applyAlignment="1">
      <alignment horizontal="right" wrapText="1"/>
    </xf>
    <xf numFmtId="170" fontId="19" fillId="0" borderId="0" xfId="17" applyNumberFormat="1" applyFont="1" applyFill="1" applyBorder="1" applyAlignment="1">
      <alignment horizontal="right"/>
    </xf>
    <xf numFmtId="170" fontId="19" fillId="0" borderId="0" xfId="17" applyNumberFormat="1" applyFont="1" applyFill="1"/>
    <xf numFmtId="0" fontId="0" fillId="0" borderId="0" xfId="3" applyFont="1" applyFill="1" applyBorder="1" applyAlignment="1"/>
    <xf numFmtId="170" fontId="19" fillId="0" borderId="0" xfId="17" applyNumberFormat="1" applyFont="1" applyFill="1" applyBorder="1"/>
    <xf numFmtId="0" fontId="27" fillId="0" borderId="4" xfId="3" applyFont="1" applyFill="1" applyBorder="1" applyAlignment="1"/>
    <xf numFmtId="170" fontId="118" fillId="0" borderId="4" xfId="17" applyNumberFormat="1" applyFont="1" applyFill="1" applyBorder="1" applyAlignment="1"/>
    <xf numFmtId="170" fontId="52" fillId="0" borderId="4" xfId="17" applyNumberFormat="1" applyFont="1" applyFill="1" applyBorder="1"/>
    <xf numFmtId="0" fontId="9" fillId="0" borderId="5" xfId="3" applyFont="1" applyFill="1" applyBorder="1" applyAlignment="1">
      <alignment horizontal="left"/>
    </xf>
    <xf numFmtId="0" fontId="9" fillId="0" borderId="23" xfId="3" applyFont="1" applyFill="1" applyBorder="1" applyAlignment="1">
      <alignment horizontal="center"/>
    </xf>
    <xf numFmtId="0" fontId="9" fillId="0" borderId="9" xfId="3" applyFont="1" applyFill="1" applyBorder="1" applyAlignment="1">
      <alignment horizontal="left"/>
    </xf>
    <xf numFmtId="0" fontId="9" fillId="0" borderId="60" xfId="3" applyFont="1" applyFill="1" applyBorder="1" applyAlignment="1">
      <alignment vertical="top" wrapText="1"/>
    </xf>
    <xf numFmtId="0" fontId="9" fillId="0" borderId="4" xfId="3" applyFont="1" applyFill="1" applyBorder="1" applyAlignment="1">
      <alignment horizontal="center" vertical="top"/>
    </xf>
    <xf numFmtId="170" fontId="9" fillId="0" borderId="14" xfId="17" applyNumberFormat="1" applyFont="1" applyFill="1" applyBorder="1" applyAlignment="1">
      <alignment horizontal="center" vertical="top" wrapText="1"/>
    </xf>
    <xf numFmtId="0" fontId="9" fillId="0" borderId="4" xfId="3" applyFont="1" applyFill="1" applyBorder="1" applyAlignment="1">
      <alignment vertical="top" wrapText="1"/>
    </xf>
    <xf numFmtId="170" fontId="9" fillId="0" borderId="4" xfId="17" applyNumberFormat="1" applyFont="1" applyFill="1" applyBorder="1" applyAlignment="1">
      <alignment horizontal="center" vertical="top"/>
    </xf>
    <xf numFmtId="170" fontId="9" fillId="0" borderId="16" xfId="17" applyNumberFormat="1" applyFont="1" applyFill="1" applyBorder="1" applyAlignment="1">
      <alignment horizontal="center" vertical="top"/>
    </xf>
    <xf numFmtId="0" fontId="8" fillId="0" borderId="47" xfId="3" applyFont="1" applyFill="1" applyBorder="1"/>
    <xf numFmtId="3" fontId="8" fillId="0" borderId="58" xfId="3" applyNumberFormat="1" applyFont="1" applyFill="1" applyBorder="1" applyAlignment="1">
      <alignment horizontal="right"/>
    </xf>
    <xf numFmtId="170" fontId="8" fillId="0" borderId="10" xfId="17" applyNumberFormat="1" applyFont="1" applyFill="1" applyBorder="1"/>
    <xf numFmtId="173" fontId="8" fillId="0" borderId="0" xfId="14" applyNumberFormat="1" applyFont="1" applyFill="1" applyBorder="1" applyAlignment="1">
      <alignment horizontal="right"/>
    </xf>
    <xf numFmtId="170" fontId="8" fillId="0" borderId="0" xfId="17" applyNumberFormat="1" applyFont="1" applyFill="1" applyBorder="1"/>
    <xf numFmtId="170" fontId="8" fillId="0" borderId="12" xfId="17" applyNumberFormat="1" applyFont="1" applyFill="1" applyBorder="1"/>
    <xf numFmtId="0" fontId="8" fillId="0" borderId="29" xfId="3" applyFont="1" applyFill="1" applyBorder="1"/>
    <xf numFmtId="3" fontId="8" fillId="0" borderId="20" xfId="3" applyNumberFormat="1" applyFont="1" applyFill="1" applyBorder="1" applyAlignment="1">
      <alignment horizontal="right"/>
    </xf>
    <xf numFmtId="170" fontId="8" fillId="0" borderId="22" xfId="17" applyNumberFormat="1" applyFont="1" applyFill="1" applyBorder="1"/>
    <xf numFmtId="173" fontId="8" fillId="0" borderId="21" xfId="14" applyNumberFormat="1" applyFont="1" applyFill="1" applyBorder="1" applyAlignment="1">
      <alignment horizontal="right"/>
    </xf>
    <xf numFmtId="170" fontId="8" fillId="0" borderId="21" xfId="17" applyNumberFormat="1" applyFont="1" applyFill="1" applyBorder="1"/>
    <xf numFmtId="170" fontId="8" fillId="0" borderId="42" xfId="17" applyNumberFormat="1" applyFont="1" applyFill="1" applyBorder="1" applyAlignment="1">
      <alignment horizontal="right"/>
    </xf>
    <xf numFmtId="9" fontId="9" fillId="0" borderId="4" xfId="3" applyNumberFormat="1" applyFont="1" applyFill="1" applyBorder="1" applyAlignment="1">
      <alignment horizontal="right"/>
    </xf>
    <xf numFmtId="173" fontId="9" fillId="0" borderId="60" xfId="14" applyNumberFormat="1" applyFont="1" applyFill="1" applyBorder="1" applyAlignment="1">
      <alignment horizontal="right"/>
    </xf>
    <xf numFmtId="173" fontId="9" fillId="0" borderId="4" xfId="14" applyNumberFormat="1" applyFont="1" applyFill="1" applyBorder="1" applyAlignment="1">
      <alignment horizontal="right"/>
    </xf>
    <xf numFmtId="170" fontId="9" fillId="0" borderId="14" xfId="17" applyNumberFormat="1" applyFont="1" applyFill="1" applyBorder="1" applyAlignment="1">
      <alignment horizontal="right"/>
    </xf>
    <xf numFmtId="170" fontId="9" fillId="0" borderId="4" xfId="17" applyNumberFormat="1" applyFont="1" applyFill="1" applyBorder="1" applyAlignment="1">
      <alignment horizontal="right"/>
    </xf>
    <xf numFmtId="170" fontId="9" fillId="0" borderId="16" xfId="17" applyNumberFormat="1" applyFont="1" applyFill="1" applyBorder="1" applyAlignment="1">
      <alignment horizontal="right"/>
    </xf>
    <xf numFmtId="9" fontId="9" fillId="0" borderId="0" xfId="3" applyNumberFormat="1" applyFont="1" applyFill="1" applyBorder="1" applyAlignment="1">
      <alignment horizontal="right"/>
    </xf>
    <xf numFmtId="173" fontId="9" fillId="0" borderId="0" xfId="14" applyNumberFormat="1" applyFont="1" applyFill="1" applyBorder="1" applyAlignment="1">
      <alignment horizontal="right"/>
    </xf>
    <xf numFmtId="170" fontId="75" fillId="0" borderId="4" xfId="17" applyNumberFormat="1" applyFont="1" applyFill="1" applyBorder="1" applyAlignment="1"/>
    <xf numFmtId="0" fontId="9" fillId="0" borderId="29" xfId="3" applyFont="1" applyFill="1" applyBorder="1" applyAlignment="1">
      <alignment horizontal="left"/>
    </xf>
    <xf numFmtId="0" fontId="9" fillId="0" borderId="21" xfId="3" applyFont="1" applyFill="1" applyBorder="1" applyAlignment="1">
      <alignment horizontal="center" vertical="top"/>
    </xf>
    <xf numFmtId="170" fontId="9" fillId="0" borderId="14" xfId="17" applyNumberFormat="1" applyFont="1" applyFill="1" applyBorder="1" applyAlignment="1">
      <alignment horizontal="center" vertical="top"/>
    </xf>
    <xf numFmtId="170" fontId="8" fillId="0" borderId="42" xfId="17" applyNumberFormat="1" applyFont="1" applyFill="1" applyBorder="1"/>
    <xf numFmtId="0" fontId="30" fillId="0" borderId="0" xfId="3" applyFont="1" applyFill="1" applyBorder="1" applyAlignment="1">
      <alignment vertical="top"/>
    </xf>
    <xf numFmtId="0" fontId="30" fillId="0" borderId="0" xfId="3" applyFont="1" applyFill="1" applyBorder="1" applyAlignment="1">
      <alignment horizontal="left"/>
    </xf>
    <xf numFmtId="173" fontId="30" fillId="0" borderId="0" xfId="14" applyNumberFormat="1" applyFont="1" applyFill="1" applyBorder="1" applyAlignment="1">
      <alignment horizontal="right"/>
    </xf>
    <xf numFmtId="170" fontId="30" fillId="0" borderId="0" xfId="17" applyNumberFormat="1" applyFont="1" applyFill="1" applyBorder="1" applyAlignment="1">
      <alignment horizontal="right"/>
    </xf>
    <xf numFmtId="173" fontId="63" fillId="0" borderId="0" xfId="14" applyNumberFormat="1" applyFont="1" applyFill="1" applyBorder="1" applyAlignment="1">
      <alignment horizontal="right"/>
    </xf>
    <xf numFmtId="170" fontId="30" fillId="0" borderId="0" xfId="17" applyNumberFormat="1" applyFont="1" applyFill="1" applyBorder="1"/>
    <xf numFmtId="0" fontId="4" fillId="0" borderId="1" xfId="3" applyFont="1" applyFill="1" applyBorder="1" applyAlignment="1">
      <alignment vertical="top"/>
    </xf>
    <xf numFmtId="0" fontId="9" fillId="0" borderId="20" xfId="3" applyFont="1" applyFill="1" applyBorder="1"/>
    <xf numFmtId="0" fontId="9" fillId="0" borderId="21" xfId="3" applyFont="1" applyFill="1" applyBorder="1" applyAlignment="1">
      <alignment horizontal="center"/>
    </xf>
    <xf numFmtId="0" fontId="9" fillId="0" borderId="22" xfId="3" applyFont="1" applyFill="1" applyBorder="1" applyAlignment="1">
      <alignment horizontal="center"/>
    </xf>
    <xf numFmtId="0" fontId="9" fillId="0" borderId="20" xfId="3" applyFont="1" applyFill="1" applyBorder="1" applyAlignment="1">
      <alignment horizontal="center"/>
    </xf>
    <xf numFmtId="0" fontId="9" fillId="0" borderId="42" xfId="3" applyFont="1" applyFill="1" applyBorder="1" applyAlignment="1">
      <alignment horizontal="center"/>
    </xf>
    <xf numFmtId="0" fontId="9" fillId="0" borderId="35" xfId="3" applyFont="1" applyFill="1" applyBorder="1" applyAlignment="1">
      <alignment wrapText="1"/>
    </xf>
    <xf numFmtId="0" fontId="8" fillId="0" borderId="1" xfId="3" applyFont="1" applyFill="1" applyBorder="1"/>
    <xf numFmtId="0" fontId="8" fillId="0" borderId="2" xfId="3" applyFont="1" applyFill="1" applyBorder="1"/>
    <xf numFmtId="170" fontId="8" fillId="0" borderId="3" xfId="17" applyNumberFormat="1" applyFont="1" applyFill="1" applyBorder="1"/>
    <xf numFmtId="170" fontId="8" fillId="0" borderId="2" xfId="17" applyNumberFormat="1" applyFont="1" applyFill="1" applyBorder="1"/>
    <xf numFmtId="170" fontId="8" fillId="0" borderId="44" xfId="17" applyNumberFormat="1" applyFont="1" applyFill="1" applyBorder="1"/>
    <xf numFmtId="0" fontId="9" fillId="0" borderId="1" xfId="3" applyFont="1" applyFill="1" applyBorder="1" applyAlignment="1">
      <alignment wrapText="1"/>
    </xf>
    <xf numFmtId="0" fontId="9" fillId="0" borderId="2" xfId="3" applyFont="1" applyFill="1" applyBorder="1" applyAlignment="1">
      <alignment wrapText="1"/>
    </xf>
    <xf numFmtId="0" fontId="9" fillId="0" borderId="3" xfId="3" applyFont="1" applyFill="1" applyBorder="1" applyAlignment="1">
      <alignment wrapText="1"/>
    </xf>
    <xf numFmtId="0" fontId="9" fillId="0" borderId="44" xfId="3" applyFont="1" applyFill="1" applyBorder="1" applyAlignment="1">
      <alignment wrapText="1"/>
    </xf>
    <xf numFmtId="0" fontId="8" fillId="0" borderId="58" xfId="3" applyFont="1" applyFill="1" applyBorder="1" applyAlignment="1"/>
    <xf numFmtId="0" fontId="9" fillId="0" borderId="38" xfId="3" applyFont="1" applyFill="1" applyBorder="1"/>
    <xf numFmtId="0" fontId="9" fillId="0" borderId="69" xfId="3" applyFont="1" applyFill="1" applyBorder="1"/>
    <xf numFmtId="170" fontId="9" fillId="0" borderId="68" xfId="17" applyNumberFormat="1" applyFont="1" applyFill="1" applyBorder="1"/>
    <xf numFmtId="1" fontId="9" fillId="0" borderId="41" xfId="17" applyNumberFormat="1" applyFont="1" applyFill="1" applyBorder="1"/>
    <xf numFmtId="170" fontId="9" fillId="0" borderId="41" xfId="17" applyNumberFormat="1" applyFont="1" applyFill="1" applyBorder="1"/>
    <xf numFmtId="170" fontId="9" fillId="0" borderId="43" xfId="17" applyNumberFormat="1" applyFont="1" applyFill="1" applyBorder="1"/>
    <xf numFmtId="170" fontId="9" fillId="0" borderId="0" xfId="17" applyNumberFormat="1" applyFont="1" applyFill="1" applyBorder="1"/>
    <xf numFmtId="0" fontId="119" fillId="0" borderId="0" xfId="3" applyFont="1" applyFill="1" applyBorder="1" applyAlignment="1">
      <alignment vertical="top" wrapText="1"/>
    </xf>
    <xf numFmtId="0" fontId="9" fillId="0" borderId="0" xfId="3" applyFont="1" applyFill="1" applyAlignment="1">
      <alignment horizontal="center"/>
    </xf>
    <xf numFmtId="0" fontId="8" fillId="0" borderId="32" xfId="3" applyFont="1" applyFill="1" applyBorder="1"/>
    <xf numFmtId="0" fontId="9" fillId="0" borderId="9" xfId="3" applyFont="1" applyFill="1" applyBorder="1"/>
    <xf numFmtId="0" fontId="9" fillId="0" borderId="58" xfId="3" applyFont="1" applyFill="1" applyBorder="1" applyAlignment="1">
      <alignment horizontal="center"/>
    </xf>
    <xf numFmtId="0" fontId="9" fillId="0" borderId="84" xfId="3" applyFont="1" applyFill="1" applyBorder="1" applyAlignment="1">
      <alignment horizontal="center"/>
    </xf>
    <xf numFmtId="0" fontId="9" fillId="0" borderId="12" xfId="3" applyFont="1" applyFill="1" applyBorder="1" applyAlignment="1">
      <alignment horizontal="center"/>
    </xf>
    <xf numFmtId="0" fontId="9" fillId="0" borderId="9" xfId="3" applyFont="1" applyFill="1" applyBorder="1" applyAlignment="1">
      <alignment horizontal="center"/>
    </xf>
    <xf numFmtId="0" fontId="9" fillId="0" borderId="10" xfId="3" applyFont="1" applyFill="1" applyBorder="1" applyAlignment="1">
      <alignment horizontal="center"/>
    </xf>
    <xf numFmtId="173" fontId="8" fillId="0" borderId="58" xfId="3" applyNumberFormat="1" applyFont="1" applyFill="1" applyBorder="1" applyAlignment="1">
      <alignment horizontal="right"/>
    </xf>
    <xf numFmtId="166" fontId="8" fillId="0" borderId="10" xfId="3" applyNumberFormat="1" applyFont="1" applyFill="1" applyBorder="1" applyAlignment="1">
      <alignment horizontal="right"/>
    </xf>
    <xf numFmtId="166" fontId="8" fillId="0" borderId="12" xfId="3" applyNumberFormat="1" applyFont="1" applyFill="1" applyBorder="1" applyAlignment="1">
      <alignment horizontal="right"/>
    </xf>
    <xf numFmtId="173" fontId="8" fillId="0" borderId="9" xfId="3" applyNumberFormat="1" applyFont="1" applyFill="1" applyBorder="1" applyAlignment="1">
      <alignment horizontal="right"/>
    </xf>
    <xf numFmtId="173" fontId="8" fillId="0" borderId="20" xfId="3" applyNumberFormat="1" applyFont="1" applyFill="1" applyBorder="1" applyAlignment="1">
      <alignment horizontal="right"/>
    </xf>
    <xf numFmtId="166" fontId="8" fillId="0" borderId="22" xfId="3" applyNumberFormat="1" applyFont="1" applyFill="1" applyBorder="1" applyAlignment="1">
      <alignment horizontal="right"/>
    </xf>
    <xf numFmtId="166" fontId="8" fillId="0" borderId="42" xfId="3" applyNumberFormat="1" applyFont="1" applyFill="1" applyBorder="1" applyAlignment="1">
      <alignment horizontal="right"/>
    </xf>
    <xf numFmtId="173" fontId="8" fillId="0" borderId="29" xfId="3" applyNumberFormat="1" applyFont="1" applyFill="1" applyBorder="1" applyAlignment="1">
      <alignment horizontal="right"/>
    </xf>
    <xf numFmtId="173" fontId="9" fillId="0" borderId="60" xfId="3" applyNumberFormat="1" applyFont="1" applyFill="1" applyBorder="1" applyAlignment="1">
      <alignment horizontal="right"/>
    </xf>
    <xf numFmtId="173" fontId="9" fillId="0" borderId="4" xfId="3" applyNumberFormat="1" applyFont="1" applyFill="1" applyBorder="1" applyAlignment="1">
      <alignment horizontal="right"/>
    </xf>
    <xf numFmtId="166" fontId="9" fillId="0" borderId="14" xfId="3" applyNumberFormat="1" applyFont="1" applyFill="1" applyBorder="1" applyAlignment="1">
      <alignment horizontal="right"/>
    </xf>
    <xf numFmtId="166" fontId="9" fillId="0" borderId="43" xfId="3" applyNumberFormat="1" applyFont="1" applyFill="1" applyBorder="1" applyAlignment="1">
      <alignment horizontal="right"/>
    </xf>
    <xf numFmtId="166" fontId="9" fillId="0" borderId="16" xfId="3" applyNumberFormat="1" applyFont="1" applyFill="1" applyBorder="1" applyAlignment="1">
      <alignment horizontal="right"/>
    </xf>
    <xf numFmtId="0" fontId="19" fillId="0" borderId="4" xfId="3" applyFont="1" applyFill="1" applyBorder="1"/>
    <xf numFmtId="0" fontId="119" fillId="0" borderId="0" xfId="3" applyFont="1" applyFill="1"/>
    <xf numFmtId="0" fontId="27" fillId="0" borderId="0" xfId="3" applyFont="1" applyFill="1" applyBorder="1" applyAlignment="1" applyProtection="1"/>
    <xf numFmtId="0" fontId="78" fillId="0" borderId="0" xfId="3" applyFont="1" applyFill="1" applyBorder="1" applyProtection="1">
      <protection locked="0"/>
    </xf>
    <xf numFmtId="0" fontId="27" fillId="0" borderId="5" xfId="3" applyFont="1" applyFill="1" applyBorder="1" applyAlignment="1" applyProtection="1"/>
    <xf numFmtId="0" fontId="8" fillId="0" borderId="9" xfId="3" applyFont="1" applyFill="1" applyBorder="1" applyAlignment="1"/>
    <xf numFmtId="17" fontId="9" fillId="0" borderId="13" xfId="3" applyNumberFormat="1" applyFont="1" applyFill="1" applyBorder="1" applyAlignment="1">
      <alignment horizontal="right"/>
    </xf>
    <xf numFmtId="0" fontId="9" fillId="0" borderId="14" xfId="3" applyFont="1" applyFill="1" applyBorder="1" applyAlignment="1">
      <alignment horizontal="right"/>
    </xf>
    <xf numFmtId="17" fontId="9" fillId="0" borderId="60" xfId="3" applyNumberFormat="1" applyFont="1" applyFill="1" applyBorder="1" applyAlignment="1">
      <alignment horizontal="right"/>
    </xf>
    <xf numFmtId="0" fontId="9" fillId="0" borderId="60" xfId="3" applyFont="1" applyFill="1" applyBorder="1" applyAlignment="1">
      <alignment horizontal="right"/>
    </xf>
    <xf numFmtId="0" fontId="9" fillId="0" borderId="104" xfId="3" applyFont="1" applyFill="1" applyBorder="1" applyAlignment="1">
      <alignment horizontal="right"/>
    </xf>
    <xf numFmtId="0" fontId="8" fillId="0" borderId="13" xfId="3" applyFont="1" applyFill="1" applyBorder="1" applyAlignment="1">
      <alignment horizontal="right"/>
    </xf>
    <xf numFmtId="0" fontId="8" fillId="0" borderId="14" xfId="3" applyFont="1" applyFill="1" applyBorder="1" applyAlignment="1">
      <alignment horizontal="right"/>
    </xf>
    <xf numFmtId="1" fontId="8" fillId="0" borderId="14" xfId="3" applyNumberFormat="1" applyFont="1" applyFill="1" applyBorder="1"/>
    <xf numFmtId="1" fontId="8" fillId="0" borderId="60" xfId="3" applyNumberFormat="1" applyFont="1" applyFill="1" applyBorder="1" applyAlignment="1">
      <alignment horizontal="right"/>
    </xf>
    <xf numFmtId="1" fontId="8" fillId="0" borderId="104" xfId="3" applyNumberFormat="1" applyFont="1" applyFill="1" applyBorder="1"/>
    <xf numFmtId="1" fontId="14" fillId="0" borderId="0" xfId="3" applyNumberFormat="1" applyFont="1" applyFill="1" applyProtection="1"/>
    <xf numFmtId="1" fontId="14" fillId="0" borderId="0" xfId="3" applyNumberFormat="1" applyFont="1" applyFill="1" applyProtection="1">
      <protection locked="0"/>
    </xf>
    <xf numFmtId="0" fontId="8" fillId="0" borderId="25" xfId="3" applyFont="1" applyFill="1" applyBorder="1" applyProtection="1">
      <protection locked="0"/>
    </xf>
    <xf numFmtId="0" fontId="8" fillId="0" borderId="25" xfId="3" applyFont="1" applyFill="1" applyBorder="1" applyAlignment="1" applyProtection="1">
      <alignment wrapText="1"/>
      <protection locked="0"/>
    </xf>
    <xf numFmtId="0" fontId="0" fillId="0" borderId="17" xfId="3" applyFont="1" applyFill="1" applyBorder="1" applyProtection="1">
      <protection locked="0"/>
    </xf>
    <xf numFmtId="0" fontId="17" fillId="0" borderId="56" xfId="3" applyFont="1" applyFill="1" applyBorder="1" applyProtection="1">
      <protection locked="0"/>
    </xf>
    <xf numFmtId="0" fontId="17" fillId="0" borderId="61" xfId="3" applyFont="1" applyFill="1" applyBorder="1" applyProtection="1">
      <protection locked="0"/>
    </xf>
    <xf numFmtId="0" fontId="17" fillId="0" borderId="25" xfId="3" applyFont="1" applyFill="1" applyBorder="1" applyAlignment="1" applyProtection="1">
      <alignment horizontal="right"/>
      <protection locked="0"/>
    </xf>
    <xf numFmtId="0" fontId="80" fillId="0" borderId="17" xfId="0" applyFont="1" applyBorder="1"/>
    <xf numFmtId="1" fontId="0" fillId="0" borderId="0" xfId="3" applyNumberFormat="1" applyFont="1" applyFill="1" applyProtection="1">
      <protection locked="0"/>
    </xf>
    <xf numFmtId="0" fontId="27" fillId="0" borderId="107" xfId="3" applyFont="1" applyFill="1" applyBorder="1" applyAlignment="1" applyProtection="1"/>
    <xf numFmtId="0" fontId="8" fillId="0" borderId="88" xfId="3" applyFont="1" applyFill="1" applyBorder="1" applyAlignment="1"/>
    <xf numFmtId="17" fontId="9" fillId="0" borderId="58" xfId="3" applyNumberFormat="1" applyFont="1" applyFill="1" applyBorder="1" applyAlignment="1">
      <alignment horizontal="right"/>
    </xf>
    <xf numFmtId="0" fontId="9" fillId="0" borderId="10" xfId="3" applyFont="1" applyFill="1" applyBorder="1" applyAlignment="1">
      <alignment horizontal="right"/>
    </xf>
    <xf numFmtId="17" fontId="9" fillId="0" borderId="0" xfId="3" applyNumberFormat="1" applyFont="1" applyFill="1" applyBorder="1" applyAlignment="1">
      <alignment horizontal="right"/>
    </xf>
    <xf numFmtId="0" fontId="9" fillId="0" borderId="84" xfId="3" applyFont="1" applyFill="1" applyBorder="1" applyAlignment="1">
      <alignment horizontal="right"/>
    </xf>
    <xf numFmtId="0" fontId="9" fillId="0" borderId="58" xfId="3" applyFont="1" applyFill="1" applyBorder="1" applyAlignment="1">
      <alignment horizontal="right"/>
    </xf>
    <xf numFmtId="0" fontId="9" fillId="0" borderId="12" xfId="3" applyFont="1" applyFill="1" applyBorder="1" applyAlignment="1">
      <alignment horizontal="right"/>
    </xf>
    <xf numFmtId="0" fontId="8" fillId="0" borderId="89" xfId="3" applyFont="1" applyFill="1" applyBorder="1" applyAlignment="1">
      <alignment wrapText="1"/>
    </xf>
    <xf numFmtId="0" fontId="8" fillId="0" borderId="60" xfId="3" applyFont="1" applyFill="1" applyBorder="1" applyAlignment="1">
      <alignment horizontal="right"/>
    </xf>
    <xf numFmtId="1" fontId="8" fillId="0" borderId="4" xfId="3" applyNumberFormat="1" applyFont="1" applyFill="1" applyBorder="1" applyAlignment="1">
      <alignment horizontal="right"/>
    </xf>
    <xf numFmtId="1" fontId="8" fillId="0" borderId="16" xfId="3" applyNumberFormat="1" applyFont="1" applyFill="1" applyBorder="1"/>
    <xf numFmtId="0" fontId="93" fillId="0" borderId="0" xfId="3" applyFont="1" applyFill="1" applyProtection="1"/>
    <xf numFmtId="0" fontId="93" fillId="0" borderId="0" xfId="3" applyFont="1" applyFill="1" applyBorder="1" applyProtection="1"/>
    <xf numFmtId="0" fontId="93" fillId="0" borderId="0" xfId="3" applyFont="1" applyFill="1" applyBorder="1" applyProtection="1">
      <protection locked="0"/>
    </xf>
    <xf numFmtId="0" fontId="93" fillId="0" borderId="0" xfId="3" applyFont="1" applyFill="1" applyBorder="1" applyAlignment="1" applyProtection="1">
      <alignment vertical="top" wrapText="1"/>
      <protection locked="0"/>
    </xf>
    <xf numFmtId="0" fontId="93" fillId="0" borderId="0" xfId="3" applyFont="1" applyFill="1" applyBorder="1" applyAlignment="1" applyProtection="1">
      <alignment wrapText="1"/>
      <protection locked="0"/>
    </xf>
    <xf numFmtId="0" fontId="93" fillId="0" borderId="0" xfId="3" applyFont="1" applyFill="1" applyBorder="1" applyAlignment="1" applyProtection="1">
      <protection locked="0"/>
    </xf>
    <xf numFmtId="0" fontId="27" fillId="0" borderId="0" xfId="3" applyFont="1" applyFill="1" applyBorder="1" applyAlignment="1" applyProtection="1">
      <alignment wrapText="1"/>
    </xf>
    <xf numFmtId="0" fontId="27" fillId="0" borderId="4" xfId="3" applyFont="1" applyFill="1" applyBorder="1" applyProtection="1">
      <protection locked="0"/>
    </xf>
    <xf numFmtId="0" fontId="9" fillId="0" borderId="91" xfId="3" applyFont="1" applyFill="1" applyBorder="1" applyAlignment="1" applyProtection="1">
      <alignment horizontal="left" wrapText="1"/>
    </xf>
    <xf numFmtId="0" fontId="120" fillId="0" borderId="0" xfId="3" applyFont="1" applyFill="1" applyBorder="1" applyAlignment="1" applyProtection="1">
      <alignment horizontal="right"/>
      <protection locked="0"/>
    </xf>
    <xf numFmtId="0" fontId="9" fillId="0" borderId="67" xfId="3" applyFont="1" applyFill="1" applyBorder="1" applyAlignment="1" applyProtection="1">
      <alignment horizontal="left" wrapText="1"/>
    </xf>
    <xf numFmtId="0" fontId="41" fillId="0" borderId="13" xfId="3" applyFont="1" applyFill="1" applyBorder="1" applyAlignment="1" applyProtection="1">
      <alignment horizontal="center"/>
    </xf>
    <xf numFmtId="0" fontId="41" fillId="0" borderId="14" xfId="3" applyFont="1" applyFill="1" applyBorder="1" applyAlignment="1" applyProtection="1">
      <alignment horizontal="center"/>
    </xf>
    <xf numFmtId="0" fontId="41" fillId="0" borderId="4" xfId="3" applyFont="1" applyFill="1" applyBorder="1" applyAlignment="1" applyProtection="1">
      <alignment horizontal="center"/>
    </xf>
    <xf numFmtId="0" fontId="41" fillId="0" borderId="60" xfId="3" applyFont="1" applyFill="1" applyBorder="1" applyAlignment="1" applyProtection="1">
      <alignment horizontal="center"/>
    </xf>
    <xf numFmtId="0" fontId="41" fillId="0" borderId="16" xfId="3" applyFont="1" applyFill="1" applyBorder="1" applyAlignment="1" applyProtection="1">
      <alignment horizontal="center"/>
    </xf>
    <xf numFmtId="0" fontId="8" fillId="0" borderId="67" xfId="3" applyFont="1" applyFill="1" applyBorder="1" applyAlignment="1" applyProtection="1">
      <alignment horizontal="left" wrapText="1"/>
    </xf>
    <xf numFmtId="178" fontId="25" fillId="0" borderId="0" xfId="3" applyNumberFormat="1" applyFont="1" applyFill="1" applyBorder="1" applyAlignment="1" applyProtection="1">
      <alignment horizontal="right"/>
    </xf>
    <xf numFmtId="178" fontId="25" fillId="0" borderId="10" xfId="3" applyNumberFormat="1" applyFont="1" applyFill="1" applyBorder="1" applyAlignment="1" applyProtection="1">
      <alignment horizontal="right"/>
    </xf>
    <xf numFmtId="178" fontId="25" fillId="0" borderId="0" xfId="3" applyNumberFormat="1" applyFont="1" applyFill="1" applyBorder="1" applyAlignment="1" applyProtection="1">
      <alignment horizontal="right" wrapText="1"/>
    </xf>
    <xf numFmtId="178" fontId="25" fillId="0" borderId="58" xfId="3" applyNumberFormat="1" applyFont="1" applyFill="1" applyBorder="1" applyAlignment="1" applyProtection="1">
      <alignment horizontal="right"/>
    </xf>
    <xf numFmtId="178" fontId="25" fillId="0" borderId="12" xfId="3" applyNumberFormat="1" applyFont="1" applyFill="1" applyBorder="1" applyAlignment="1" applyProtection="1">
      <alignment horizontal="right"/>
    </xf>
    <xf numFmtId="182" fontId="93" fillId="0" borderId="0" xfId="3" applyNumberFormat="1" applyFont="1" applyFill="1" applyBorder="1" applyProtection="1">
      <protection locked="0"/>
    </xf>
    <xf numFmtId="165" fontId="93" fillId="0" borderId="0" xfId="3" applyNumberFormat="1" applyFont="1" applyFill="1" applyBorder="1" applyAlignment="1" applyProtection="1">
      <alignment wrapText="1"/>
      <protection locked="0"/>
    </xf>
    <xf numFmtId="165" fontId="8" fillId="0" borderId="67" xfId="3" applyNumberFormat="1" applyFont="1" applyFill="1" applyBorder="1" applyAlignment="1" applyProtection="1">
      <alignment wrapText="1"/>
    </xf>
    <xf numFmtId="182" fontId="93" fillId="0" borderId="0" xfId="3" applyNumberFormat="1" applyFont="1" applyFill="1" applyBorder="1" applyAlignment="1" applyProtection="1">
      <protection locked="0"/>
    </xf>
    <xf numFmtId="0" fontId="8" fillId="0" borderId="67" xfId="3" applyFont="1" applyFill="1" applyBorder="1" applyAlignment="1" applyProtection="1">
      <alignment wrapText="1"/>
    </xf>
    <xf numFmtId="0" fontId="25" fillId="0" borderId="0" xfId="3" applyFont="1" applyFill="1" applyBorder="1" applyProtection="1">
      <protection locked="0"/>
    </xf>
    <xf numFmtId="0" fontId="8" fillId="0" borderId="26" xfId="3" applyFont="1" applyFill="1" applyBorder="1" applyAlignment="1" applyProtection="1">
      <alignment wrapText="1"/>
    </xf>
    <xf numFmtId="178" fontId="25" fillId="0" borderId="4" xfId="3" applyNumberFormat="1" applyFont="1" applyFill="1" applyBorder="1" applyAlignment="1" applyProtection="1">
      <alignment horizontal="right"/>
    </xf>
    <xf numFmtId="178" fontId="25" fillId="0" borderId="60" xfId="3" applyNumberFormat="1" applyFont="1" applyFill="1" applyBorder="1" applyAlignment="1" applyProtection="1">
      <alignment horizontal="right"/>
    </xf>
    <xf numFmtId="178" fontId="25" fillId="0" borderId="14" xfId="3" applyNumberFormat="1" applyFont="1" applyFill="1" applyBorder="1" applyAlignment="1" applyProtection="1">
      <alignment horizontal="right"/>
    </xf>
    <xf numFmtId="178" fontId="25" fillId="0" borderId="16" xfId="3" applyNumberFormat="1" applyFont="1" applyFill="1" applyBorder="1" applyAlignment="1" applyProtection="1">
      <alignment horizontal="right"/>
    </xf>
    <xf numFmtId="178" fontId="8" fillId="0" borderId="0" xfId="3" applyNumberFormat="1" applyFont="1" applyFill="1" applyBorder="1" applyAlignment="1" applyProtection="1">
      <alignment horizontal="right"/>
    </xf>
    <xf numFmtId="178" fontId="8" fillId="0" borderId="14" xfId="3" applyNumberFormat="1" applyFont="1" applyFill="1" applyBorder="1" applyAlignment="1" applyProtection="1">
      <alignment horizontal="right"/>
    </xf>
    <xf numFmtId="9" fontId="93" fillId="0" borderId="0" xfId="2" applyFont="1" applyFill="1" applyBorder="1" applyAlignment="1" applyProtection="1">
      <alignment wrapText="1"/>
      <protection locked="0"/>
    </xf>
    <xf numFmtId="0" fontId="120" fillId="0" borderId="0" xfId="3" applyFont="1" applyFill="1" applyBorder="1" applyAlignment="1" applyProtection="1">
      <alignment wrapText="1"/>
      <protection locked="0"/>
    </xf>
    <xf numFmtId="0" fontId="93" fillId="0" borderId="0" xfId="3" applyFont="1" applyFill="1" applyProtection="1">
      <protection locked="0"/>
    </xf>
    <xf numFmtId="0" fontId="93" fillId="0" borderId="0" xfId="3" applyFont="1" applyFill="1" applyAlignment="1" applyProtection="1">
      <protection locked="0"/>
    </xf>
    <xf numFmtId="0" fontId="16" fillId="0" borderId="0" xfId="3" applyFont="1" applyFill="1" applyBorder="1" applyProtection="1"/>
    <xf numFmtId="0" fontId="4" fillId="0" borderId="4" xfId="3" applyFont="1" applyFill="1" applyBorder="1" applyProtection="1"/>
    <xf numFmtId="0" fontId="16" fillId="0" borderId="92" xfId="3" applyFont="1" applyFill="1" applyBorder="1" applyProtection="1"/>
    <xf numFmtId="0" fontId="16" fillId="2" borderId="92" xfId="3" applyFont="1" applyFill="1" applyBorder="1" applyProtection="1"/>
    <xf numFmtId="0" fontId="16" fillId="0" borderId="8" xfId="3" applyFont="1" applyFill="1" applyBorder="1" applyProtection="1"/>
    <xf numFmtId="0" fontId="9" fillId="0" borderId="108" xfId="3" applyFont="1" applyFill="1" applyBorder="1" applyAlignment="1" applyProtection="1">
      <alignment horizontal="right"/>
      <protection locked="0"/>
    </xf>
    <xf numFmtId="0" fontId="8" fillId="2" borderId="11" xfId="3" applyFont="1" applyFill="1" applyBorder="1" applyProtection="1"/>
    <xf numFmtId="0" fontId="8" fillId="0" borderId="12" xfId="3" applyFont="1" applyFill="1" applyBorder="1" applyProtection="1"/>
    <xf numFmtId="0" fontId="8" fillId="0" borderId="109" xfId="3" applyFont="1" applyFill="1" applyBorder="1" applyProtection="1">
      <protection locked="0"/>
    </xf>
    <xf numFmtId="0" fontId="8" fillId="0" borderId="13" xfId="3" applyFont="1" applyFill="1" applyBorder="1" applyProtection="1"/>
    <xf numFmtId="0" fontId="8" fillId="0" borderId="15" xfId="3" applyFont="1" applyFill="1" applyBorder="1" applyProtection="1"/>
    <xf numFmtId="0" fontId="8" fillId="2" borderId="15" xfId="3" applyFont="1" applyFill="1" applyBorder="1" applyProtection="1"/>
    <xf numFmtId="0" fontId="8" fillId="0" borderId="16" xfId="3" applyFont="1" applyFill="1" applyBorder="1" applyProtection="1"/>
    <xf numFmtId="0" fontId="8" fillId="0" borderId="110" xfId="3" applyFont="1" applyFill="1" applyBorder="1" applyProtection="1">
      <protection locked="0"/>
    </xf>
    <xf numFmtId="0" fontId="121" fillId="0" borderId="0" xfId="3" applyFont="1" applyFill="1" applyBorder="1" applyProtection="1">
      <protection locked="0"/>
    </xf>
    <xf numFmtId="0" fontId="6" fillId="0" borderId="0" xfId="3" applyFont="1" applyFill="1" applyBorder="1" applyProtection="1">
      <protection locked="0"/>
    </xf>
    <xf numFmtId="0" fontId="8" fillId="0" borderId="5" xfId="3" applyFont="1" applyFill="1" applyBorder="1" applyAlignment="1" applyProtection="1">
      <alignment horizontal="right"/>
    </xf>
    <xf numFmtId="0" fontId="9" fillId="0" borderId="85" xfId="3" applyFont="1" applyFill="1" applyBorder="1" applyAlignment="1" applyProtection="1">
      <alignment horizontal="right"/>
    </xf>
    <xf numFmtId="0" fontId="9" fillId="0" borderId="82" xfId="3" applyFont="1" applyFill="1" applyBorder="1" applyAlignment="1" applyProtection="1">
      <alignment horizontal="right"/>
    </xf>
    <xf numFmtId="17" fontId="9" fillId="0" borderId="6" xfId="3" quotePrefix="1" applyNumberFormat="1" applyFont="1" applyFill="1" applyBorder="1" applyAlignment="1" applyProtection="1">
      <alignment horizontal="center"/>
    </xf>
    <xf numFmtId="17" fontId="9" fillId="0" borderId="111" xfId="3" quotePrefix="1" applyNumberFormat="1" applyFont="1" applyFill="1" applyBorder="1" applyAlignment="1" applyProtection="1">
      <alignment horizontal="center"/>
    </xf>
    <xf numFmtId="0" fontId="8" fillId="0" borderId="9" xfId="3" applyFont="1" applyFill="1" applyBorder="1" applyAlignment="1" applyProtection="1">
      <alignment horizontal="right"/>
    </xf>
    <xf numFmtId="0" fontId="9" fillId="0" borderId="10" xfId="3" applyFont="1" applyFill="1" applyBorder="1" applyAlignment="1" applyProtection="1">
      <alignment horizontal="right"/>
    </xf>
    <xf numFmtId="0" fontId="9" fillId="0" borderId="112" xfId="3" applyFont="1" applyFill="1" applyBorder="1" applyAlignment="1" applyProtection="1">
      <alignment horizontal="right"/>
    </xf>
    <xf numFmtId="0" fontId="8" fillId="0" borderId="60" xfId="3" applyFont="1" applyFill="1" applyBorder="1" applyProtection="1"/>
    <xf numFmtId="0" fontId="8" fillId="0" borderId="14" xfId="3" applyFont="1" applyFill="1" applyBorder="1" applyProtection="1"/>
    <xf numFmtId="1" fontId="8" fillId="0" borderId="60" xfId="3" applyNumberFormat="1" applyFont="1" applyFill="1" applyBorder="1" applyProtection="1"/>
    <xf numFmtId="1" fontId="8" fillId="0" borderId="4" xfId="3" applyNumberFormat="1" applyFont="1" applyFill="1" applyBorder="1" applyProtection="1"/>
    <xf numFmtId="1" fontId="8" fillId="0" borderId="14" xfId="3" applyNumberFormat="1" applyFont="1" applyFill="1" applyBorder="1" applyProtection="1"/>
    <xf numFmtId="1" fontId="8" fillId="0" borderId="104" xfId="3" applyNumberFormat="1" applyFont="1" applyFill="1" applyBorder="1" applyProtection="1"/>
    <xf numFmtId="0" fontId="14" fillId="0" borderId="0" xfId="3" applyFont="1" applyFill="1" applyBorder="1" applyAlignment="1" applyProtection="1">
      <alignment vertical="top" wrapText="1"/>
    </xf>
    <xf numFmtId="0" fontId="14" fillId="0" borderId="0" xfId="3" applyFont="1" applyFill="1" applyBorder="1" applyProtection="1"/>
    <xf numFmtId="1" fontId="14" fillId="0" borderId="0" xfId="3" applyNumberFormat="1" applyFont="1" applyFill="1" applyBorder="1" applyProtection="1"/>
    <xf numFmtId="10" fontId="14" fillId="0" borderId="0" xfId="3" applyNumberFormat="1" applyFont="1" applyFill="1" applyBorder="1" applyProtection="1"/>
    <xf numFmtId="0" fontId="98" fillId="0" borderId="0" xfId="3" applyFont="1" applyFill="1" applyProtection="1">
      <protection locked="0"/>
    </xf>
    <xf numFmtId="0" fontId="0" fillId="0" borderId="115" xfId="3" applyFont="1" applyFill="1" applyBorder="1" applyProtection="1">
      <protection locked="0"/>
    </xf>
    <xf numFmtId="9" fontId="0" fillId="0" borderId="112" xfId="3" applyNumberFormat="1" applyFont="1" applyFill="1" applyBorder="1" applyProtection="1">
      <protection locked="0"/>
    </xf>
    <xf numFmtId="170" fontId="0" fillId="0" borderId="112" xfId="3" applyNumberFormat="1" applyFont="1" applyFill="1" applyBorder="1" applyProtection="1">
      <protection locked="0"/>
    </xf>
    <xf numFmtId="0" fontId="0" fillId="0" borderId="116" xfId="3" applyFont="1" applyFill="1" applyBorder="1" applyProtection="1">
      <protection locked="0"/>
    </xf>
    <xf numFmtId="10" fontId="0" fillId="0" borderId="117" xfId="3" applyNumberFormat="1" applyFont="1" applyFill="1" applyBorder="1" applyProtection="1">
      <protection locked="0"/>
    </xf>
    <xf numFmtId="0" fontId="38" fillId="0" borderId="0" xfId="3" applyFont="1" applyFill="1" applyBorder="1" applyAlignment="1" applyProtection="1">
      <alignment vertical="top"/>
    </xf>
    <xf numFmtId="17" fontId="9" fillId="0" borderId="0" xfId="3" quotePrefix="1" applyNumberFormat="1" applyFont="1" applyFill="1" applyBorder="1" applyAlignment="1" applyProtection="1"/>
    <xf numFmtId="0" fontId="26" fillId="0" borderId="0" xfId="3" applyFont="1" applyFill="1" applyBorder="1" applyProtection="1">
      <protection locked="0"/>
    </xf>
    <xf numFmtId="17" fontId="122" fillId="0" borderId="0" xfId="3" quotePrefix="1" applyNumberFormat="1" applyFont="1" applyFill="1" applyBorder="1" applyAlignment="1" applyProtection="1"/>
    <xf numFmtId="1" fontId="26" fillId="0" borderId="0" xfId="3" applyNumberFormat="1" applyFont="1" applyFill="1" applyBorder="1" applyProtection="1">
      <protection locked="0"/>
    </xf>
    <xf numFmtId="0" fontId="122" fillId="0" borderId="0" xfId="3" applyFont="1" applyFill="1" applyBorder="1" applyAlignment="1" applyProtection="1">
      <alignment horizontal="right"/>
    </xf>
    <xf numFmtId="0" fontId="38" fillId="0" borderId="0" xfId="3" applyFont="1" applyFill="1" applyAlignment="1" applyProtection="1">
      <alignment vertical="top"/>
    </xf>
    <xf numFmtId="0" fontId="123" fillId="0" borderId="4" xfId="3" applyFont="1" applyFill="1" applyBorder="1" applyProtection="1"/>
    <xf numFmtId="0" fontId="5" fillId="0" borderId="0" xfId="3" applyFont="1" applyBorder="1" applyAlignment="1">
      <alignment vertical="top"/>
    </xf>
    <xf numFmtId="0" fontId="4" fillId="0" borderId="0" xfId="3" applyFont="1" applyBorder="1" applyAlignment="1">
      <alignment vertical="top" wrapText="1"/>
    </xf>
    <xf numFmtId="0" fontId="5" fillId="0" borderId="0" xfId="3" applyFont="1" applyBorder="1" applyAlignment="1">
      <alignment vertical="top" wrapText="1"/>
    </xf>
    <xf numFmtId="0" fontId="4" fillId="0" borderId="2" xfId="3" applyFont="1" applyBorder="1" applyAlignment="1"/>
    <xf numFmtId="0" fontId="4" fillId="0" borderId="2" xfId="3" applyFont="1" applyBorder="1"/>
    <xf numFmtId="0" fontId="4" fillId="0" borderId="3" xfId="3" applyFont="1" applyBorder="1"/>
    <xf numFmtId="0" fontId="5" fillId="0" borderId="0" xfId="3" applyFont="1" applyFill="1" applyBorder="1" applyAlignment="1">
      <alignment vertical="top" wrapText="1"/>
    </xf>
    <xf numFmtId="0" fontId="5" fillId="0" borderId="0" xfId="3" applyFont="1"/>
    <xf numFmtId="0" fontId="7" fillId="0" borderId="0" xfId="3" applyFont="1" applyBorder="1" applyAlignment="1">
      <alignment horizontal="right" vertical="top"/>
    </xf>
    <xf numFmtId="0" fontId="8" fillId="0" borderId="0" xfId="3" applyFont="1" applyBorder="1" applyAlignment="1">
      <alignment horizontal="right" vertical="top" wrapText="1"/>
    </xf>
    <xf numFmtId="0" fontId="26" fillId="0" borderId="23" xfId="3" applyFont="1" applyBorder="1" applyAlignment="1">
      <alignment horizontal="right"/>
    </xf>
    <xf numFmtId="0" fontId="9" fillId="0" borderId="23" xfId="3" applyFont="1" applyBorder="1" applyAlignment="1"/>
    <xf numFmtId="0" fontId="9" fillId="3" borderId="23" xfId="15" applyFont="1" applyFill="1" applyBorder="1" applyAlignment="1"/>
    <xf numFmtId="0" fontId="9" fillId="0" borderId="23" xfId="15" applyFont="1" applyFill="1" applyBorder="1" applyAlignment="1"/>
    <xf numFmtId="0" fontId="7" fillId="0" borderId="0" xfId="3" applyFont="1" applyBorder="1" applyAlignment="1">
      <alignment vertical="top"/>
    </xf>
    <xf numFmtId="0" fontId="11" fillId="3" borderId="0" xfId="3" applyFont="1" applyFill="1" applyBorder="1"/>
    <xf numFmtId="1" fontId="8" fillId="0" borderId="0" xfId="3" applyNumberFormat="1" applyFont="1" applyBorder="1" applyAlignment="1"/>
    <xf numFmtId="3" fontId="8" fillId="0" borderId="0" xfId="3" applyNumberFormat="1" applyFont="1" applyBorder="1" applyAlignment="1"/>
    <xf numFmtId="0" fontId="8" fillId="3" borderId="0" xfId="15" applyFont="1" applyFill="1" applyBorder="1" applyAlignment="1"/>
    <xf numFmtId="0" fontId="124" fillId="0" borderId="0" xfId="3" applyFont="1" applyFill="1" applyBorder="1" applyAlignment="1">
      <alignment vertical="top"/>
    </xf>
    <xf numFmtId="0" fontId="8" fillId="3" borderId="0" xfId="3" applyFont="1" applyFill="1" applyBorder="1" applyAlignment="1"/>
    <xf numFmtId="0" fontId="9" fillId="0" borderId="0" xfId="3" applyFont="1" applyBorder="1" applyAlignment="1">
      <alignment vertical="top"/>
    </xf>
    <xf numFmtId="0" fontId="11" fillId="0" borderId="0" xfId="3" applyFont="1" applyBorder="1" applyAlignment="1">
      <alignment vertical="top"/>
    </xf>
    <xf numFmtId="0" fontId="8" fillId="0" borderId="0" xfId="3" applyFont="1" applyBorder="1" applyAlignment="1">
      <alignment vertical="top"/>
    </xf>
    <xf numFmtId="0" fontId="8" fillId="0" borderId="0" xfId="3" applyFont="1" applyBorder="1" applyAlignment="1">
      <alignment wrapText="1"/>
    </xf>
    <xf numFmtId="0" fontId="8" fillId="3" borderId="21" xfId="15" applyFont="1" applyFill="1" applyBorder="1" applyAlignment="1"/>
    <xf numFmtId="0" fontId="9" fillId="0" borderId="2" xfId="3" applyFont="1" applyBorder="1"/>
    <xf numFmtId="0" fontId="9" fillId="0" borderId="2" xfId="3" applyFont="1" applyBorder="1" applyAlignment="1"/>
    <xf numFmtId="3" fontId="9" fillId="0" borderId="2" xfId="3" applyNumberFormat="1" applyFont="1" applyBorder="1" applyAlignment="1"/>
    <xf numFmtId="3" fontId="9" fillId="3" borderId="2" xfId="3" applyNumberFormat="1" applyFont="1" applyFill="1" applyBorder="1" applyAlignment="1"/>
    <xf numFmtId="3" fontId="9" fillId="0" borderId="2" xfId="3" applyNumberFormat="1" applyFont="1" applyFill="1" applyBorder="1" applyAlignment="1"/>
    <xf numFmtId="0" fontId="8" fillId="0" borderId="45" xfId="3" applyFont="1" applyBorder="1"/>
    <xf numFmtId="0" fontId="8" fillId="0" borderId="45" xfId="3" applyFont="1" applyBorder="1" applyAlignment="1"/>
    <xf numFmtId="0" fontId="8" fillId="3" borderId="45" xfId="15" applyFont="1" applyFill="1" applyBorder="1" applyAlignment="1"/>
    <xf numFmtId="0" fontId="8" fillId="0" borderId="4" xfId="3" applyFont="1" applyBorder="1" applyAlignment="1"/>
    <xf numFmtId="0" fontId="8" fillId="3" borderId="4" xfId="15" applyFont="1" applyFill="1" applyBorder="1" applyAlignment="1"/>
    <xf numFmtId="0" fontId="125" fillId="0" borderId="0" xfId="3" applyFont="1" applyBorder="1"/>
    <xf numFmtId="0" fontId="125" fillId="0" borderId="0" xfId="3" applyFont="1" applyFill="1" applyBorder="1"/>
    <xf numFmtId="0" fontId="4" fillId="0" borderId="0" xfId="3" applyFont="1" applyAlignment="1"/>
    <xf numFmtId="0" fontId="8" fillId="0" borderId="0" xfId="3" applyFont="1" applyAlignment="1"/>
    <xf numFmtId="0" fontId="7" fillId="0" borderId="0" xfId="3" applyFont="1" applyAlignment="1">
      <alignment vertical="top"/>
    </xf>
    <xf numFmtId="0" fontId="8" fillId="0" borderId="0" xfId="3" applyFont="1" applyAlignment="1">
      <alignment vertical="top"/>
    </xf>
    <xf numFmtId="0" fontId="109" fillId="0" borderId="0" xfId="3" applyFont="1" applyAlignment="1">
      <alignment vertical="top"/>
    </xf>
    <xf numFmtId="17" fontId="20" fillId="3" borderId="0" xfId="3" quotePrefix="1" applyNumberFormat="1" applyFont="1" applyFill="1" applyBorder="1" applyAlignment="1">
      <alignment horizontal="right"/>
    </xf>
    <xf numFmtId="0" fontId="20" fillId="3" borderId="0" xfId="3" quotePrefix="1" applyFont="1" applyFill="1" applyBorder="1" applyAlignment="1">
      <alignment horizontal="right"/>
    </xf>
    <xf numFmtId="0" fontId="20" fillId="3" borderId="23" xfId="3" quotePrefix="1" applyFont="1" applyFill="1" applyBorder="1" applyAlignment="1">
      <alignment horizontal="right"/>
    </xf>
    <xf numFmtId="0" fontId="17" fillId="0" borderId="0" xfId="3" applyFont="1" applyBorder="1" applyAlignment="1">
      <alignment horizontal="left"/>
    </xf>
    <xf numFmtId="0" fontId="17" fillId="3" borderId="0" xfId="3" applyFont="1" applyFill="1" applyBorder="1" applyAlignment="1">
      <alignment horizontal="right"/>
    </xf>
    <xf numFmtId="0" fontId="17" fillId="0" borderId="0" xfId="3" applyFont="1"/>
    <xf numFmtId="0" fontId="8" fillId="0" borderId="4" xfId="3" applyFont="1" applyBorder="1" applyAlignment="1">
      <alignment horizontal="left" wrapText="1"/>
    </xf>
    <xf numFmtId="176" fontId="17" fillId="3" borderId="4" xfId="3" applyNumberFormat="1" applyFont="1" applyFill="1" applyBorder="1" applyAlignment="1">
      <alignment horizontal="right"/>
    </xf>
    <xf numFmtId="0" fontId="8" fillId="0" borderId="0" xfId="3" applyFont="1" applyBorder="1" applyAlignment="1">
      <alignment horizontal="left" wrapText="1"/>
    </xf>
    <xf numFmtId="0" fontId="17" fillId="0" borderId="0" xfId="3" applyFont="1" applyBorder="1" applyAlignment="1"/>
    <xf numFmtId="0" fontId="17" fillId="0" borderId="0" xfId="3" applyFont="1" applyFill="1" applyBorder="1" applyAlignment="1"/>
    <xf numFmtId="0" fontId="17" fillId="0" borderId="0" xfId="3" applyFont="1" applyFill="1" applyBorder="1"/>
    <xf numFmtId="0" fontId="8" fillId="0" borderId="0" xfId="3" applyFont="1" applyFill="1" applyAlignment="1">
      <alignment horizontal="left"/>
    </xf>
    <xf numFmtId="0" fontId="4" fillId="0" borderId="0" xfId="3" applyFont="1" applyAlignment="1">
      <alignment horizontal="right"/>
    </xf>
    <xf numFmtId="0" fontId="8" fillId="0" borderId="0" xfId="3" applyFont="1" applyAlignment="1">
      <alignment horizontal="left"/>
    </xf>
    <xf numFmtId="0" fontId="5" fillId="0" borderId="0" xfId="3" applyFont="1" applyBorder="1" applyAlignment="1">
      <alignment wrapText="1"/>
    </xf>
    <xf numFmtId="0" fontId="4" fillId="0" borderId="0" xfId="3" applyFont="1" applyFill="1" applyBorder="1" applyAlignment="1">
      <alignment horizontal="right" vertical="top" wrapText="1"/>
    </xf>
    <xf numFmtId="0" fontId="4" fillId="0" borderId="0" xfId="3" applyFont="1" applyBorder="1" applyAlignment="1">
      <alignment wrapText="1"/>
    </xf>
    <xf numFmtId="0" fontId="9" fillId="0" borderId="0" xfId="3" applyFont="1" applyBorder="1" applyAlignment="1">
      <alignment horizontal="left"/>
    </xf>
    <xf numFmtId="0" fontId="27" fillId="0" borderId="0" xfId="3" applyFont="1" applyBorder="1" applyAlignment="1">
      <alignment horizontal="right"/>
    </xf>
    <xf numFmtId="0" fontId="4" fillId="0" borderId="0" xfId="3" applyFont="1" applyBorder="1" applyAlignment="1">
      <alignment horizontal="right"/>
    </xf>
    <xf numFmtId="0" fontId="29" fillId="0" borderId="0" xfId="3" applyFont="1" applyAlignment="1">
      <alignment vertical="top"/>
    </xf>
    <xf numFmtId="0" fontId="59" fillId="0" borderId="0" xfId="3" applyFont="1" applyAlignment="1"/>
    <xf numFmtId="0" fontId="8" fillId="0" borderId="0" xfId="3" applyFont="1" applyFill="1" applyBorder="1" applyAlignment="1">
      <alignment horizontal="right" wrapText="1"/>
    </xf>
    <xf numFmtId="0" fontId="9" fillId="0" borderId="0" xfId="3" applyFont="1" applyAlignment="1">
      <alignment horizontal="left" vertical="top"/>
    </xf>
    <xf numFmtId="0" fontId="8" fillId="0" borderId="0" xfId="3" applyFont="1" applyAlignment="1">
      <alignment horizontal="left" vertical="top"/>
    </xf>
    <xf numFmtId="0" fontId="8" fillId="3" borderId="0" xfId="15" applyFont="1" applyFill="1" applyBorder="1" applyAlignment="1">
      <alignment horizontal="right" wrapText="1"/>
    </xf>
    <xf numFmtId="0" fontId="8" fillId="0" borderId="0" xfId="3" applyFont="1" applyFill="1" applyBorder="1" applyAlignment="1">
      <alignment horizontal="left" wrapText="1"/>
    </xf>
    <xf numFmtId="3" fontId="8" fillId="0" borderId="0" xfId="15" applyNumberFormat="1" applyFont="1" applyFill="1" applyBorder="1" applyAlignment="1">
      <alignment horizontal="right"/>
    </xf>
    <xf numFmtId="3" fontId="8" fillId="0" borderId="0" xfId="3" applyNumberFormat="1" applyFont="1" applyFill="1" applyAlignment="1">
      <alignment horizontal="left"/>
    </xf>
    <xf numFmtId="3" fontId="11" fillId="0" borderId="0" xfId="3" applyNumberFormat="1" applyFont="1" applyFill="1" applyBorder="1" applyAlignment="1">
      <alignment horizontal="right"/>
    </xf>
    <xf numFmtId="0" fontId="8" fillId="0" borderId="21" xfId="3" applyFont="1" applyFill="1" applyBorder="1" applyAlignment="1">
      <alignment horizontal="right" wrapText="1"/>
    </xf>
    <xf numFmtId="0" fontId="29" fillId="0" borderId="0" xfId="3" applyFont="1" applyBorder="1" applyAlignment="1">
      <alignment vertical="top"/>
    </xf>
    <xf numFmtId="1" fontId="8" fillId="3" borderId="0" xfId="3" applyNumberFormat="1" applyFont="1" applyFill="1" applyBorder="1" applyAlignment="1">
      <alignment horizontal="right"/>
    </xf>
    <xf numFmtId="173" fontId="8" fillId="3" borderId="0" xfId="14" applyNumberFormat="1" applyFont="1" applyFill="1" applyBorder="1" applyAlignment="1">
      <alignment horizontal="right"/>
    </xf>
    <xf numFmtId="3" fontId="8" fillId="3" borderId="0" xfId="3" applyNumberFormat="1" applyFont="1" applyFill="1" applyBorder="1" applyAlignment="1">
      <alignment horizontal="right"/>
    </xf>
    <xf numFmtId="0" fontId="8" fillId="3" borderId="0" xfId="3" applyFont="1" applyFill="1" applyBorder="1" applyAlignment="1">
      <alignment horizontal="left" wrapText="1"/>
    </xf>
    <xf numFmtId="0" fontId="8" fillId="3" borderId="0" xfId="3" applyFont="1" applyFill="1" applyBorder="1" applyAlignment="1">
      <alignment horizontal="right" wrapText="1"/>
    </xf>
    <xf numFmtId="170" fontId="8" fillId="3" borderId="0" xfId="3" applyNumberFormat="1" applyFont="1" applyFill="1" applyBorder="1" applyAlignment="1">
      <alignment horizontal="right"/>
    </xf>
    <xf numFmtId="170" fontId="8" fillId="3" borderId="0" xfId="14" applyNumberFormat="1" applyFont="1" applyFill="1" applyBorder="1" applyAlignment="1">
      <alignment horizontal="right"/>
    </xf>
    <xf numFmtId="170" fontId="8" fillId="0" borderId="0" xfId="14" applyNumberFormat="1" applyFont="1" applyFill="1" applyBorder="1" applyAlignment="1">
      <alignment horizontal="right"/>
    </xf>
    <xf numFmtId="0" fontId="59" fillId="0" borderId="4" xfId="3" applyFont="1" applyBorder="1" applyAlignment="1"/>
    <xf numFmtId="0" fontId="8" fillId="3" borderId="4" xfId="3" applyFont="1" applyFill="1" applyBorder="1" applyAlignment="1">
      <alignment horizontal="left"/>
    </xf>
    <xf numFmtId="1" fontId="8" fillId="3" borderId="4" xfId="3" applyNumberFormat="1" applyFont="1" applyFill="1" applyBorder="1" applyAlignment="1">
      <alignment horizontal="right"/>
    </xf>
    <xf numFmtId="173" fontId="8" fillId="3" borderId="4" xfId="14" applyNumberFormat="1" applyFont="1" applyFill="1" applyBorder="1" applyAlignment="1">
      <alignment horizontal="right"/>
    </xf>
    <xf numFmtId="2" fontId="8" fillId="3" borderId="4" xfId="3" applyNumberFormat="1" applyFont="1" applyFill="1" applyBorder="1" applyAlignment="1">
      <alignment horizontal="right"/>
    </xf>
    <xf numFmtId="170" fontId="8" fillId="0" borderId="4" xfId="3" applyNumberFormat="1" applyFont="1" applyBorder="1" applyAlignment="1">
      <alignment horizontal="right"/>
    </xf>
    <xf numFmtId="170" fontId="8" fillId="0" borderId="4" xfId="3" applyNumberFormat="1" applyFont="1" applyBorder="1"/>
    <xf numFmtId="170" fontId="8" fillId="0" borderId="4" xfId="3" applyNumberFormat="1" applyFont="1" applyFill="1" applyBorder="1"/>
    <xf numFmtId="166" fontId="8" fillId="3" borderId="0" xfId="14" applyNumberFormat="1" applyFont="1" applyFill="1" applyBorder="1" applyAlignment="1">
      <alignment horizontal="right"/>
    </xf>
    <xf numFmtId="166" fontId="8" fillId="0" borderId="0" xfId="14" applyNumberFormat="1" applyFont="1" applyFill="1" applyBorder="1" applyAlignment="1">
      <alignment horizontal="right"/>
    </xf>
    <xf numFmtId="166" fontId="8" fillId="0" borderId="0" xfId="32" applyNumberFormat="1" applyFont="1" applyFill="1" applyBorder="1" applyAlignment="1" applyProtection="1">
      <alignment horizontal="right"/>
      <protection locked="0"/>
    </xf>
    <xf numFmtId="197" fontId="8" fillId="0" borderId="0" xfId="3" applyNumberFormat="1" applyFont="1" applyFill="1" applyBorder="1" applyAlignment="1">
      <alignment horizontal="right"/>
    </xf>
    <xf numFmtId="168" fontId="8" fillId="0" borderId="0" xfId="3" applyNumberFormat="1" applyFont="1" applyFill="1" applyBorder="1" applyAlignment="1">
      <alignment horizontal="right"/>
    </xf>
    <xf numFmtId="0" fontId="11" fillId="0" borderId="0" xfId="3" applyFont="1" applyAlignment="1">
      <alignment vertical="top"/>
    </xf>
    <xf numFmtId="166" fontId="8" fillId="0" borderId="0" xfId="17" applyNumberFormat="1" applyFont="1" applyFill="1" applyBorder="1" applyAlignment="1">
      <alignment horizontal="right"/>
    </xf>
    <xf numFmtId="170" fontId="8" fillId="0" borderId="0" xfId="3" applyNumberFormat="1" applyFont="1" applyFill="1"/>
    <xf numFmtId="0" fontId="8" fillId="0" borderId="0" xfId="3" applyFont="1" applyAlignment="1">
      <alignment horizontal="right"/>
    </xf>
    <xf numFmtId="0" fontId="4" fillId="0" borderId="21" xfId="3" applyFont="1" applyFill="1" applyBorder="1" applyAlignment="1">
      <alignment horizontal="left" vertical="top" wrapText="1"/>
    </xf>
    <xf numFmtId="0" fontId="4" fillId="0" borderId="4" xfId="3" applyFont="1" applyFill="1" applyBorder="1"/>
    <xf numFmtId="0" fontId="9" fillId="0" borderId="23" xfId="3" quotePrefix="1" applyFont="1" applyFill="1" applyBorder="1" applyAlignment="1">
      <alignment horizontal="right"/>
    </xf>
    <xf numFmtId="0" fontId="9" fillId="0" borderId="0" xfId="3" applyFont="1" applyAlignment="1">
      <alignment vertical="top"/>
    </xf>
    <xf numFmtId="0" fontId="9" fillId="0" borderId="41" xfId="3" applyFont="1" applyFill="1" applyBorder="1" applyAlignment="1">
      <alignment horizontal="left" wrapText="1"/>
    </xf>
    <xf numFmtId="0" fontId="9" fillId="3" borderId="4" xfId="3" applyFont="1" applyFill="1" applyBorder="1"/>
    <xf numFmtId="0" fontId="9" fillId="0" borderId="23" xfId="3" applyFont="1" applyBorder="1"/>
    <xf numFmtId="1" fontId="8" fillId="0" borderId="0" xfId="3" quotePrefix="1" applyNumberFormat="1" applyFont="1" applyFill="1" applyBorder="1" applyAlignment="1">
      <alignment horizontal="right"/>
    </xf>
    <xf numFmtId="17" fontId="9" fillId="0" borderId="0" xfId="3" quotePrefix="1" applyNumberFormat="1" applyFont="1" applyBorder="1"/>
    <xf numFmtId="1" fontId="8" fillId="0" borderId="0" xfId="3" applyNumberFormat="1" applyFont="1" applyBorder="1"/>
    <xf numFmtId="1" fontId="8" fillId="0" borderId="0" xfId="3" quotePrefix="1" applyNumberFormat="1" applyFont="1" applyBorder="1"/>
    <xf numFmtId="1" fontId="8" fillId="0" borderId="0" xfId="3" quotePrefix="1" applyNumberFormat="1" applyFont="1" applyBorder="1" applyAlignment="1">
      <alignment horizontal="right"/>
    </xf>
    <xf numFmtId="1" fontId="8" fillId="3" borderId="0" xfId="3" quotePrefix="1" applyNumberFormat="1" applyFont="1" applyFill="1" applyBorder="1" applyAlignment="1">
      <alignment horizontal="right"/>
    </xf>
    <xf numFmtId="1" fontId="8" fillId="0" borderId="0" xfId="3" applyNumberFormat="1" applyFont="1" applyFill="1" applyBorder="1" applyAlignment="1">
      <alignment horizontal="left"/>
    </xf>
    <xf numFmtId="1" fontId="8" fillId="3" borderId="0" xfId="3" applyNumberFormat="1" applyFont="1" applyFill="1" applyBorder="1"/>
    <xf numFmtId="1" fontId="9" fillId="0" borderId="41" xfId="3" applyNumberFormat="1" applyFont="1" applyFill="1" applyBorder="1" applyAlignment="1">
      <alignment horizontal="left" wrapText="1"/>
    </xf>
    <xf numFmtId="1" fontId="9" fillId="0" borderId="41" xfId="3" applyNumberFormat="1" applyFont="1" applyFill="1" applyBorder="1" applyAlignment="1">
      <alignment horizontal="right" wrapText="1"/>
    </xf>
    <xf numFmtId="1" fontId="10" fillId="0" borderId="0" xfId="3" applyNumberFormat="1" applyFont="1" applyFill="1" applyBorder="1" applyAlignment="1">
      <alignment horizontal="right" wrapText="1"/>
    </xf>
    <xf numFmtId="17" fontId="8" fillId="0" borderId="0" xfId="3" quotePrefix="1" applyNumberFormat="1" applyFont="1"/>
    <xf numFmtId="0" fontId="10" fillId="3" borderId="4" xfId="3" applyFont="1" applyFill="1" applyBorder="1"/>
    <xf numFmtId="0" fontId="20" fillId="3" borderId="0" xfId="3" applyFont="1" applyFill="1" applyBorder="1" applyAlignment="1">
      <alignment horizontal="right"/>
    </xf>
    <xf numFmtId="0" fontId="20" fillId="3" borderId="23" xfId="3" applyFont="1" applyFill="1" applyBorder="1" applyAlignment="1">
      <alignment horizontal="right"/>
    </xf>
    <xf numFmtId="0" fontId="17" fillId="3" borderId="4" xfId="3" applyFont="1" applyFill="1" applyBorder="1" applyAlignment="1">
      <alignment horizontal="right"/>
    </xf>
    <xf numFmtId="165" fontId="9" fillId="0" borderId="4" xfId="3" applyNumberFormat="1" applyFont="1" applyFill="1" applyBorder="1" applyAlignment="1"/>
    <xf numFmtId="173" fontId="9" fillId="0" borderId="4" xfId="3" applyNumberFormat="1" applyFont="1" applyFill="1" applyBorder="1" applyAlignment="1"/>
    <xf numFmtId="0" fontId="9" fillId="0" borderId="4" xfId="3" applyNumberFormat="1" applyFont="1" applyFill="1" applyBorder="1" applyAlignment="1"/>
    <xf numFmtId="198" fontId="9" fillId="0" borderId="56" xfId="3" applyNumberFormat="1" applyFont="1" applyFill="1" applyBorder="1" applyAlignment="1">
      <alignment horizontal="right"/>
    </xf>
    <xf numFmtId="198" fontId="9" fillId="0" borderId="56" xfId="24" applyNumberFormat="1" applyFont="1" applyFill="1" applyBorder="1" applyAlignment="1">
      <alignment horizontal="right"/>
    </xf>
    <xf numFmtId="198" fontId="9" fillId="0" borderId="56" xfId="3" quotePrefix="1" applyNumberFormat="1" applyFont="1" applyFill="1" applyBorder="1" applyAlignment="1">
      <alignment horizontal="right"/>
    </xf>
    <xf numFmtId="198" fontId="9" fillId="0" borderId="57" xfId="3" quotePrefix="1" applyNumberFormat="1" applyFont="1" applyFill="1" applyBorder="1" applyAlignment="1">
      <alignment horizontal="right"/>
    </xf>
    <xf numFmtId="198" fontId="9" fillId="3" borderId="25" xfId="3" quotePrefix="1" applyNumberFormat="1" applyFont="1" applyFill="1" applyBorder="1" applyAlignment="1">
      <alignment horizontal="right"/>
    </xf>
    <xf numFmtId="191" fontId="9" fillId="0" borderId="11" xfId="3" applyNumberFormat="1" applyFont="1" applyFill="1" applyBorder="1" applyAlignment="1">
      <alignment horizontal="right"/>
    </xf>
    <xf numFmtId="0" fontId="8" fillId="0" borderId="58" xfId="3" applyFont="1" applyFill="1" applyBorder="1"/>
    <xf numFmtId="0" fontId="8" fillId="3" borderId="67" xfId="3" applyFont="1" applyFill="1" applyBorder="1"/>
    <xf numFmtId="3" fontId="8" fillId="3" borderId="118" xfId="3" applyNumberFormat="1" applyFont="1" applyFill="1" applyBorder="1" applyAlignment="1">
      <alignment horizontal="right"/>
    </xf>
    <xf numFmtId="191" fontId="8" fillId="0" borderId="0" xfId="3" applyNumberFormat="1" applyFont="1" applyFill="1" applyAlignment="1">
      <alignment vertical="top"/>
    </xf>
    <xf numFmtId="0" fontId="8" fillId="0" borderId="21" xfId="3" applyFont="1" applyFill="1" applyBorder="1" applyAlignment="1">
      <alignment wrapText="1"/>
    </xf>
    <xf numFmtId="191" fontId="8" fillId="0" borderId="0" xfId="3" applyNumberFormat="1" applyFont="1" applyFill="1" applyBorder="1" applyAlignment="1">
      <alignment horizontal="right"/>
    </xf>
    <xf numFmtId="191" fontId="8" fillId="0" borderId="11" xfId="3" applyNumberFormat="1" applyFont="1" applyFill="1" applyBorder="1" applyAlignment="1">
      <alignment horizontal="right"/>
    </xf>
    <xf numFmtId="173" fontId="8" fillId="0" borderId="11" xfId="3" applyNumberFormat="1" applyFont="1" applyFill="1" applyBorder="1" applyAlignment="1">
      <alignment horizontal="right"/>
    </xf>
    <xf numFmtId="173" fontId="8" fillId="0" borderId="11" xfId="1" applyNumberFormat="1" applyFont="1" applyFill="1" applyBorder="1"/>
    <xf numFmtId="173" fontId="8" fillId="3" borderId="11" xfId="1" applyNumberFormat="1" applyFont="1" applyFill="1" applyBorder="1"/>
    <xf numFmtId="191" fontId="8" fillId="0" borderId="11" xfId="1" applyNumberFormat="1" applyFont="1" applyFill="1" applyBorder="1"/>
    <xf numFmtId="191" fontId="8" fillId="0" borderId="0" xfId="1" applyNumberFormat="1" applyFont="1" applyFill="1" applyBorder="1"/>
    <xf numFmtId="173" fontId="8" fillId="0" borderId="0" xfId="1" applyNumberFormat="1" applyFont="1" applyFill="1" applyBorder="1"/>
    <xf numFmtId="169" fontId="8" fillId="0" borderId="11" xfId="1" applyNumberFormat="1" applyFont="1" applyFill="1" applyBorder="1"/>
    <xf numFmtId="169" fontId="8" fillId="3" borderId="11" xfId="1" applyNumberFormat="1" applyFont="1" applyFill="1" applyBorder="1"/>
    <xf numFmtId="0" fontId="9" fillId="0" borderId="25" xfId="3" applyFont="1" applyFill="1" applyBorder="1" applyAlignment="1">
      <alignment wrapText="1"/>
    </xf>
    <xf numFmtId="169" fontId="8" fillId="0" borderId="25" xfId="1" applyNumberFormat="1" applyFont="1" applyFill="1" applyBorder="1"/>
    <xf numFmtId="169" fontId="8" fillId="3" borderId="25" xfId="1" applyNumberFormat="1" applyFont="1" applyFill="1" applyBorder="1"/>
    <xf numFmtId="9" fontId="8" fillId="0" borderId="0" xfId="2" applyFont="1" applyFill="1" applyBorder="1" applyAlignment="1">
      <alignment horizontal="right"/>
    </xf>
    <xf numFmtId="9" fontId="8" fillId="3" borderId="0" xfId="2" applyFont="1" applyFill="1" applyBorder="1" applyAlignment="1">
      <alignment horizontal="right"/>
    </xf>
    <xf numFmtId="164" fontId="8" fillId="0" borderId="0" xfId="33" applyNumberFormat="1" applyFont="1" applyFill="1" applyBorder="1" applyAlignment="1">
      <alignment horizontal="right"/>
    </xf>
    <xf numFmtId="169" fontId="8" fillId="0" borderId="0" xfId="33" applyNumberFormat="1" applyFont="1" applyFill="1" applyBorder="1"/>
    <xf numFmtId="170" fontId="19" fillId="0" borderId="0" xfId="2" applyNumberFormat="1" applyFont="1" applyFill="1"/>
    <xf numFmtId="9" fontId="8" fillId="0" borderId="0" xfId="2" applyFont="1" applyFill="1"/>
    <xf numFmtId="0" fontId="19" fillId="0" borderId="0" xfId="3" applyFont="1" applyFill="1" applyAlignment="1">
      <alignment horizontal="right"/>
    </xf>
    <xf numFmtId="9" fontId="19" fillId="0" borderId="0" xfId="2" applyFont="1" applyFill="1"/>
    <xf numFmtId="169" fontId="19" fillId="0" borderId="0" xfId="2" applyNumberFormat="1" applyFont="1" applyFill="1"/>
    <xf numFmtId="165" fontId="19" fillId="0" borderId="0" xfId="2" applyNumberFormat="1" applyFont="1" applyFill="1"/>
    <xf numFmtId="173" fontId="19" fillId="0" borderId="0" xfId="2" applyNumberFormat="1" applyFont="1" applyFill="1"/>
    <xf numFmtId="43" fontId="19" fillId="0" borderId="0" xfId="1" applyFont="1" applyFill="1"/>
    <xf numFmtId="0" fontId="27" fillId="0" borderId="4" xfId="3" applyFont="1" applyFill="1" applyBorder="1" applyAlignment="1">
      <alignment horizontal="right"/>
    </xf>
    <xf numFmtId="17" fontId="9" fillId="0" borderId="56" xfId="3" quotePrefix="1" applyNumberFormat="1" applyFont="1" applyFill="1" applyBorder="1" applyAlignment="1">
      <alignment horizontal="right"/>
    </xf>
    <xf numFmtId="0" fontId="9" fillId="0" borderId="56" xfId="3" quotePrefix="1" applyFont="1" applyFill="1" applyBorder="1" applyAlignment="1">
      <alignment horizontal="right"/>
    </xf>
    <xf numFmtId="17" fontId="9" fillId="0" borderId="61" xfId="3" quotePrefix="1" applyNumberFormat="1" applyFont="1" applyFill="1" applyBorder="1" applyAlignment="1">
      <alignment horizontal="right"/>
    </xf>
    <xf numFmtId="17" fontId="9" fillId="0" borderId="0" xfId="3" quotePrefix="1" applyNumberFormat="1" applyFont="1" applyFill="1" applyBorder="1" applyAlignment="1">
      <alignment horizontal="right"/>
    </xf>
    <xf numFmtId="1" fontId="8" fillId="0" borderId="11" xfId="17" applyNumberFormat="1" applyFont="1" applyFill="1" applyBorder="1" applyAlignment="1">
      <alignment horizontal="right"/>
    </xf>
    <xf numFmtId="170" fontId="8" fillId="0" borderId="7" xfId="3" applyNumberFormat="1" applyFont="1" applyFill="1" applyBorder="1" applyAlignment="1">
      <alignment horizontal="right"/>
    </xf>
    <xf numFmtId="170" fontId="8" fillId="0" borderId="71" xfId="3" applyNumberFormat="1" applyFont="1" applyFill="1" applyBorder="1" applyAlignment="1">
      <alignment horizontal="right"/>
    </xf>
    <xf numFmtId="3" fontId="8" fillId="0" borderId="11" xfId="3" applyNumberFormat="1" applyFont="1" applyFill="1" applyBorder="1"/>
    <xf numFmtId="1" fontId="8" fillId="0" borderId="11" xfId="17" applyNumberFormat="1" applyFont="1" applyFill="1" applyBorder="1"/>
    <xf numFmtId="170" fontId="8" fillId="0" borderId="7" xfId="3" applyNumberFormat="1" applyFont="1" applyFill="1" applyBorder="1"/>
    <xf numFmtId="3" fontId="8" fillId="0" borderId="11" xfId="17" applyNumberFormat="1" applyFont="1" applyFill="1" applyBorder="1"/>
    <xf numFmtId="3" fontId="8" fillId="0" borderId="11" xfId="17" applyNumberFormat="1" applyFont="1" applyFill="1" applyBorder="1" applyAlignment="1">
      <alignment horizontal="right"/>
    </xf>
    <xf numFmtId="1" fontId="8" fillId="0" borderId="11" xfId="17" applyNumberFormat="1" applyFont="1" applyFill="1" applyBorder="1" applyAlignment="1"/>
    <xf numFmtId="0" fontId="8" fillId="0" borderId="11" xfId="3" applyFont="1" applyFill="1" applyBorder="1" applyAlignment="1">
      <alignment horizontal="center"/>
    </xf>
    <xf numFmtId="1" fontId="8" fillId="0" borderId="11" xfId="17" applyNumberFormat="1" applyFont="1" applyFill="1" applyBorder="1" applyAlignment="1">
      <alignment horizontal="center"/>
    </xf>
    <xf numFmtId="170" fontId="8" fillId="0" borderId="15" xfId="3" applyNumberFormat="1" applyFont="1" applyFill="1" applyBorder="1"/>
    <xf numFmtId="170" fontId="8" fillId="0" borderId="15" xfId="3" applyNumberFormat="1" applyFont="1" applyFill="1" applyBorder="1" applyAlignment="1">
      <alignment horizontal="right"/>
    </xf>
    <xf numFmtId="170" fontId="8" fillId="0" borderId="64" xfId="3" applyNumberFormat="1" applyFont="1" applyFill="1" applyBorder="1" applyAlignment="1">
      <alignment horizontal="right"/>
    </xf>
    <xf numFmtId="170" fontId="11" fillId="0" borderId="0" xfId="3" applyNumberFormat="1" applyFont="1" applyFill="1" applyBorder="1" applyAlignment="1">
      <alignment horizontal="right"/>
    </xf>
    <xf numFmtId="3" fontId="19" fillId="0" borderId="0" xfId="3" applyNumberFormat="1" applyFont="1" applyFill="1" applyBorder="1"/>
    <xf numFmtId="0" fontId="5" fillId="0" borderId="0" xfId="3" applyFont="1" applyFill="1"/>
    <xf numFmtId="0" fontId="30" fillId="0" borderId="0" xfId="3" applyFont="1" applyFill="1" applyAlignment="1">
      <alignment vertical="top"/>
    </xf>
    <xf numFmtId="9" fontId="8" fillId="0" borderId="21" xfId="3" applyNumberFormat="1" applyFont="1" applyFill="1" applyBorder="1" applyAlignment="1">
      <alignment horizontal="right"/>
    </xf>
    <xf numFmtId="170" fontId="8" fillId="0" borderId="21" xfId="3" applyNumberFormat="1" applyFont="1" applyFill="1" applyBorder="1" applyAlignment="1">
      <alignment horizontal="right"/>
    </xf>
    <xf numFmtId="9" fontId="8" fillId="0" borderId="21" xfId="3" applyNumberFormat="1" applyFont="1" applyFill="1" applyBorder="1"/>
    <xf numFmtId="9" fontId="19" fillId="0" borderId="0" xfId="17" applyFont="1" applyFill="1" applyBorder="1"/>
    <xf numFmtId="0" fontId="17" fillId="0" borderId="18" xfId="0" applyFont="1" applyFill="1" applyBorder="1" applyAlignment="1">
      <alignment vertical="center"/>
    </xf>
    <xf numFmtId="0" fontId="20" fillId="0" borderId="56" xfId="0" applyFont="1" applyFill="1" applyBorder="1" applyAlignment="1">
      <alignment horizontal="right" vertical="center"/>
    </xf>
    <xf numFmtId="0" fontId="20" fillId="0" borderId="56" xfId="0" applyFont="1" applyFill="1" applyBorder="1" applyAlignment="1">
      <alignment horizontal="right" vertical="center" wrapText="1"/>
    </xf>
    <xf numFmtId="0" fontId="20" fillId="0" borderId="57" xfId="0" applyFont="1" applyFill="1" applyBorder="1" applyAlignment="1">
      <alignment horizontal="right" vertical="center" wrapText="1"/>
    </xf>
    <xf numFmtId="0" fontId="20" fillId="0" borderId="0" xfId="0" applyFont="1" applyFill="1" applyBorder="1" applyAlignment="1">
      <alignment horizontal="right" vertical="center" wrapText="1"/>
    </xf>
    <xf numFmtId="0" fontId="17" fillId="0" borderId="0" xfId="0" applyFont="1" applyFill="1" applyBorder="1" applyAlignment="1">
      <alignment vertical="center" wrapText="1"/>
    </xf>
    <xf numFmtId="0" fontId="17" fillId="0" borderId="11" xfId="0" applyFont="1" applyFill="1" applyBorder="1" applyAlignment="1">
      <alignment horizontal="right" vertical="center"/>
    </xf>
    <xf numFmtId="0" fontId="17" fillId="0" borderId="11" xfId="0" applyFont="1" applyFill="1" applyBorder="1" applyAlignment="1">
      <alignment horizontal="right" vertical="center" wrapText="1"/>
    </xf>
    <xf numFmtId="0" fontId="17" fillId="0" borderId="0" xfId="0" applyFont="1" applyFill="1" applyBorder="1" applyAlignment="1">
      <alignment horizontal="right" vertical="center" wrapText="1"/>
    </xf>
    <xf numFmtId="0" fontId="17" fillId="0" borderId="4" xfId="0" applyFont="1" applyFill="1" applyBorder="1" applyAlignment="1">
      <alignment vertical="center" wrapText="1"/>
    </xf>
    <xf numFmtId="0" fontId="17" fillId="0" borderId="15" xfId="0" applyFont="1" applyFill="1" applyBorder="1" applyAlignment="1">
      <alignment horizontal="right" vertical="center"/>
    </xf>
    <xf numFmtId="0" fontId="17" fillId="0" borderId="15" xfId="0" applyFont="1" applyFill="1" applyBorder="1" applyAlignment="1">
      <alignment horizontal="right" vertical="center" wrapText="1"/>
    </xf>
    <xf numFmtId="0" fontId="119" fillId="0" borderId="0" xfId="3" applyFont="1" applyFill="1" applyAlignment="1">
      <alignment horizontal="left"/>
    </xf>
    <xf numFmtId="0" fontId="31" fillId="0" borderId="0" xfId="3" applyFont="1" applyFill="1" applyBorder="1" applyAlignment="1">
      <alignment vertical="top"/>
    </xf>
    <xf numFmtId="0" fontId="0" fillId="0" borderId="0" xfId="3" applyFont="1" applyFill="1" applyAlignment="1">
      <alignment vertical="top"/>
    </xf>
    <xf numFmtId="0" fontId="19" fillId="0" borderId="0" xfId="3" applyFont="1" applyFill="1" applyBorder="1" applyAlignment="1">
      <alignment horizontal="left" vertical="top" wrapText="1"/>
    </xf>
    <xf numFmtId="0" fontId="4" fillId="0" borderId="0" xfId="3" applyFont="1" applyFill="1" applyBorder="1" applyAlignment="1"/>
    <xf numFmtId="0" fontId="9" fillId="0" borderId="119" xfId="3" applyFont="1" applyFill="1" applyBorder="1" applyAlignment="1"/>
    <xf numFmtId="0" fontId="9" fillId="0" borderId="120" xfId="3" applyFont="1" applyFill="1" applyBorder="1" applyAlignment="1"/>
    <xf numFmtId="0" fontId="8" fillId="0" borderId="120" xfId="3" applyFont="1" applyFill="1" applyBorder="1" applyAlignment="1"/>
    <xf numFmtId="0" fontId="8" fillId="0" borderId="121" xfId="3" applyFont="1" applyFill="1" applyBorder="1" applyAlignment="1"/>
    <xf numFmtId="0" fontId="9" fillId="0" borderId="122" xfId="3" applyFont="1" applyFill="1" applyBorder="1" applyAlignment="1">
      <alignment vertical="top"/>
    </xf>
    <xf numFmtId="0" fontId="8" fillId="0" borderId="123" xfId="3" applyFont="1" applyFill="1" applyBorder="1" applyAlignment="1">
      <alignment vertical="top"/>
    </xf>
    <xf numFmtId="0" fontId="9" fillId="0" borderId="122" xfId="3" applyFont="1" applyFill="1" applyBorder="1" applyAlignment="1">
      <alignment vertical="top" wrapText="1"/>
    </xf>
    <xf numFmtId="0" fontId="8" fillId="0" borderId="124" xfId="3" applyFont="1" applyFill="1" applyBorder="1" applyAlignment="1">
      <alignment vertical="top"/>
    </xf>
    <xf numFmtId="0" fontId="8" fillId="0" borderId="45" xfId="3" applyFont="1" applyFill="1" applyBorder="1" applyAlignment="1">
      <alignment vertical="top"/>
    </xf>
    <xf numFmtId="0" fontId="8" fillId="0" borderId="125" xfId="3" applyFont="1" applyFill="1" applyBorder="1" applyAlignment="1">
      <alignment vertical="top"/>
    </xf>
    <xf numFmtId="0" fontId="8" fillId="0" borderId="124" xfId="3" applyFont="1" applyFill="1" applyBorder="1" applyAlignment="1">
      <alignment vertical="top" wrapText="1"/>
    </xf>
    <xf numFmtId="0" fontId="126" fillId="0" borderId="45" xfId="3" applyFont="1" applyFill="1" applyBorder="1" applyAlignment="1">
      <alignment vertical="top" wrapText="1"/>
    </xf>
    <xf numFmtId="0" fontId="8" fillId="0" borderId="45" xfId="3" applyFont="1" applyFill="1" applyBorder="1" applyAlignment="1">
      <alignment vertical="top" wrapText="1"/>
    </xf>
    <xf numFmtId="0" fontId="8" fillId="0" borderId="97" xfId="3" applyFont="1" applyFill="1" applyBorder="1" applyAlignment="1">
      <alignment vertical="top"/>
    </xf>
    <xf numFmtId="0" fontId="8" fillId="0" borderId="21" xfId="3" applyFont="1" applyFill="1" applyBorder="1" applyAlignment="1">
      <alignment vertical="top"/>
    </xf>
    <xf numFmtId="0" fontId="126" fillId="0" borderId="21" xfId="3" applyFont="1" applyFill="1" applyBorder="1" applyAlignment="1">
      <alignment vertical="top"/>
    </xf>
    <xf numFmtId="0" fontId="8" fillId="0" borderId="126" xfId="3" applyFont="1" applyFill="1" applyBorder="1" applyAlignment="1">
      <alignment vertical="top"/>
    </xf>
    <xf numFmtId="0" fontId="8" fillId="0" borderId="97" xfId="3" applyFont="1" applyFill="1" applyBorder="1" applyAlignment="1">
      <alignment vertical="top" wrapText="1"/>
    </xf>
    <xf numFmtId="0" fontId="0" fillId="0" borderId="21" xfId="3" applyFont="1" applyFill="1" applyBorder="1" applyAlignment="1">
      <alignment vertical="top" wrapText="1"/>
    </xf>
    <xf numFmtId="0" fontId="8" fillId="0" borderId="21" xfId="3" applyFont="1" applyFill="1" applyBorder="1" applyAlignment="1">
      <alignment vertical="top" wrapText="1"/>
    </xf>
    <xf numFmtId="0" fontId="126" fillId="0" borderId="21" xfId="3" applyFont="1" applyFill="1" applyBorder="1" applyAlignment="1">
      <alignment vertical="top" wrapText="1"/>
    </xf>
    <xf numFmtId="0" fontId="8" fillId="0" borderId="126" xfId="3" applyFont="1" applyFill="1" applyBorder="1" applyAlignment="1">
      <alignment vertical="top" wrapText="1"/>
    </xf>
    <xf numFmtId="0" fontId="8" fillId="0" borderId="122" xfId="3" applyFont="1" applyFill="1" applyBorder="1" applyAlignment="1">
      <alignment vertical="top" wrapText="1"/>
    </xf>
    <xf numFmtId="0" fontId="8" fillId="0" borderId="123" xfId="3" applyFont="1" applyFill="1" applyBorder="1" applyAlignment="1">
      <alignment vertical="top" wrapText="1"/>
    </xf>
    <xf numFmtId="0" fontId="8" fillId="0" borderId="122" xfId="3" applyFont="1" applyFill="1" applyBorder="1" applyAlignment="1">
      <alignment vertical="top"/>
    </xf>
    <xf numFmtId="0" fontId="9" fillId="0" borderId="122" xfId="3" applyFont="1" applyFill="1" applyBorder="1" applyAlignment="1">
      <alignment horizontal="left" vertical="top"/>
    </xf>
    <xf numFmtId="0" fontId="8" fillId="0" borderId="124" xfId="3" applyFont="1" applyFill="1" applyBorder="1" applyAlignment="1">
      <alignment horizontal="left" vertical="top"/>
    </xf>
    <xf numFmtId="0" fontId="8" fillId="0" borderId="125" xfId="3" applyFont="1" applyFill="1" applyBorder="1" applyAlignment="1">
      <alignment vertical="top" wrapText="1"/>
    </xf>
    <xf numFmtId="0" fontId="8" fillId="0" borderId="122" xfId="3" applyFont="1" applyFill="1" applyBorder="1" applyAlignment="1">
      <alignment horizontal="left" vertical="top"/>
    </xf>
    <xf numFmtId="0" fontId="8" fillId="0" borderId="97" xfId="3" applyFont="1" applyFill="1" applyBorder="1" applyAlignment="1">
      <alignment horizontal="left" vertical="top"/>
    </xf>
    <xf numFmtId="0" fontId="0" fillId="0" borderId="122" xfId="3" applyFont="1" applyFill="1" applyBorder="1" applyAlignment="1">
      <alignment vertical="top"/>
    </xf>
    <xf numFmtId="0" fontId="0" fillId="0" borderId="0" xfId="3" applyFont="1" applyFill="1" applyBorder="1" applyAlignment="1">
      <alignment vertical="top"/>
    </xf>
    <xf numFmtId="0" fontId="0" fillId="0" borderId="123" xfId="3" applyFont="1" applyFill="1" applyBorder="1" applyAlignment="1">
      <alignment vertical="top"/>
    </xf>
    <xf numFmtId="0" fontId="0" fillId="0" borderId="0" xfId="3" applyFont="1" applyFill="1" applyBorder="1" applyAlignment="1">
      <alignment vertical="top" wrapText="1"/>
    </xf>
    <xf numFmtId="0" fontId="0" fillId="0" borderId="127" xfId="3" applyFont="1" applyFill="1" applyBorder="1" applyAlignment="1">
      <alignment vertical="top"/>
    </xf>
    <xf numFmtId="0" fontId="0" fillId="0" borderId="128" xfId="3" applyFont="1" applyFill="1" applyBorder="1" applyAlignment="1">
      <alignment vertical="top"/>
    </xf>
    <xf numFmtId="0" fontId="0" fillId="0" borderId="129" xfId="3" applyFont="1" applyFill="1" applyBorder="1" applyAlignment="1">
      <alignment vertical="top"/>
    </xf>
    <xf numFmtId="0" fontId="8" fillId="0" borderId="127" xfId="3" applyFont="1" applyFill="1" applyBorder="1" applyAlignment="1">
      <alignment vertical="top" wrapText="1"/>
    </xf>
    <xf numFmtId="0" fontId="8" fillId="0" borderId="128" xfId="3" applyFont="1" applyFill="1" applyBorder="1" applyAlignment="1">
      <alignment vertical="top" wrapText="1"/>
    </xf>
    <xf numFmtId="0" fontId="0" fillId="0" borderId="128" xfId="3" applyFont="1" applyFill="1" applyBorder="1" applyAlignment="1">
      <alignment vertical="top" wrapText="1"/>
    </xf>
    <xf numFmtId="0" fontId="8" fillId="0" borderId="129" xfId="3" applyFont="1" applyFill="1" applyBorder="1" applyAlignment="1">
      <alignment vertical="top"/>
    </xf>
    <xf numFmtId="0" fontId="4" fillId="0" borderId="128" xfId="3" applyFont="1" applyFill="1" applyBorder="1" applyAlignment="1">
      <alignment vertical="top" wrapText="1"/>
    </xf>
    <xf numFmtId="0" fontId="13" fillId="0" borderId="0" xfId="3" applyFont="1" applyFill="1" applyBorder="1" applyAlignment="1">
      <alignment vertical="top" wrapText="1"/>
    </xf>
    <xf numFmtId="0" fontId="4" fillId="0" borderId="0" xfId="27" applyFont="1" applyFill="1" applyBorder="1" applyAlignment="1" applyProtection="1">
      <alignment horizontal="left" vertical="top" wrapText="1"/>
    </xf>
    <xf numFmtId="0" fontId="127" fillId="0" borderId="0" xfId="15" applyFont="1" applyFill="1"/>
    <xf numFmtId="0" fontId="41" fillId="0" borderId="0" xfId="3" applyFont="1" applyBorder="1" applyAlignment="1">
      <alignment horizontal="center"/>
    </xf>
    <xf numFmtId="0" fontId="7" fillId="0" borderId="0" xfId="3" applyFont="1" applyAlignment="1">
      <alignment horizontal="right" vertical="top"/>
    </xf>
    <xf numFmtId="0" fontId="8" fillId="0" borderId="0" xfId="3" applyFont="1" applyAlignment="1">
      <alignment horizontal="right" vertical="top"/>
    </xf>
    <xf numFmtId="17" fontId="9" fillId="0" borderId="4" xfId="3" applyNumberFormat="1" applyFont="1" applyBorder="1" applyAlignment="1">
      <alignment horizontal="right"/>
    </xf>
    <xf numFmtId="0" fontId="9" fillId="0" borderId="14" xfId="3" applyFont="1" applyBorder="1" applyAlignment="1">
      <alignment horizontal="right"/>
    </xf>
    <xf numFmtId="17" fontId="41" fillId="0" borderId="4" xfId="3" applyNumberFormat="1" applyFont="1" applyBorder="1" applyAlignment="1">
      <alignment horizontal="right"/>
    </xf>
    <xf numFmtId="0" fontId="41" fillId="0" borderId="14" xfId="3" applyFont="1" applyBorder="1" applyAlignment="1">
      <alignment horizontal="right"/>
    </xf>
    <xf numFmtId="0" fontId="41" fillId="0" borderId="0" xfId="3" applyFont="1" applyBorder="1" applyAlignment="1">
      <alignment horizontal="right"/>
    </xf>
    <xf numFmtId="173" fontId="29" fillId="0" borderId="0" xfId="14" applyNumberFormat="1" applyFont="1" applyAlignment="1">
      <alignment horizontal="right" vertical="top"/>
    </xf>
    <xf numFmtId="173" fontId="8" fillId="0" borderId="0" xfId="14" applyNumberFormat="1" applyFont="1" applyAlignment="1">
      <alignment horizontal="right" vertical="top"/>
    </xf>
    <xf numFmtId="0" fontId="8" fillId="0" borderId="4" xfId="3" applyFont="1" applyBorder="1" applyAlignment="1">
      <alignment wrapText="1"/>
    </xf>
    <xf numFmtId="173" fontId="8" fillId="0" borderId="4" xfId="14" applyNumberFormat="1" applyFont="1" applyBorder="1" applyAlignment="1">
      <alignment horizontal="right"/>
    </xf>
    <xf numFmtId="173" fontId="8" fillId="0" borderId="14" xfId="14" applyNumberFormat="1" applyFont="1" applyFill="1" applyBorder="1" applyAlignment="1">
      <alignment horizontal="right"/>
    </xf>
    <xf numFmtId="173" fontId="25" fillId="0" borderId="4" xfId="14" applyNumberFormat="1" applyFont="1" applyBorder="1" applyAlignment="1">
      <alignment horizontal="right"/>
    </xf>
    <xf numFmtId="173" fontId="25" fillId="0" borderId="14" xfId="14" applyNumberFormat="1" applyFont="1" applyFill="1" applyBorder="1" applyAlignment="1">
      <alignment horizontal="right"/>
    </xf>
    <xf numFmtId="173" fontId="25" fillId="3" borderId="0" xfId="14" applyNumberFormat="1" applyFont="1" applyFill="1" applyBorder="1" applyAlignment="1">
      <alignment horizontal="right"/>
    </xf>
    <xf numFmtId="173" fontId="25" fillId="2" borderId="0" xfId="14" applyNumberFormat="1" applyFont="1" applyFill="1" applyBorder="1" applyAlignment="1">
      <alignment horizontal="right"/>
    </xf>
    <xf numFmtId="173" fontId="8" fillId="0" borderId="0" xfId="14" applyNumberFormat="1" applyFont="1" applyBorder="1" applyAlignment="1">
      <alignment horizontal="right"/>
    </xf>
    <xf numFmtId="0" fontId="9" fillId="0" borderId="18" xfId="3" applyFont="1" applyBorder="1" applyAlignment="1"/>
    <xf numFmtId="173" fontId="8" fillId="3" borderId="0" xfId="14" applyNumberFormat="1" applyFont="1" applyFill="1" applyBorder="1" applyAlignment="1">
      <alignment horizontal="center"/>
    </xf>
    <xf numFmtId="173" fontId="8" fillId="2" borderId="0" xfId="14" applyNumberFormat="1" applyFont="1" applyFill="1" applyBorder="1" applyAlignment="1">
      <alignment horizontal="center"/>
    </xf>
    <xf numFmtId="0" fontId="30" fillId="4" borderId="0" xfId="3" applyFont="1" applyFill="1" applyAlignment="1">
      <alignment horizontal="left"/>
    </xf>
    <xf numFmtId="0" fontId="19" fillId="4" borderId="0" xfId="3" applyFont="1" applyFill="1" applyAlignment="1">
      <alignment horizontal="left"/>
    </xf>
    <xf numFmtId="0" fontId="25" fillId="0" borderId="23" xfId="3" applyFont="1" applyBorder="1"/>
    <xf numFmtId="0" fontId="25" fillId="0" borderId="0" xfId="3" applyFont="1" applyBorder="1"/>
    <xf numFmtId="0" fontId="25" fillId="2" borderId="0" xfId="3" applyFont="1" applyFill="1" applyBorder="1"/>
    <xf numFmtId="0" fontId="25" fillId="0" borderId="4" xfId="3" applyFont="1" applyBorder="1"/>
    <xf numFmtId="0" fontId="19" fillId="2" borderId="0" xfId="3" applyFont="1" applyFill="1"/>
    <xf numFmtId="0" fontId="9" fillId="2" borderId="23" xfId="3" applyFont="1" applyFill="1" applyBorder="1" applyAlignment="1"/>
    <xf numFmtId="0" fontId="9" fillId="0" borderId="72" xfId="3" applyFont="1" applyBorder="1" applyAlignment="1"/>
    <xf numFmtId="17" fontId="9" fillId="0" borderId="0" xfId="3" applyNumberFormat="1" applyFont="1" applyBorder="1" applyAlignment="1">
      <alignment horizontal="right"/>
    </xf>
    <xf numFmtId="0" fontId="9" fillId="0" borderId="10" xfId="3" applyFont="1" applyBorder="1" applyAlignment="1">
      <alignment horizontal="right"/>
    </xf>
    <xf numFmtId="17" fontId="9" fillId="2" borderId="0" xfId="3" applyNumberFormat="1" applyFont="1" applyFill="1" applyBorder="1" applyAlignment="1">
      <alignment horizontal="right"/>
    </xf>
    <xf numFmtId="173" fontId="8" fillId="2" borderId="4" xfId="14" applyNumberFormat="1" applyFont="1" applyFill="1" applyBorder="1" applyAlignment="1">
      <alignment horizontal="right"/>
    </xf>
    <xf numFmtId="173" fontId="8" fillId="2" borderId="0" xfId="14" applyNumberFormat="1" applyFont="1" applyFill="1" applyBorder="1" applyAlignment="1">
      <alignment horizontal="right"/>
    </xf>
    <xf numFmtId="173" fontId="8" fillId="0" borderId="0" xfId="14" applyNumberFormat="1" applyFont="1" applyBorder="1" applyAlignment="1"/>
    <xf numFmtId="173" fontId="8" fillId="2" borderId="0" xfId="14" applyNumberFormat="1" applyFont="1" applyFill="1" applyBorder="1" applyAlignment="1"/>
    <xf numFmtId="0" fontId="14" fillId="0" borderId="0" xfId="3" applyFont="1" applyFill="1" applyBorder="1" applyAlignment="1"/>
    <xf numFmtId="0" fontId="0" fillId="0" borderId="0" xfId="3" applyFont="1" applyFill="1" applyBorder="1" applyAlignment="1">
      <alignment wrapText="1"/>
    </xf>
    <xf numFmtId="0" fontId="8" fillId="0" borderId="17" xfId="3" applyFont="1" applyFill="1" applyBorder="1" applyAlignment="1">
      <alignment horizontal="left"/>
    </xf>
    <xf numFmtId="0" fontId="9" fillId="0" borderId="56" xfId="16" applyFont="1" applyFill="1" applyBorder="1" applyAlignment="1">
      <alignment horizontal="right" vertical="top"/>
    </xf>
    <xf numFmtId="0" fontId="9" fillId="3" borderId="56" xfId="3" applyFont="1" applyFill="1" applyBorder="1" applyAlignment="1">
      <alignment horizontal="right" vertical="top" wrapText="1"/>
    </xf>
    <xf numFmtId="0" fontId="9" fillId="3" borderId="61" xfId="3" applyFont="1" applyFill="1" applyBorder="1" applyAlignment="1">
      <alignment horizontal="right" vertical="top" wrapText="1"/>
    </xf>
    <xf numFmtId="0" fontId="9" fillId="0" borderId="0" xfId="3" applyFont="1" applyFill="1" applyBorder="1" applyAlignment="1">
      <alignment horizontal="right" vertical="top" wrapText="1"/>
    </xf>
    <xf numFmtId="173" fontId="8" fillId="0" borderId="11" xfId="14" applyNumberFormat="1" applyFont="1" applyFill="1" applyBorder="1" applyAlignment="1">
      <alignment horizontal="right"/>
    </xf>
    <xf numFmtId="173" fontId="8" fillId="0" borderId="11" xfId="14" quotePrefix="1" applyNumberFormat="1" applyFont="1" applyFill="1" applyBorder="1" applyAlignment="1">
      <alignment horizontal="right"/>
    </xf>
    <xf numFmtId="173" fontId="8" fillId="3" borderId="11" xfId="14" quotePrefix="1" applyNumberFormat="1" applyFont="1" applyFill="1" applyBorder="1" applyAlignment="1">
      <alignment horizontal="right"/>
    </xf>
    <xf numFmtId="173" fontId="9" fillId="3" borderId="63" xfId="14" quotePrefix="1" applyNumberFormat="1" applyFont="1" applyFill="1" applyBorder="1" applyAlignment="1">
      <alignment horizontal="right"/>
    </xf>
    <xf numFmtId="173" fontId="8" fillId="0" borderId="0" xfId="14" quotePrefix="1" applyNumberFormat="1" applyFont="1" applyFill="1" applyBorder="1" applyAlignment="1">
      <alignment horizontal="right"/>
    </xf>
    <xf numFmtId="173" fontId="8" fillId="3" borderId="63" xfId="14" quotePrefix="1" applyNumberFormat="1" applyFont="1" applyFill="1" applyBorder="1" applyAlignment="1">
      <alignment horizontal="right"/>
    </xf>
    <xf numFmtId="0" fontId="9" fillId="3" borderId="9" xfId="3" applyFont="1" applyFill="1" applyBorder="1" applyAlignment="1">
      <alignment horizontal="left"/>
    </xf>
    <xf numFmtId="0" fontId="9" fillId="3" borderId="11" xfId="3" applyFont="1" applyFill="1" applyBorder="1" applyAlignment="1">
      <alignment horizontal="right"/>
    </xf>
    <xf numFmtId="173" fontId="9" fillId="3" borderId="11" xfId="14" applyNumberFormat="1" applyFont="1" applyFill="1" applyBorder="1" applyAlignment="1">
      <alignment horizontal="right"/>
    </xf>
    <xf numFmtId="173" fontId="9" fillId="3" borderId="11" xfId="14" quotePrefix="1" applyNumberFormat="1" applyFont="1" applyFill="1" applyBorder="1" applyAlignment="1">
      <alignment horizontal="right"/>
    </xf>
    <xf numFmtId="173" fontId="9" fillId="0" borderId="0" xfId="14" quotePrefix="1" applyNumberFormat="1" applyFont="1" applyFill="1" applyBorder="1" applyAlignment="1">
      <alignment horizontal="right"/>
    </xf>
    <xf numFmtId="0" fontId="8" fillId="0" borderId="29" xfId="3" applyFont="1" applyFill="1" applyBorder="1" applyAlignment="1">
      <alignment horizontal="left"/>
    </xf>
    <xf numFmtId="173" fontId="8" fillId="0" borderId="7" xfId="14" applyNumberFormat="1" applyFont="1" applyFill="1" applyBorder="1" applyAlignment="1">
      <alignment horizontal="right"/>
    </xf>
    <xf numFmtId="0" fontId="8" fillId="0" borderId="38" xfId="3" applyFont="1" applyFill="1" applyBorder="1" applyAlignment="1">
      <alignment horizontal="left"/>
    </xf>
    <xf numFmtId="0" fontId="8" fillId="0" borderId="77" xfId="3" applyFont="1" applyFill="1" applyBorder="1"/>
    <xf numFmtId="0" fontId="8" fillId="3" borderId="77" xfId="3" applyFont="1" applyFill="1" applyBorder="1"/>
    <xf numFmtId="0" fontId="8" fillId="3" borderId="78" xfId="3" applyFont="1" applyFill="1" applyBorder="1"/>
    <xf numFmtId="0" fontId="9" fillId="0" borderId="17" xfId="16" applyFont="1" applyFill="1" applyBorder="1" applyAlignment="1">
      <alignment vertical="top"/>
    </xf>
    <xf numFmtId="0" fontId="9" fillId="0" borderId="18" xfId="16" applyFont="1" applyFill="1" applyBorder="1" applyAlignment="1">
      <alignment horizontal="right" vertical="top"/>
    </xf>
    <xf numFmtId="0" fontId="9" fillId="0" borderId="56" xfId="3" applyFont="1" applyFill="1" applyBorder="1" applyAlignment="1">
      <alignment horizontal="right" vertical="top" wrapText="1"/>
    </xf>
    <xf numFmtId="0" fontId="4" fillId="0" borderId="0" xfId="16" applyFont="1" applyFill="1" applyBorder="1" applyAlignment="1">
      <alignment vertical="top"/>
    </xf>
    <xf numFmtId="0" fontId="8" fillId="0" borderId="9" xfId="16" applyFont="1" applyFill="1" applyBorder="1" applyAlignment="1">
      <alignment horizontal="left" vertical="top"/>
    </xf>
    <xf numFmtId="0" fontId="8" fillId="0" borderId="0" xfId="16" applyFont="1" applyFill="1" applyBorder="1" applyAlignment="1">
      <alignment horizontal="right" vertical="center"/>
    </xf>
    <xf numFmtId="0" fontId="8" fillId="0" borderId="11" xfId="16" applyFont="1" applyFill="1" applyBorder="1" applyAlignment="1">
      <alignment horizontal="right" vertical="center"/>
    </xf>
    <xf numFmtId="0" fontId="8" fillId="3" borderId="11" xfId="16" applyFont="1" applyFill="1" applyBorder="1" applyAlignment="1">
      <alignment horizontal="right" vertical="top"/>
    </xf>
    <xf numFmtId="0" fontId="8" fillId="0" borderId="0" xfId="16" applyFont="1" applyFill="1" applyBorder="1" applyAlignment="1">
      <alignment horizontal="right" vertical="top"/>
    </xf>
    <xf numFmtId="0" fontId="8" fillId="0" borderId="11" xfId="16" applyFont="1" applyFill="1" applyBorder="1" applyAlignment="1">
      <alignment horizontal="right" vertical="top"/>
    </xf>
    <xf numFmtId="0" fontId="8" fillId="3" borderId="9" xfId="16" applyFont="1" applyFill="1" applyBorder="1" applyAlignment="1">
      <alignment horizontal="left" vertical="center"/>
    </xf>
    <xf numFmtId="0" fontId="8" fillId="3" borderId="0" xfId="16" applyFont="1" applyFill="1" applyBorder="1" applyAlignment="1">
      <alignment horizontal="right" vertical="top"/>
    </xf>
    <xf numFmtId="0" fontId="8" fillId="3" borderId="11" xfId="16" applyFont="1" applyFill="1" applyBorder="1" applyAlignment="1">
      <alignment horizontal="right" vertical="center"/>
    </xf>
    <xf numFmtId="0" fontId="8" fillId="0" borderId="13" xfId="16" applyFont="1" applyFill="1" applyBorder="1" applyAlignment="1">
      <alignment horizontal="left" vertical="top"/>
    </xf>
    <xf numFmtId="0" fontId="8" fillId="0" borderId="4" xfId="16" applyFont="1" applyFill="1" applyBorder="1" applyAlignment="1">
      <alignment horizontal="right" vertical="center"/>
    </xf>
    <xf numFmtId="0" fontId="8" fillId="0" borderId="15" xfId="16" applyFont="1" applyFill="1" applyBorder="1" applyAlignment="1">
      <alignment horizontal="right" vertical="center"/>
    </xf>
    <xf numFmtId="0" fontId="8" fillId="3" borderId="15" xfId="16" applyFont="1" applyFill="1" applyBorder="1" applyAlignment="1">
      <alignment horizontal="right" vertical="top"/>
    </xf>
    <xf numFmtId="173" fontId="9" fillId="3" borderId="64" xfId="14" quotePrefix="1" applyNumberFormat="1" applyFont="1" applyFill="1" applyBorder="1" applyAlignment="1">
      <alignment horizontal="right"/>
    </xf>
    <xf numFmtId="0" fontId="19" fillId="0" borderId="0" xfId="3" applyFont="1" applyFill="1" applyAlignment="1" applyProtection="1">
      <alignment vertical="top"/>
      <protection hidden="1"/>
    </xf>
    <xf numFmtId="0" fontId="4" fillId="0" borderId="0" xfId="3" applyFont="1" applyFill="1" applyBorder="1" applyAlignment="1">
      <alignment horizontal="center" vertical="top" wrapText="1"/>
    </xf>
    <xf numFmtId="0" fontId="16" fillId="0" borderId="19" xfId="6" quotePrefix="1" applyNumberFormat="1" applyFont="1" applyFill="1" applyBorder="1" applyAlignment="1" applyProtection="1">
      <alignment horizontal="right"/>
    </xf>
    <xf numFmtId="166" fontId="24" fillId="0" borderId="16" xfId="3" applyNumberFormat="1" applyFont="1" applyFill="1" applyBorder="1" applyProtection="1">
      <protection locked="0"/>
    </xf>
    <xf numFmtId="0" fontId="27" fillId="0" borderId="0" xfId="4" applyFont="1" applyFill="1" applyBorder="1" applyAlignment="1" applyProtection="1">
      <protection locked="0"/>
    </xf>
    <xf numFmtId="0" fontId="27" fillId="0" borderId="0" xfId="4" applyFont="1" applyFill="1" applyBorder="1" applyAlignment="1" applyProtection="1">
      <alignment horizontal="left"/>
      <protection locked="0"/>
    </xf>
    <xf numFmtId="0" fontId="4" fillId="0" borderId="0" xfId="4" applyFont="1" applyFill="1" applyBorder="1" applyAlignment="1" applyProtection="1">
      <alignment horizontal="left"/>
      <protection locked="0"/>
    </xf>
    <xf numFmtId="166" fontId="4" fillId="0" borderId="0" xfId="4" applyNumberFormat="1" applyFont="1" applyFill="1" applyBorder="1" applyProtection="1">
      <protection locked="0"/>
    </xf>
    <xf numFmtId="166" fontId="17" fillId="0" borderId="71" xfId="3" applyNumberFormat="1" applyFont="1" applyFill="1" applyBorder="1" applyProtection="1"/>
    <xf numFmtId="0" fontId="14" fillId="0" borderId="62" xfId="3" applyFont="1" applyFill="1" applyBorder="1"/>
    <xf numFmtId="1" fontId="8" fillId="0" borderId="63" xfId="3" applyNumberFormat="1" applyFont="1" applyFill="1" applyBorder="1"/>
    <xf numFmtId="1" fontId="8" fillId="0" borderId="64" xfId="3" applyNumberFormat="1" applyFont="1" applyFill="1" applyBorder="1"/>
    <xf numFmtId="165" fontId="9" fillId="0" borderId="21" xfId="3" applyNumberFormat="1" applyFont="1" applyFill="1" applyBorder="1" applyAlignment="1">
      <alignment horizontal="right"/>
    </xf>
    <xf numFmtId="165" fontId="9" fillId="0" borderId="2" xfId="3" applyNumberFormat="1" applyFont="1" applyFill="1" applyBorder="1" applyAlignment="1">
      <alignment horizontal="right"/>
    </xf>
    <xf numFmtId="165" fontId="9" fillId="0" borderId="4" xfId="3" applyNumberFormat="1" applyFont="1" applyFill="1" applyBorder="1" applyAlignment="1">
      <alignment horizontal="right"/>
    </xf>
    <xf numFmtId="0" fontId="26" fillId="0" borderId="0" xfId="3" applyFont="1" applyFill="1"/>
    <xf numFmtId="0" fontId="4" fillId="0" borderId="0" xfId="30" applyFont="1" applyBorder="1"/>
    <xf numFmtId="1" fontId="17" fillId="3" borderId="0" xfId="3" applyNumberFormat="1" applyFont="1" applyFill="1" applyBorder="1"/>
    <xf numFmtId="0" fontId="25" fillId="0" borderId="56" xfId="3" applyFont="1" applyFill="1" applyBorder="1" applyAlignment="1">
      <alignment horizontal="center"/>
    </xf>
    <xf numFmtId="2" fontId="8" fillId="0" borderId="56" xfId="3" applyNumberFormat="1" applyFont="1" applyFill="1" applyBorder="1" applyAlignment="1">
      <alignment horizontal="center"/>
    </xf>
    <xf numFmtId="2" fontId="25" fillId="0" borderId="56" xfId="3" applyNumberFormat="1" applyFont="1" applyFill="1" applyBorder="1" applyAlignment="1">
      <alignment horizontal="center"/>
    </xf>
    <xf numFmtId="0" fontId="25" fillId="0" borderId="131" xfId="3" applyFont="1" applyFill="1" applyBorder="1" applyAlignment="1">
      <alignment horizontal="center"/>
    </xf>
    <xf numFmtId="2" fontId="25" fillId="3" borderId="131" xfId="3" applyNumberFormat="1" applyFont="1" applyFill="1" applyBorder="1" applyAlignment="1">
      <alignment horizontal="center"/>
    </xf>
    <xf numFmtId="0" fontId="20" fillId="0" borderId="132" xfId="3" applyFont="1" applyFill="1" applyBorder="1"/>
    <xf numFmtId="0" fontId="20" fillId="0" borderId="133" xfId="3" applyFont="1" applyFill="1" applyBorder="1" applyAlignment="1">
      <alignment horizontal="right"/>
    </xf>
    <xf numFmtId="0" fontId="20" fillId="0" borderId="133" xfId="3" applyFont="1" applyFill="1" applyBorder="1"/>
    <xf numFmtId="0" fontId="20" fillId="0" borderId="134" xfId="3" applyFont="1" applyFill="1" applyBorder="1" applyAlignment="1">
      <alignment horizontal="right"/>
    </xf>
    <xf numFmtId="2" fontId="8" fillId="0" borderId="61" xfId="3" applyNumberFormat="1" applyFont="1" applyFill="1" applyBorder="1" applyAlignment="1">
      <alignment horizontal="center"/>
    </xf>
    <xf numFmtId="2" fontId="8" fillId="3" borderId="130" xfId="3" applyNumberFormat="1" applyFont="1" applyFill="1" applyBorder="1" applyAlignment="1">
      <alignment horizontal="center"/>
    </xf>
    <xf numFmtId="0" fontId="25" fillId="0" borderId="15" xfId="3" applyFont="1" applyFill="1" applyBorder="1" applyAlignment="1">
      <alignment horizontal="center"/>
    </xf>
    <xf numFmtId="2" fontId="8" fillId="0" borderId="15" xfId="3" applyNumberFormat="1" applyFont="1" applyFill="1" applyBorder="1" applyAlignment="1">
      <alignment horizontal="center"/>
    </xf>
    <xf numFmtId="2" fontId="8" fillId="0" borderId="64" xfId="3" applyNumberFormat="1" applyFont="1" applyFill="1" applyBorder="1" applyAlignment="1">
      <alignment horizontal="center"/>
    </xf>
    <xf numFmtId="0" fontId="20" fillId="0" borderId="135" xfId="3" applyFont="1" applyFill="1" applyBorder="1"/>
    <xf numFmtId="0" fontId="9" fillId="0" borderId="136" xfId="3" applyFont="1" applyFill="1" applyBorder="1"/>
    <xf numFmtId="165" fontId="8" fillId="0" borderId="71" xfId="3" applyNumberFormat="1" applyFont="1" applyFill="1" applyBorder="1" applyAlignment="1">
      <alignment horizontal="right"/>
    </xf>
    <xf numFmtId="166" fontId="8" fillId="0" borderId="71" xfId="3" applyNumberFormat="1" applyFont="1" applyFill="1" applyBorder="1" applyAlignment="1">
      <alignment horizontal="right"/>
    </xf>
    <xf numFmtId="166" fontId="8" fillId="0" borderId="64" xfId="3" applyNumberFormat="1" applyFont="1" applyFill="1" applyBorder="1" applyAlignment="1">
      <alignment horizontal="right"/>
    </xf>
    <xf numFmtId="0" fontId="8" fillId="0" borderId="18" xfId="3" applyFont="1" applyBorder="1"/>
    <xf numFmtId="0" fontId="9" fillId="0" borderId="18" xfId="3" applyFont="1" applyBorder="1" applyAlignment="1">
      <alignment horizontal="right"/>
    </xf>
    <xf numFmtId="0" fontId="9" fillId="0" borderId="18" xfId="3" quotePrefix="1" applyFont="1" applyBorder="1" applyAlignment="1">
      <alignment horizontal="right"/>
    </xf>
    <xf numFmtId="17" fontId="9" fillId="0" borderId="18" xfId="3" quotePrefix="1" applyNumberFormat="1" applyFont="1" applyBorder="1" applyAlignment="1">
      <alignment horizontal="right"/>
    </xf>
    <xf numFmtId="0" fontId="9" fillId="0" borderId="6" xfId="3" applyFont="1" applyBorder="1" applyAlignment="1">
      <alignment horizontal="right"/>
    </xf>
    <xf numFmtId="17" fontId="9" fillId="0" borderId="6" xfId="3" quotePrefix="1" applyNumberFormat="1" applyFont="1" applyBorder="1" applyAlignment="1">
      <alignment horizontal="right"/>
    </xf>
    <xf numFmtId="17" fontId="9" fillId="0" borderId="8" xfId="3" quotePrefix="1" applyNumberFormat="1" applyFont="1" applyBorder="1" applyAlignment="1">
      <alignment horizontal="right"/>
    </xf>
    <xf numFmtId="0" fontId="0" fillId="0" borderId="12" xfId="3" applyFont="1" applyBorder="1" applyProtection="1">
      <protection locked="0"/>
    </xf>
    <xf numFmtId="166" fontId="0" fillId="0" borderId="12" xfId="3" applyNumberFormat="1" applyFont="1" applyBorder="1" applyProtection="1">
      <protection locked="0"/>
    </xf>
    <xf numFmtId="168" fontId="9" fillId="3" borderId="43" xfId="3" applyNumberFormat="1" applyFont="1" applyFill="1" applyBorder="1" applyAlignment="1">
      <alignment horizontal="right"/>
    </xf>
    <xf numFmtId="0" fontId="20" fillId="0" borderId="24" xfId="3" quotePrefix="1" applyFont="1" applyFill="1" applyBorder="1" applyAlignment="1">
      <alignment horizontal="right"/>
    </xf>
    <xf numFmtId="0" fontId="20" fillId="0" borderId="42" xfId="3" applyFont="1" applyFill="1" applyBorder="1" applyAlignment="1">
      <alignment horizontal="right"/>
    </xf>
    <xf numFmtId="3" fontId="17" fillId="0" borderId="12" xfId="15" applyNumberFormat="1" applyFont="1" applyFill="1" applyBorder="1" applyAlignment="1">
      <alignment horizontal="right"/>
    </xf>
    <xf numFmtId="3" fontId="20" fillId="0" borderId="16" xfId="15" applyNumberFormat="1" applyFont="1" applyFill="1" applyBorder="1" applyAlignment="1">
      <alignment horizontal="right"/>
    </xf>
    <xf numFmtId="0" fontId="41" fillId="0" borderId="24" xfId="3" quotePrefix="1" applyFont="1" applyBorder="1" applyAlignment="1">
      <alignment horizontal="right"/>
    </xf>
    <xf numFmtId="196" fontId="25" fillId="3" borderId="42" xfId="3" applyNumberFormat="1" applyFont="1" applyFill="1" applyBorder="1" applyAlignment="1" applyProtection="1">
      <alignment horizontal="right"/>
    </xf>
    <xf numFmtId="196" fontId="41" fillId="0" borderId="12" xfId="3" applyNumberFormat="1" applyFont="1" applyBorder="1" applyAlignment="1" applyProtection="1">
      <alignment horizontal="right"/>
    </xf>
    <xf numFmtId="196" fontId="25" fillId="0" borderId="12" xfId="3" applyNumberFormat="1" applyFont="1" applyBorder="1" applyAlignment="1" applyProtection="1">
      <alignment horizontal="right"/>
    </xf>
    <xf numFmtId="183" fontId="25" fillId="0" borderId="42" xfId="3" applyNumberFormat="1" applyFont="1" applyBorder="1" applyAlignment="1">
      <alignment horizontal="right"/>
    </xf>
    <xf numFmtId="183" fontId="25" fillId="0" borderId="12" xfId="3" applyNumberFormat="1" applyFont="1" applyBorder="1" applyAlignment="1">
      <alignment horizontal="right"/>
    </xf>
    <xf numFmtId="183" fontId="25" fillId="0" borderId="16" xfId="3" applyNumberFormat="1" applyFont="1" applyBorder="1" applyAlignment="1">
      <alignment horizontal="right"/>
    </xf>
    <xf numFmtId="183" fontId="41" fillId="0" borderId="16" xfId="3" applyNumberFormat="1" applyFont="1" applyFill="1" applyBorder="1" applyAlignment="1">
      <alignment horizontal="right"/>
    </xf>
    <xf numFmtId="0" fontId="41" fillId="0" borderId="24" xfId="3" applyFont="1" applyFill="1" applyBorder="1" applyAlignment="1" applyProtection="1">
      <alignment horizontal="right"/>
      <protection locked="0"/>
    </xf>
    <xf numFmtId="183" fontId="25" fillId="0" borderId="12" xfId="3" applyNumberFormat="1" applyFont="1" applyFill="1" applyBorder="1" applyAlignment="1">
      <alignment horizontal="right"/>
    </xf>
    <xf numFmtId="183" fontId="25" fillId="0" borderId="16" xfId="3" applyNumberFormat="1" applyFont="1" applyFill="1" applyBorder="1" applyAlignment="1">
      <alignment horizontal="right"/>
    </xf>
    <xf numFmtId="0" fontId="20" fillId="3" borderId="24" xfId="3" applyFont="1" applyFill="1" applyBorder="1" applyAlignment="1" applyProtection="1">
      <alignment horizontal="center" vertical="top" wrapText="1"/>
      <protection locked="0"/>
    </xf>
    <xf numFmtId="183" fontId="8" fillId="3" borderId="12" xfId="3" applyNumberFormat="1" applyFont="1" applyFill="1" applyBorder="1" applyAlignment="1">
      <alignment horizontal="center" vertical="top"/>
    </xf>
    <xf numFmtId="9" fontId="9" fillId="3" borderId="43" xfId="2" applyFont="1" applyFill="1" applyBorder="1" applyAlignment="1">
      <alignment horizontal="center" vertical="top"/>
    </xf>
    <xf numFmtId="0" fontId="9" fillId="3" borderId="24" xfId="3" applyFont="1" applyFill="1" applyBorder="1" applyAlignment="1" applyProtection="1">
      <alignment horizontal="center" vertical="top" wrapText="1"/>
      <protection locked="0"/>
    </xf>
    <xf numFmtId="183" fontId="8" fillId="3" borderId="12" xfId="3" applyNumberFormat="1" applyFont="1" applyFill="1" applyBorder="1" applyAlignment="1">
      <alignment horizontal="center"/>
    </xf>
    <xf numFmtId="9" fontId="20" fillId="0" borderId="43" xfId="2" applyFont="1" applyBorder="1" applyAlignment="1">
      <alignment horizontal="center" vertical="top"/>
    </xf>
    <xf numFmtId="0" fontId="8" fillId="0" borderId="12" xfId="3" applyFont="1" applyFill="1" applyBorder="1" applyAlignment="1">
      <alignment horizontal="right"/>
    </xf>
    <xf numFmtId="0" fontId="8" fillId="0" borderId="16" xfId="3" applyFont="1" applyFill="1" applyBorder="1" applyAlignment="1">
      <alignment horizontal="right"/>
    </xf>
    <xf numFmtId="0" fontId="9" fillId="3" borderId="24" xfId="15" applyFont="1" applyFill="1" applyBorder="1" applyAlignment="1">
      <alignment horizontal="right"/>
    </xf>
    <xf numFmtId="3" fontId="8" fillId="0" borderId="12" xfId="3" applyNumberFormat="1" applyFont="1" applyFill="1" applyBorder="1"/>
    <xf numFmtId="3" fontId="8" fillId="0" borderId="12" xfId="3" applyNumberFormat="1" applyFont="1" applyFill="1" applyBorder="1" applyAlignment="1">
      <alignment horizontal="left"/>
    </xf>
    <xf numFmtId="170" fontId="8" fillId="0" borderId="16" xfId="3" applyNumberFormat="1" applyFont="1" applyFill="1" applyBorder="1"/>
    <xf numFmtId="166" fontId="8" fillId="0" borderId="4" xfId="3" applyNumberFormat="1" applyFont="1" applyFill="1" applyBorder="1" applyAlignment="1">
      <alignment horizontal="right"/>
    </xf>
    <xf numFmtId="170" fontId="8" fillId="3" borderId="4" xfId="3" applyNumberFormat="1" applyFont="1" applyFill="1" applyBorder="1" applyAlignment="1">
      <alignment horizontal="right"/>
    </xf>
    <xf numFmtId="0" fontId="8" fillId="0" borderId="24" xfId="3" applyFont="1" applyFill="1" applyBorder="1"/>
    <xf numFmtId="0" fontId="9" fillId="0" borderId="24" xfId="3" quotePrefix="1" applyFont="1" applyFill="1" applyBorder="1" applyAlignment="1">
      <alignment horizontal="right"/>
    </xf>
    <xf numFmtId="0" fontId="8" fillId="0" borderId="42" xfId="3" applyFont="1" applyFill="1" applyBorder="1"/>
    <xf numFmtId="0" fontId="9" fillId="0" borderId="16" xfId="3" applyFont="1" applyFill="1" applyBorder="1"/>
    <xf numFmtId="1" fontId="8" fillId="0" borderId="12" xfId="3" quotePrefix="1" applyNumberFormat="1" applyFont="1" applyFill="1" applyBorder="1" applyAlignment="1">
      <alignment horizontal="right"/>
    </xf>
    <xf numFmtId="1" fontId="9" fillId="3" borderId="41" xfId="3" applyNumberFormat="1" applyFont="1" applyFill="1" applyBorder="1" applyAlignment="1">
      <alignment horizontal="right" wrapText="1"/>
    </xf>
    <xf numFmtId="1" fontId="8" fillId="3" borderId="12" xfId="3" quotePrefix="1" applyNumberFormat="1" applyFont="1" applyFill="1" applyBorder="1" applyAlignment="1">
      <alignment horizontal="right"/>
    </xf>
    <xf numFmtId="1" fontId="9" fillId="3" borderId="16" xfId="3" applyNumberFormat="1" applyFont="1" applyFill="1" applyBorder="1" applyAlignment="1">
      <alignment horizontal="right" wrapText="1"/>
    </xf>
    <xf numFmtId="0" fontId="8" fillId="0" borderId="18" xfId="3" applyFont="1" applyFill="1" applyBorder="1" applyAlignment="1">
      <alignment wrapText="1"/>
    </xf>
    <xf numFmtId="0" fontId="9" fillId="0" borderId="56" xfId="3" applyFont="1" applyFill="1" applyBorder="1" applyAlignment="1">
      <alignment horizontal="right" vertical="center"/>
    </xf>
    <xf numFmtId="0" fontId="9" fillId="0" borderId="61" xfId="3" applyFont="1" applyFill="1" applyBorder="1" applyAlignment="1">
      <alignment horizontal="right" vertical="center"/>
    </xf>
    <xf numFmtId="0" fontId="59" fillId="0" borderId="0" xfId="3" applyFont="1" applyFill="1" applyBorder="1" applyAlignment="1">
      <alignment vertical="top"/>
    </xf>
    <xf numFmtId="2" fontId="8" fillId="0" borderId="15" xfId="3" applyNumberFormat="1" applyFont="1" applyFill="1" applyBorder="1"/>
    <xf numFmtId="2" fontId="8" fillId="0" borderId="0" xfId="3" applyNumberFormat="1" applyFont="1" applyFill="1" applyBorder="1"/>
    <xf numFmtId="0" fontId="9" fillId="0" borderId="18" xfId="3" applyFont="1" applyFill="1" applyBorder="1" applyAlignment="1">
      <alignment horizontal="left" vertical="center"/>
    </xf>
    <xf numFmtId="10" fontId="44" fillId="0" borderId="0" xfId="0" applyNumberFormat="1" applyFont="1" applyFill="1" applyBorder="1" applyAlignment="1">
      <alignment horizontal="left" vertical="center" wrapText="1"/>
    </xf>
    <xf numFmtId="10" fontId="8" fillId="0" borderId="11" xfId="2" applyNumberFormat="1" applyFont="1" applyFill="1" applyBorder="1" applyAlignment="1"/>
    <xf numFmtId="10" fontId="8" fillId="0" borderId="11" xfId="2" applyNumberFormat="1" applyFont="1" applyFill="1" applyBorder="1"/>
    <xf numFmtId="10" fontId="8" fillId="0" borderId="63" xfId="2" applyNumberFormat="1" applyFont="1" applyFill="1" applyBorder="1"/>
    <xf numFmtId="10" fontId="8" fillId="0" borderId="91" xfId="2" applyNumberFormat="1" applyFont="1" applyFill="1" applyBorder="1"/>
    <xf numFmtId="10" fontId="8" fillId="0" borderId="67" xfId="2" applyNumberFormat="1" applyFont="1" applyFill="1" applyBorder="1"/>
    <xf numFmtId="170" fontId="8" fillId="0" borderId="15" xfId="2" applyNumberFormat="1" applyFont="1" applyFill="1" applyBorder="1"/>
    <xf numFmtId="170" fontId="8" fillId="0" borderId="64" xfId="2" applyNumberFormat="1" applyFont="1" applyFill="1" applyBorder="1"/>
    <xf numFmtId="0" fontId="8" fillId="0" borderId="26" xfId="3" applyFont="1" applyFill="1" applyBorder="1"/>
    <xf numFmtId="0" fontId="129" fillId="0" borderId="0" xfId="3" applyFont="1" applyFill="1"/>
    <xf numFmtId="10" fontId="129" fillId="0" borderId="0" xfId="2" applyNumberFormat="1" applyFont="1" applyFill="1"/>
    <xf numFmtId="0" fontId="84" fillId="0" borderId="0" xfId="3" applyFont="1" applyFill="1"/>
    <xf numFmtId="0" fontId="130" fillId="0" borderId="0" xfId="3" applyFont="1" applyFill="1"/>
    <xf numFmtId="0" fontId="9" fillId="0" borderId="18" xfId="3" applyFont="1" applyFill="1" applyBorder="1" applyAlignment="1">
      <alignment horizontal="center" vertical="center"/>
    </xf>
    <xf numFmtId="0" fontId="59" fillId="0" borderId="0" xfId="3" applyFont="1" applyFill="1" applyAlignment="1">
      <alignment vertical="top"/>
    </xf>
    <xf numFmtId="0" fontId="8" fillId="0" borderId="9" xfId="3" applyFont="1" applyFill="1" applyBorder="1" applyAlignment="1">
      <alignment vertical="center" wrapText="1"/>
    </xf>
    <xf numFmtId="170" fontId="8" fillId="0" borderId="11" xfId="2" applyNumberFormat="1" applyFont="1" applyFill="1" applyBorder="1"/>
    <xf numFmtId="170" fontId="8" fillId="0" borderId="12" xfId="2" applyNumberFormat="1" applyFont="1" applyFill="1" applyBorder="1"/>
    <xf numFmtId="170" fontId="8" fillId="0" borderId="67" xfId="2" applyNumberFormat="1" applyFont="1" applyFill="1" applyBorder="1"/>
    <xf numFmtId="170" fontId="8" fillId="0" borderId="26" xfId="2" applyNumberFormat="1" applyFont="1" applyFill="1" applyBorder="1"/>
    <xf numFmtId="0" fontId="8" fillId="0" borderId="0" xfId="3" applyFont="1" applyFill="1" applyBorder="1" applyAlignment="1">
      <alignment vertical="center" wrapText="1"/>
    </xf>
    <xf numFmtId="2" fontId="8" fillId="0" borderId="11" xfId="3" applyNumberFormat="1" applyFont="1" applyFill="1" applyBorder="1"/>
    <xf numFmtId="2" fontId="8" fillId="0" borderId="59" xfId="3" applyNumberFormat="1" applyFont="1" applyFill="1" applyBorder="1"/>
    <xf numFmtId="2" fontId="8" fillId="0" borderId="62" xfId="3" applyNumberFormat="1" applyFont="1" applyFill="1" applyBorder="1"/>
    <xf numFmtId="2" fontId="8" fillId="0" borderId="63" xfId="3" applyNumberFormat="1" applyFont="1" applyFill="1" applyBorder="1"/>
    <xf numFmtId="0" fontId="128" fillId="0" borderId="4" xfId="3" applyFont="1" applyFill="1" applyBorder="1" applyAlignment="1">
      <alignment wrapText="1"/>
    </xf>
    <xf numFmtId="2" fontId="128" fillId="0" borderId="15" xfId="3" applyNumberFormat="1" applyFont="1" applyFill="1" applyBorder="1"/>
    <xf numFmtId="168" fontId="17" fillId="3" borderId="19" xfId="5" applyNumberFormat="1" applyFont="1" applyFill="1" applyBorder="1" applyAlignment="1">
      <alignment horizontal="right"/>
    </xf>
    <xf numFmtId="0" fontId="131" fillId="0" borderId="0" xfId="3" applyFont="1" applyFill="1" applyAlignment="1" applyProtection="1">
      <alignment horizontal="right" vertical="top"/>
    </xf>
    <xf numFmtId="0" fontId="131" fillId="0" borderId="0" xfId="3" applyFont="1" applyFill="1" applyProtection="1">
      <protection locked="0"/>
    </xf>
    <xf numFmtId="0" fontId="132" fillId="0" borderId="0" xfId="3" applyFont="1" applyFill="1" applyAlignment="1" applyProtection="1">
      <alignment horizontal="left" vertical="top"/>
      <protection locked="0"/>
    </xf>
    <xf numFmtId="0" fontId="132" fillId="0" borderId="0" xfId="3" applyFont="1" applyFill="1" applyAlignment="1" applyProtection="1">
      <alignment horizontal="right" vertical="top"/>
      <protection locked="0"/>
    </xf>
    <xf numFmtId="0" fontId="133" fillId="0" borderId="9" xfId="3" applyFont="1" applyFill="1" applyBorder="1" applyAlignment="1" applyProtection="1">
      <alignment horizontal="right" vertical="top" wrapText="1"/>
      <protection locked="0"/>
    </xf>
    <xf numFmtId="0" fontId="133" fillId="0" borderId="0" xfId="3" applyFont="1" applyFill="1" applyBorder="1" applyAlignment="1" applyProtection="1">
      <alignment horizontal="right" vertical="top" wrapText="1"/>
      <protection locked="0"/>
    </xf>
    <xf numFmtId="17" fontId="133" fillId="0" borderId="12" xfId="3" applyNumberFormat="1" applyFont="1" applyFill="1" applyBorder="1" applyAlignment="1" applyProtection="1">
      <alignment horizontal="right" vertical="top" wrapText="1"/>
      <protection locked="0"/>
    </xf>
    <xf numFmtId="0" fontId="133" fillId="2" borderId="9" xfId="3" applyFont="1" applyFill="1" applyBorder="1" applyAlignment="1" applyProtection="1">
      <alignment horizontal="right" vertical="top" wrapText="1"/>
      <protection locked="0"/>
    </xf>
    <xf numFmtId="0" fontId="133" fillId="2" borderId="0" xfId="3" applyFont="1" applyFill="1" applyBorder="1" applyAlignment="1" applyProtection="1">
      <alignment horizontal="right" vertical="top" wrapText="1"/>
      <protection locked="0"/>
    </xf>
    <xf numFmtId="17" fontId="133" fillId="2" borderId="12" xfId="3" applyNumberFormat="1" applyFont="1" applyFill="1" applyBorder="1" applyAlignment="1" applyProtection="1">
      <alignment horizontal="right" vertical="top" wrapText="1"/>
      <protection locked="0"/>
    </xf>
    <xf numFmtId="0" fontId="134" fillId="0" borderId="0" xfId="3" applyFont="1" applyFill="1" applyBorder="1" applyAlignment="1" applyProtection="1">
      <alignment horizontal="right" vertical="top" wrapText="1"/>
      <protection locked="0"/>
    </xf>
    <xf numFmtId="166" fontId="131" fillId="0" borderId="13" xfId="3" applyNumberFormat="1" applyFont="1" applyFill="1" applyBorder="1" applyProtection="1">
      <protection locked="0"/>
    </xf>
    <xf numFmtId="166" fontId="131" fillId="0" borderId="4" xfId="3" applyNumberFormat="1" applyFont="1" applyFill="1" applyBorder="1" applyProtection="1">
      <protection locked="0"/>
    </xf>
    <xf numFmtId="166" fontId="131" fillId="0" borderId="16" xfId="3" applyNumberFormat="1" applyFont="1" applyFill="1" applyBorder="1" applyProtection="1">
      <protection locked="0"/>
    </xf>
    <xf numFmtId="166" fontId="131" fillId="2" borderId="13" xfId="3" applyNumberFormat="1" applyFont="1" applyFill="1" applyBorder="1" applyProtection="1">
      <protection locked="0"/>
    </xf>
    <xf numFmtId="166" fontId="131" fillId="2" borderId="4" xfId="3" applyNumberFormat="1" applyFont="1" applyFill="1" applyBorder="1" applyProtection="1">
      <protection locked="0"/>
    </xf>
    <xf numFmtId="166" fontId="131" fillId="2" borderId="16" xfId="3" applyNumberFormat="1" applyFont="1" applyFill="1" applyBorder="1" applyProtection="1">
      <protection locked="0"/>
    </xf>
    <xf numFmtId="172" fontId="134" fillId="0" borderId="0" xfId="7" applyNumberFormat="1" applyFont="1" applyFill="1" applyBorder="1" applyAlignment="1" applyProtection="1"/>
    <xf numFmtId="172" fontId="134" fillId="0" borderId="0" xfId="3" applyNumberFormat="1" applyFont="1" applyFill="1" applyBorder="1" applyAlignment="1" applyProtection="1"/>
    <xf numFmtId="172" fontId="134" fillId="4" borderId="0" xfId="3" applyNumberFormat="1" applyFont="1" applyFill="1" applyBorder="1" applyAlignment="1" applyProtection="1"/>
    <xf numFmtId="172" fontId="134" fillId="3" borderId="0" xfId="3" applyNumberFormat="1" applyFont="1" applyFill="1" applyBorder="1" applyAlignment="1" applyProtection="1"/>
    <xf numFmtId="172" fontId="134" fillId="2" borderId="0" xfId="3" applyNumberFormat="1" applyFont="1" applyFill="1" applyBorder="1" applyAlignment="1" applyProtection="1"/>
    <xf numFmtId="0" fontId="131" fillId="0" borderId="0" xfId="3" applyFont="1" applyFill="1" applyBorder="1" applyProtection="1">
      <protection locked="0"/>
    </xf>
    <xf numFmtId="0" fontId="131" fillId="3" borderId="0" xfId="3" applyFont="1" applyFill="1" applyBorder="1" applyProtection="1">
      <protection locked="0"/>
    </xf>
    <xf numFmtId="172" fontId="131" fillId="0" borderId="0" xfId="3" applyNumberFormat="1" applyFont="1" applyFill="1" applyBorder="1" applyProtection="1">
      <protection locked="0"/>
    </xf>
    <xf numFmtId="0" fontId="135" fillId="0" borderId="0" xfId="3" applyFont="1" applyFill="1" applyBorder="1" applyAlignment="1" applyProtection="1">
      <alignment vertical="top"/>
    </xf>
    <xf numFmtId="0" fontId="135" fillId="0" borderId="0" xfId="3" quotePrefix="1" applyFont="1" applyFill="1" applyBorder="1" applyAlignment="1" applyProtection="1">
      <alignment vertical="top" wrapText="1"/>
    </xf>
    <xf numFmtId="0" fontId="135" fillId="0" borderId="0" xfId="3" applyFont="1" applyFill="1" applyBorder="1" applyAlignment="1" applyProtection="1">
      <alignment vertical="top" wrapText="1"/>
    </xf>
    <xf numFmtId="0" fontId="135" fillId="0" borderId="9" xfId="3" applyFont="1" applyFill="1" applyBorder="1" applyAlignment="1" applyProtection="1">
      <alignment vertical="top" wrapText="1"/>
    </xf>
    <xf numFmtId="17" fontId="135" fillId="0" borderId="12" xfId="3" applyNumberFormat="1" applyFont="1" applyFill="1" applyBorder="1" applyAlignment="1" applyProtection="1">
      <alignment vertical="top" wrapText="1"/>
    </xf>
    <xf numFmtId="0" fontId="135" fillId="2" borderId="9" xfId="3" applyFont="1" applyFill="1" applyBorder="1" applyAlignment="1" applyProtection="1">
      <alignment vertical="top" wrapText="1"/>
    </xf>
    <xf numFmtId="0" fontId="135" fillId="2" borderId="0" xfId="3" applyFont="1" applyFill="1" applyBorder="1" applyAlignment="1" applyProtection="1">
      <alignment vertical="top" wrapText="1"/>
    </xf>
    <xf numFmtId="17" fontId="135" fillId="2" borderId="12" xfId="3" applyNumberFormat="1" applyFont="1" applyFill="1" applyBorder="1" applyAlignment="1" applyProtection="1">
      <alignment vertical="top" wrapText="1"/>
    </xf>
    <xf numFmtId="0" fontId="136" fillId="0" borderId="0" xfId="3" applyFont="1" applyFill="1" applyBorder="1" applyAlignment="1" applyProtection="1">
      <alignment vertical="top"/>
    </xf>
    <xf numFmtId="166" fontId="135" fillId="0" borderId="0" xfId="3" applyNumberFormat="1" applyFont="1" applyFill="1" applyBorder="1" applyAlignment="1" applyProtection="1">
      <protection locked="0"/>
    </xf>
    <xf numFmtId="166" fontId="135" fillId="2" borderId="0" xfId="3" applyNumberFormat="1" applyFont="1" applyFill="1" applyBorder="1" applyAlignment="1" applyProtection="1">
      <protection locked="0"/>
    </xf>
    <xf numFmtId="166" fontId="131" fillId="0" borderId="0" xfId="3" applyNumberFormat="1" applyFont="1" applyFill="1" applyProtection="1">
      <protection locked="0"/>
    </xf>
    <xf numFmtId="166" fontId="131" fillId="2" borderId="0" xfId="3" applyNumberFormat="1" applyFont="1" applyFill="1" applyProtection="1">
      <protection locked="0"/>
    </xf>
    <xf numFmtId="166" fontId="135" fillId="0" borderId="9" xfId="3" applyNumberFormat="1" applyFont="1" applyFill="1" applyBorder="1" applyAlignment="1" applyProtection="1">
      <protection locked="0"/>
    </xf>
    <xf numFmtId="0" fontId="136" fillId="0" borderId="0" xfId="3" applyFont="1" applyFill="1" applyBorder="1" applyAlignment="1" applyProtection="1">
      <protection locked="0"/>
    </xf>
    <xf numFmtId="166" fontId="136" fillId="0" borderId="12" xfId="3" applyNumberFormat="1" applyFont="1" applyFill="1" applyBorder="1" applyAlignment="1" applyProtection="1">
      <protection locked="0"/>
    </xf>
    <xf numFmtId="0" fontId="136" fillId="0" borderId="12" xfId="3" applyFont="1" applyFill="1" applyBorder="1" applyAlignment="1" applyProtection="1">
      <protection locked="0"/>
    </xf>
    <xf numFmtId="166" fontId="135" fillId="2" borderId="9" xfId="3" applyNumberFormat="1" applyFont="1" applyFill="1" applyBorder="1" applyAlignment="1" applyProtection="1">
      <protection locked="0"/>
    </xf>
    <xf numFmtId="0" fontId="136" fillId="2" borderId="0" xfId="3" applyFont="1" applyFill="1" applyBorder="1" applyAlignment="1" applyProtection="1">
      <protection locked="0"/>
    </xf>
    <xf numFmtId="0" fontId="136" fillId="2" borderId="12" xfId="3" applyFont="1" applyFill="1" applyBorder="1" applyAlignment="1" applyProtection="1">
      <protection locked="0"/>
    </xf>
    <xf numFmtId="166" fontId="135" fillId="0" borderId="0" xfId="3" applyNumberFormat="1" applyFont="1" applyFill="1" applyBorder="1" applyAlignment="1" applyProtection="1">
      <alignment wrapText="1"/>
      <protection locked="0"/>
    </xf>
    <xf numFmtId="166" fontId="135" fillId="0" borderId="13" xfId="3" applyNumberFormat="1" applyFont="1" applyFill="1" applyBorder="1" applyAlignment="1" applyProtection="1">
      <protection locked="0"/>
    </xf>
    <xf numFmtId="0" fontId="136" fillId="0" borderId="4" xfId="3" applyFont="1" applyFill="1" applyBorder="1" applyAlignment="1" applyProtection="1">
      <protection locked="0"/>
    </xf>
    <xf numFmtId="166" fontId="136" fillId="0" borderId="16" xfId="3" applyNumberFormat="1" applyFont="1" applyFill="1" applyBorder="1" applyAlignment="1" applyProtection="1">
      <protection locked="0"/>
    </xf>
    <xf numFmtId="0" fontId="136" fillId="0" borderId="16" xfId="3" applyFont="1" applyFill="1" applyBorder="1" applyAlignment="1" applyProtection="1">
      <protection locked="0"/>
    </xf>
    <xf numFmtId="166" fontId="135" fillId="2" borderId="13" xfId="3" applyNumberFormat="1" applyFont="1" applyFill="1" applyBorder="1" applyAlignment="1" applyProtection="1">
      <protection locked="0"/>
    </xf>
    <xf numFmtId="0" fontId="136" fillId="2" borderId="4" xfId="3" applyFont="1" applyFill="1" applyBorder="1" applyAlignment="1" applyProtection="1">
      <protection locked="0"/>
    </xf>
    <xf numFmtId="0" fontId="136" fillId="2" borderId="16" xfId="3" applyFont="1" applyFill="1" applyBorder="1" applyAlignment="1" applyProtection="1">
      <protection locked="0"/>
    </xf>
    <xf numFmtId="0" fontId="134" fillId="0" borderId="0" xfId="3" applyFont="1" applyAlignment="1" applyProtection="1">
      <alignment horizontal="left" vertical="top"/>
    </xf>
    <xf numFmtId="0" fontId="134" fillId="0" borderId="0" xfId="3" applyFont="1" applyAlignment="1" applyProtection="1">
      <alignment horizontal="right" vertical="top"/>
    </xf>
    <xf numFmtId="0" fontId="133" fillId="0" borderId="0" xfId="3" applyFont="1" applyProtection="1">
      <protection locked="0"/>
    </xf>
    <xf numFmtId="0" fontId="133" fillId="0" borderId="0" xfId="3" applyFont="1" applyAlignment="1" applyProtection="1">
      <alignment horizontal="left" vertical="top"/>
    </xf>
    <xf numFmtId="0" fontId="133" fillId="0" borderId="0" xfId="3" applyFont="1" applyAlignment="1" applyProtection="1">
      <alignment horizontal="right" vertical="top"/>
    </xf>
    <xf numFmtId="0" fontId="133" fillId="0" borderId="9" xfId="3" applyFont="1" applyFill="1" applyBorder="1" applyAlignment="1" applyProtection="1">
      <alignment horizontal="right" vertical="top" wrapText="1"/>
    </xf>
    <xf numFmtId="0" fontId="133" fillId="0" borderId="0" xfId="3" applyFont="1" applyFill="1" applyBorder="1" applyAlignment="1" applyProtection="1">
      <alignment horizontal="right" vertical="top" wrapText="1"/>
    </xf>
    <xf numFmtId="17" fontId="133" fillId="0" borderId="12" xfId="3" applyNumberFormat="1" applyFont="1" applyFill="1" applyBorder="1" applyAlignment="1" applyProtection="1">
      <alignment horizontal="right" vertical="top" wrapText="1"/>
    </xf>
    <xf numFmtId="0" fontId="133" fillId="2" borderId="9" xfId="3" applyFont="1" applyFill="1" applyBorder="1" applyAlignment="1" applyProtection="1">
      <alignment horizontal="right" vertical="top" wrapText="1"/>
    </xf>
    <xf numFmtId="0" fontId="133" fillId="2" borderId="0" xfId="3" applyFont="1" applyFill="1" applyBorder="1" applyAlignment="1" applyProtection="1">
      <alignment horizontal="right" vertical="top" wrapText="1"/>
    </xf>
    <xf numFmtId="17" fontId="133" fillId="2" borderId="12" xfId="3" applyNumberFormat="1" applyFont="1" applyFill="1" applyBorder="1" applyAlignment="1" applyProtection="1">
      <alignment horizontal="right" vertical="top" wrapText="1"/>
    </xf>
    <xf numFmtId="0" fontId="133" fillId="0" borderId="0" xfId="3" applyFont="1" applyBorder="1" applyProtection="1">
      <protection locked="0"/>
    </xf>
    <xf numFmtId="0" fontId="134" fillId="0" borderId="0" xfId="3" applyFont="1" applyBorder="1" applyAlignment="1" applyProtection="1">
      <alignment horizontal="left" vertical="top" wrapText="1"/>
    </xf>
    <xf numFmtId="166" fontId="134" fillId="0" borderId="9" xfId="3" applyNumberFormat="1" applyFont="1" applyBorder="1" applyProtection="1">
      <protection locked="0"/>
    </xf>
    <xf numFmtId="166" fontId="134" fillId="0" borderId="0" xfId="3" applyNumberFormat="1" applyFont="1" applyBorder="1" applyProtection="1">
      <protection locked="0"/>
    </xf>
    <xf numFmtId="166" fontId="134" fillId="0" borderId="12" xfId="3" applyNumberFormat="1" applyFont="1" applyBorder="1" applyProtection="1">
      <protection locked="0"/>
    </xf>
    <xf numFmtId="166" fontId="134" fillId="2" borderId="9" xfId="3" applyNumberFormat="1" applyFont="1" applyFill="1" applyBorder="1" applyProtection="1">
      <protection locked="0"/>
    </xf>
    <xf numFmtId="166" fontId="134" fillId="2" borderId="0" xfId="3" applyNumberFormat="1" applyFont="1" applyFill="1" applyBorder="1" applyProtection="1">
      <protection locked="0"/>
    </xf>
    <xf numFmtId="166" fontId="134" fillId="2" borderId="12" xfId="3" applyNumberFormat="1" applyFont="1" applyFill="1" applyBorder="1" applyProtection="1">
      <protection locked="0"/>
    </xf>
    <xf numFmtId="0" fontId="131" fillId="0" borderId="0" xfId="3" applyFont="1" applyAlignment="1" applyProtection="1">
      <alignment horizontal="left" vertical="top"/>
    </xf>
    <xf numFmtId="0" fontId="131" fillId="0" borderId="0" xfId="3" applyFont="1" applyAlignment="1" applyProtection="1">
      <alignment horizontal="right" vertical="top"/>
    </xf>
    <xf numFmtId="0" fontId="131" fillId="0" borderId="0" xfId="3" applyFont="1" applyProtection="1">
      <protection locked="0"/>
    </xf>
    <xf numFmtId="166" fontId="134" fillId="0" borderId="0" xfId="3" applyNumberFormat="1" applyFont="1" applyFill="1" applyAlignment="1" applyProtection="1">
      <alignment horizontal="center"/>
      <protection locked="0"/>
    </xf>
    <xf numFmtId="166" fontId="131" fillId="3" borderId="0" xfId="0" applyNumberFormat="1" applyFont="1" applyFill="1" applyAlignment="1">
      <alignment horizontal="center"/>
    </xf>
    <xf numFmtId="0" fontId="133" fillId="0" borderId="0" xfId="3" applyFont="1" applyFill="1" applyProtection="1">
      <protection locked="0"/>
    </xf>
    <xf numFmtId="17" fontId="133" fillId="0" borderId="0" xfId="3" applyNumberFormat="1" applyFont="1" applyFill="1" applyBorder="1" applyAlignment="1" applyProtection="1">
      <alignment horizontal="right" vertical="top" wrapText="1"/>
    </xf>
    <xf numFmtId="17" fontId="133" fillId="3" borderId="0" xfId="3" applyNumberFormat="1" applyFont="1" applyFill="1" applyBorder="1" applyAlignment="1" applyProtection="1">
      <alignment horizontal="right" vertical="top" wrapText="1"/>
    </xf>
    <xf numFmtId="0" fontId="133" fillId="3" borderId="0" xfId="3" applyFont="1" applyFill="1" applyBorder="1" applyAlignment="1" applyProtection="1">
      <alignment horizontal="right" vertical="top" wrapText="1"/>
    </xf>
    <xf numFmtId="0" fontId="133" fillId="0" borderId="0" xfId="3" applyFont="1" applyAlignment="1" applyProtection="1">
      <alignment horizontal="right"/>
      <protection locked="0"/>
    </xf>
    <xf numFmtId="0" fontId="131" fillId="0" borderId="0" xfId="3" applyFont="1" applyAlignment="1" applyProtection="1">
      <alignment horizontal="right"/>
      <protection locked="0"/>
    </xf>
    <xf numFmtId="0" fontId="134" fillId="0" borderId="0" xfId="3" applyFont="1" applyBorder="1" applyAlignment="1" applyProtection="1">
      <alignment horizontal="right" vertical="top" wrapText="1"/>
    </xf>
    <xf numFmtId="0" fontId="133" fillId="3" borderId="9" xfId="3" applyFont="1" applyFill="1" applyBorder="1" applyAlignment="1" applyProtection="1">
      <alignment horizontal="right" vertical="top" wrapText="1"/>
    </xf>
    <xf numFmtId="1" fontId="131" fillId="0" borderId="0" xfId="3" applyNumberFormat="1" applyFont="1" applyProtection="1">
      <protection locked="0"/>
    </xf>
    <xf numFmtId="1" fontId="133" fillId="0" borderId="13" xfId="3" applyNumberFormat="1" applyFont="1" applyBorder="1" applyProtection="1">
      <protection locked="0"/>
    </xf>
    <xf numFmtId="1" fontId="133" fillId="0" borderId="4" xfId="3" applyNumberFormat="1" applyFont="1" applyBorder="1" applyProtection="1">
      <protection locked="0"/>
    </xf>
    <xf numFmtId="1" fontId="133" fillId="0" borderId="16" xfId="3" applyNumberFormat="1" applyFont="1" applyBorder="1" applyProtection="1">
      <protection locked="0"/>
    </xf>
    <xf numFmtId="1" fontId="133" fillId="3" borderId="13" xfId="3" applyNumberFormat="1" applyFont="1" applyFill="1" applyBorder="1" applyProtection="1">
      <protection locked="0"/>
    </xf>
    <xf numFmtId="1" fontId="133" fillId="3" borderId="4" xfId="3" applyNumberFormat="1" applyFont="1" applyFill="1" applyBorder="1" applyProtection="1">
      <protection locked="0"/>
    </xf>
    <xf numFmtId="1" fontId="133" fillId="0" borderId="26" xfId="3" applyNumberFormat="1" applyFont="1" applyBorder="1" applyProtection="1">
      <protection locked="0"/>
    </xf>
    <xf numFmtId="1" fontId="131" fillId="3" borderId="0" xfId="0" applyNumberFormat="1" applyFont="1" applyFill="1" applyAlignment="1">
      <alignment horizontal="center"/>
    </xf>
    <xf numFmtId="0" fontId="131" fillId="3" borderId="0" xfId="3" applyFont="1" applyFill="1" applyProtection="1">
      <protection locked="0"/>
    </xf>
    <xf numFmtId="0" fontId="131" fillId="0" borderId="0" xfId="3" applyFont="1" applyFill="1" applyAlignment="1" applyProtection="1">
      <alignment horizontal="left" vertical="top"/>
    </xf>
    <xf numFmtId="0" fontId="134" fillId="0" borderId="23" xfId="3" applyFont="1" applyFill="1" applyBorder="1" applyProtection="1"/>
    <xf numFmtId="0" fontId="138" fillId="0" borderId="27" xfId="8" applyFont="1" applyBorder="1" applyAlignment="1" applyProtection="1">
      <alignment horizontal="right"/>
    </xf>
    <xf numFmtId="49" fontId="138" fillId="0" borderId="27" xfId="8" applyNumberFormat="1" applyFont="1" applyBorder="1" applyAlignment="1" applyProtection="1">
      <alignment horizontal="right"/>
    </xf>
    <xf numFmtId="49" fontId="138" fillId="7" borderId="27" xfId="8" applyNumberFormat="1" applyFont="1" applyFill="1" applyBorder="1" applyAlignment="1" applyProtection="1">
      <alignment horizontal="right"/>
    </xf>
    <xf numFmtId="49" fontId="138" fillId="8" borderId="28" xfId="8" applyNumberFormat="1" applyFont="1" applyFill="1" applyBorder="1" applyAlignment="1" applyProtection="1">
      <alignment horizontal="right"/>
    </xf>
    <xf numFmtId="0" fontId="134" fillId="0" borderId="0" xfId="3" applyFont="1" applyFill="1" applyBorder="1" applyProtection="1"/>
    <xf numFmtId="0" fontId="134" fillId="0" borderId="0" xfId="8" applyFont="1" applyBorder="1" applyAlignment="1" applyProtection="1">
      <alignment horizontal="right"/>
    </xf>
    <xf numFmtId="176" fontId="134" fillId="0" borderId="0" xfId="8" applyNumberFormat="1" applyFont="1" applyBorder="1" applyAlignment="1" applyProtection="1">
      <alignment horizontal="right"/>
    </xf>
    <xf numFmtId="176" fontId="134" fillId="7" borderId="0" xfId="8" applyNumberFormat="1" applyFont="1" applyFill="1" applyBorder="1" applyAlignment="1" applyProtection="1">
      <alignment horizontal="right"/>
    </xf>
    <xf numFmtId="176" fontId="134" fillId="8" borderId="0" xfId="8" applyNumberFormat="1" applyFont="1" applyFill="1" applyBorder="1" applyAlignment="1" applyProtection="1">
      <alignment horizontal="right"/>
    </xf>
    <xf numFmtId="176" fontId="134" fillId="8" borderId="12" xfId="8" applyNumberFormat="1" applyFont="1" applyFill="1" applyBorder="1" applyAlignment="1" applyProtection="1">
      <alignment horizontal="right"/>
    </xf>
    <xf numFmtId="176" fontId="134" fillId="0" borderId="12" xfId="8" applyNumberFormat="1" applyFont="1" applyFill="1" applyBorder="1" applyAlignment="1" applyProtection="1">
      <alignment horizontal="right"/>
    </xf>
    <xf numFmtId="0" fontId="134" fillId="0" borderId="21" xfId="3" applyFont="1" applyFill="1" applyBorder="1" applyProtection="1"/>
    <xf numFmtId="0" fontId="134" fillId="0" borderId="30" xfId="8" applyFont="1" applyBorder="1" applyAlignment="1" applyProtection="1">
      <alignment horizontal="right"/>
    </xf>
    <xf numFmtId="176" fontId="134" fillId="0" borderId="30" xfId="8" applyNumberFormat="1" applyFont="1" applyBorder="1" applyAlignment="1" applyProtection="1">
      <alignment horizontal="right"/>
    </xf>
    <xf numFmtId="176" fontId="134" fillId="7" borderId="30" xfId="8" applyNumberFormat="1" applyFont="1" applyFill="1" applyBorder="1" applyAlignment="1" applyProtection="1">
      <alignment horizontal="right"/>
    </xf>
    <xf numFmtId="176" fontId="134" fillId="8" borderId="30" xfId="8" applyNumberFormat="1" applyFont="1" applyFill="1" applyBorder="1" applyAlignment="1" applyProtection="1">
      <alignment horizontal="right"/>
    </xf>
    <xf numFmtId="176" fontId="134" fillId="8" borderId="31" xfId="8" applyNumberFormat="1" applyFont="1" applyFill="1" applyBorder="1" applyAlignment="1" applyProtection="1">
      <alignment horizontal="right"/>
    </xf>
    <xf numFmtId="176" fontId="134" fillId="0" borderId="31" xfId="8" applyNumberFormat="1" applyFont="1" applyFill="1" applyBorder="1" applyAlignment="1" applyProtection="1">
      <alignment horizontal="right"/>
    </xf>
    <xf numFmtId="0" fontId="138" fillId="0" borderId="0" xfId="3" applyFont="1" applyFill="1" applyBorder="1" applyProtection="1"/>
    <xf numFmtId="176" fontId="138" fillId="0" borderId="0" xfId="8" applyNumberFormat="1" applyFont="1" applyBorder="1" applyAlignment="1" applyProtection="1">
      <alignment horizontal="right"/>
    </xf>
    <xf numFmtId="176" fontId="138" fillId="7" borderId="0" xfId="8" applyNumberFormat="1" applyFont="1" applyFill="1" applyBorder="1" applyAlignment="1" applyProtection="1">
      <alignment horizontal="right"/>
    </xf>
    <xf numFmtId="176" fontId="138" fillId="8" borderId="0" xfId="8" applyNumberFormat="1" applyFont="1" applyFill="1" applyBorder="1" applyAlignment="1" applyProtection="1">
      <alignment horizontal="right"/>
    </xf>
    <xf numFmtId="176" fontId="138" fillId="8" borderId="12" xfId="8" applyNumberFormat="1" applyFont="1" applyFill="1" applyBorder="1" applyAlignment="1" applyProtection="1">
      <alignment horizontal="right"/>
    </xf>
    <xf numFmtId="176" fontId="138" fillId="0" borderId="12" xfId="8" applyNumberFormat="1" applyFont="1" applyFill="1" applyBorder="1" applyAlignment="1" applyProtection="1">
      <alignment horizontal="right"/>
    </xf>
    <xf numFmtId="0" fontId="134" fillId="7" borderId="0" xfId="8" applyFont="1" applyFill="1" applyBorder="1" applyAlignment="1" applyProtection="1">
      <alignment horizontal="right"/>
    </xf>
    <xf numFmtId="0" fontId="134" fillId="8" borderId="0" xfId="8" applyFont="1" applyFill="1" applyBorder="1" applyAlignment="1" applyProtection="1">
      <alignment horizontal="right"/>
    </xf>
    <xf numFmtId="0" fontId="134" fillId="8" borderId="12" xfId="8" applyFont="1" applyFill="1" applyBorder="1" applyAlignment="1" applyProtection="1">
      <alignment horizontal="right"/>
    </xf>
    <xf numFmtId="0" fontId="134" fillId="0" borderId="6" xfId="3" applyFont="1" applyFill="1" applyBorder="1" applyProtection="1"/>
    <xf numFmtId="0" fontId="134" fillId="0" borderId="33" xfId="8" applyFont="1" applyBorder="1" applyAlignment="1" applyProtection="1">
      <alignment horizontal="right"/>
    </xf>
    <xf numFmtId="176" fontId="134" fillId="0" borderId="33" xfId="8" applyNumberFormat="1" applyFont="1" applyBorder="1" applyAlignment="1" applyProtection="1">
      <alignment horizontal="right"/>
    </xf>
    <xf numFmtId="176" fontId="134" fillId="7" borderId="33" xfId="8" applyNumberFormat="1" applyFont="1" applyFill="1" applyBorder="1" applyAlignment="1" applyProtection="1">
      <alignment horizontal="right"/>
    </xf>
    <xf numFmtId="176" fontId="134" fillId="8" borderId="33" xfId="8" applyNumberFormat="1" applyFont="1" applyFill="1" applyBorder="1" applyAlignment="1" applyProtection="1">
      <alignment horizontal="right"/>
    </xf>
    <xf numFmtId="176" fontId="134" fillId="8" borderId="34" xfId="8" applyNumberFormat="1" applyFont="1" applyFill="1" applyBorder="1" applyAlignment="1" applyProtection="1">
      <alignment horizontal="right"/>
    </xf>
    <xf numFmtId="0" fontId="134" fillId="0" borderId="2" xfId="3" applyFont="1" applyFill="1" applyBorder="1" applyProtection="1"/>
    <xf numFmtId="0" fontId="134" fillId="0" borderId="36" xfId="8" applyFont="1" applyBorder="1" applyAlignment="1" applyProtection="1">
      <alignment horizontal="right"/>
    </xf>
    <xf numFmtId="176" fontId="134" fillId="0" borderId="36" xfId="8" applyNumberFormat="1" applyFont="1" applyBorder="1" applyAlignment="1" applyProtection="1">
      <alignment horizontal="right"/>
    </xf>
    <xf numFmtId="176" fontId="134" fillId="7" borderId="36" xfId="8" applyNumberFormat="1" applyFont="1" applyFill="1" applyBorder="1" applyAlignment="1" applyProtection="1">
      <alignment horizontal="right"/>
    </xf>
    <xf numFmtId="176" fontId="134" fillId="8" borderId="36" xfId="8" applyNumberFormat="1" applyFont="1" applyFill="1" applyBorder="1" applyAlignment="1" applyProtection="1">
      <alignment horizontal="right"/>
    </xf>
    <xf numFmtId="176" fontId="134" fillId="8" borderId="37" xfId="8" applyNumberFormat="1" applyFont="1" applyFill="1" applyBorder="1" applyAlignment="1" applyProtection="1">
      <alignment horizontal="right"/>
    </xf>
    <xf numFmtId="0" fontId="134" fillId="0" borderId="41" xfId="3" applyFont="1" applyFill="1" applyBorder="1" applyProtection="1"/>
    <xf numFmtId="0" fontId="134" fillId="0" borderId="39" xfId="8" applyFont="1" applyBorder="1" applyAlignment="1" applyProtection="1">
      <alignment horizontal="right"/>
    </xf>
    <xf numFmtId="0" fontId="134" fillId="7" borderId="39" xfId="8" applyFont="1" applyFill="1" applyBorder="1" applyAlignment="1" applyProtection="1">
      <alignment horizontal="right"/>
    </xf>
    <xf numFmtId="0" fontId="134" fillId="8" borderId="39" xfId="8" applyFont="1" applyFill="1" applyBorder="1" applyAlignment="1" applyProtection="1">
      <alignment horizontal="right"/>
    </xf>
    <xf numFmtId="0" fontId="134" fillId="8" borderId="40" xfId="8" applyFont="1" applyFill="1" applyBorder="1" applyAlignment="1" applyProtection="1">
      <alignment horizontal="right"/>
    </xf>
    <xf numFmtId="0" fontId="137" fillId="0" borderId="0" xfId="3" applyFont="1" applyFill="1" applyProtection="1">
      <protection locked="0"/>
    </xf>
    <xf numFmtId="0" fontId="137" fillId="0" borderId="0" xfId="3" applyFont="1" applyFill="1" applyBorder="1" applyProtection="1">
      <protection locked="0"/>
    </xf>
    <xf numFmtId="0" fontId="138" fillId="0" borderId="0" xfId="3" applyFont="1" applyFill="1" applyBorder="1" applyAlignment="1" applyProtection="1"/>
    <xf numFmtId="3" fontId="134" fillId="0" borderId="0" xfId="3" applyNumberFormat="1" applyFont="1" applyFill="1" applyBorder="1" applyProtection="1"/>
    <xf numFmtId="0" fontId="138" fillId="0" borderId="0" xfId="3" applyFont="1" applyFill="1" applyBorder="1" applyAlignment="1" applyProtection="1">
      <alignment horizontal="right"/>
    </xf>
    <xf numFmtId="0" fontId="138" fillId="0" borderId="0" xfId="3" applyFont="1" applyFill="1" applyProtection="1"/>
    <xf numFmtId="0" fontId="134" fillId="0" borderId="0" xfId="3" applyFont="1" applyFill="1" applyProtection="1"/>
    <xf numFmtId="0" fontId="131" fillId="0" borderId="0" xfId="3" applyFont="1" applyFill="1" applyProtection="1"/>
    <xf numFmtId="49" fontId="138" fillId="0" borderId="23" xfId="3" applyNumberFormat="1" applyFont="1" applyFill="1" applyBorder="1" applyAlignment="1" applyProtection="1">
      <alignment horizontal="right"/>
    </xf>
    <xf numFmtId="49" fontId="138" fillId="12" borderId="23" xfId="3" applyNumberFormat="1" applyFont="1" applyFill="1" applyBorder="1" applyAlignment="1" applyProtection="1">
      <alignment horizontal="right"/>
    </xf>
    <xf numFmtId="0" fontId="134" fillId="0" borderId="0" xfId="3" applyFont="1" applyFill="1" applyBorder="1" applyAlignment="1" applyProtection="1">
      <alignment wrapText="1"/>
    </xf>
    <xf numFmtId="170" fontId="134" fillId="0" borderId="0" xfId="17" applyNumberFormat="1" applyFont="1" applyFill="1" applyBorder="1" applyProtection="1"/>
    <xf numFmtId="170" fontId="134" fillId="3" borderId="0" xfId="17" applyNumberFormat="1" applyFont="1" applyFill="1" applyBorder="1" applyProtection="1"/>
    <xf numFmtId="170" fontId="134" fillId="2" borderId="0" xfId="17" applyNumberFormat="1" applyFont="1" applyFill="1" applyBorder="1" applyProtection="1"/>
    <xf numFmtId="0" fontId="134" fillId="0" borderId="4" xfId="3" applyFont="1" applyFill="1" applyBorder="1" applyAlignment="1" applyProtection="1">
      <alignment wrapText="1"/>
    </xf>
    <xf numFmtId="170" fontId="134" fillId="0" borderId="4" xfId="17" applyNumberFormat="1" applyFont="1" applyFill="1" applyBorder="1" applyProtection="1"/>
    <xf numFmtId="170" fontId="134" fillId="3" borderId="4" xfId="17" applyNumberFormat="1" applyFont="1" applyFill="1" applyBorder="1" applyProtection="1"/>
    <xf numFmtId="170" fontId="134" fillId="0" borderId="4" xfId="2" applyNumberFormat="1" applyFont="1" applyFill="1" applyBorder="1" applyProtection="1"/>
    <xf numFmtId="170" fontId="134" fillId="2" borderId="4" xfId="2" applyNumberFormat="1" applyFont="1" applyFill="1" applyBorder="1" applyProtection="1"/>
    <xf numFmtId="0" fontId="138" fillId="0" borderId="0" xfId="3" applyFont="1" applyFill="1" applyBorder="1" applyAlignment="1" applyProtection="1">
      <alignment wrapText="1"/>
    </xf>
    <xf numFmtId="170" fontId="138" fillId="0" borderId="0" xfId="17" applyNumberFormat="1" applyFont="1" applyFill="1" applyBorder="1" applyProtection="1"/>
    <xf numFmtId="0" fontId="134" fillId="0" borderId="23" xfId="3" applyFont="1" applyFill="1" applyBorder="1" applyAlignment="1" applyProtection="1">
      <alignment wrapText="1"/>
    </xf>
    <xf numFmtId="49" fontId="138" fillId="3" borderId="23" xfId="3" applyNumberFormat="1" applyFont="1" applyFill="1" applyBorder="1" applyAlignment="1" applyProtection="1">
      <alignment horizontal="right"/>
    </xf>
    <xf numFmtId="170" fontId="134" fillId="2" borderId="4" xfId="17" applyNumberFormat="1" applyFont="1" applyFill="1" applyBorder="1" applyProtection="1"/>
    <xf numFmtId="0" fontId="140" fillId="4" borderId="18" xfId="3" applyFont="1" applyFill="1" applyBorder="1" applyAlignment="1" applyProtection="1">
      <alignment vertical="top"/>
    </xf>
    <xf numFmtId="0" fontId="140" fillId="0" borderId="56" xfId="3" applyFont="1" applyFill="1" applyBorder="1" applyAlignment="1">
      <alignment horizontal="right"/>
    </xf>
    <xf numFmtId="0" fontId="140" fillId="0" borderId="61" xfId="3" applyFont="1" applyFill="1" applyBorder="1" applyAlignment="1">
      <alignment horizontal="right"/>
    </xf>
    <xf numFmtId="3" fontId="18" fillId="4" borderId="0" xfId="3" applyNumberFormat="1" applyFont="1" applyFill="1" applyBorder="1"/>
    <xf numFmtId="9" fontId="18" fillId="0" borderId="11" xfId="2" applyFont="1" applyFill="1" applyBorder="1" applyAlignment="1" applyProtection="1">
      <alignment horizontal="right"/>
      <protection locked="0"/>
    </xf>
    <xf numFmtId="9" fontId="141" fillId="0" borderId="11" xfId="2" applyFont="1" applyBorder="1" applyAlignment="1">
      <alignment horizontal="right"/>
    </xf>
    <xf numFmtId="9" fontId="18" fillId="0" borderId="63" xfId="2" applyFont="1" applyFill="1" applyBorder="1" applyAlignment="1" applyProtection="1">
      <alignment horizontal="right"/>
      <protection locked="0"/>
    </xf>
    <xf numFmtId="188" fontId="18" fillId="0" borderId="11" xfId="3" applyNumberFormat="1" applyFont="1" applyFill="1" applyBorder="1" applyAlignment="1" applyProtection="1">
      <alignment horizontal="right"/>
      <protection locked="0"/>
    </xf>
    <xf numFmtId="0" fontId="141" fillId="0" borderId="11" xfId="0" applyFont="1" applyBorder="1" applyAlignment="1">
      <alignment horizontal="right"/>
    </xf>
    <xf numFmtId="188" fontId="18" fillId="0" borderId="63" xfId="3" applyNumberFormat="1" applyFont="1" applyFill="1" applyBorder="1" applyAlignment="1" applyProtection="1">
      <alignment horizontal="right"/>
      <protection locked="0"/>
    </xf>
    <xf numFmtId="3" fontId="18" fillId="4" borderId="4" xfId="3" applyNumberFormat="1" applyFont="1" applyFill="1" applyBorder="1"/>
    <xf numFmtId="188" fontId="18" fillId="0" borderId="15" xfId="3" applyNumberFormat="1" applyFont="1" applyFill="1" applyBorder="1" applyAlignment="1" applyProtection="1">
      <alignment horizontal="right"/>
      <protection locked="0"/>
    </xf>
    <xf numFmtId="0" fontId="141" fillId="0" borderId="15" xfId="0" applyFont="1" applyBorder="1" applyAlignment="1">
      <alignment horizontal="right"/>
    </xf>
    <xf numFmtId="188" fontId="18" fillId="0" borderId="64" xfId="3" applyNumberFormat="1" applyFont="1" applyFill="1" applyBorder="1" applyAlignment="1" applyProtection="1">
      <alignment horizontal="right"/>
      <protection locked="0"/>
    </xf>
    <xf numFmtId="0" fontId="27" fillId="0" borderId="0" xfId="3" applyFont="1" applyFill="1" applyBorder="1" applyAlignment="1">
      <alignment wrapText="1"/>
    </xf>
    <xf numFmtId="0" fontId="27" fillId="0" borderId="0" xfId="3" applyFont="1" applyFill="1" applyBorder="1"/>
    <xf numFmtId="0" fontId="27" fillId="0" borderId="5" xfId="3" applyFont="1" applyFill="1" applyBorder="1" applyAlignment="1">
      <alignment wrapText="1"/>
    </xf>
    <xf numFmtId="0" fontId="27" fillId="0" borderId="23" xfId="3" applyFont="1" applyFill="1" applyBorder="1"/>
    <xf numFmtId="0" fontId="9" fillId="3" borderId="57" xfId="3" applyFont="1" applyFill="1" applyBorder="1" applyAlignment="1">
      <alignment horizontal="right"/>
    </xf>
    <xf numFmtId="0" fontId="9" fillId="3" borderId="61" xfId="3" applyFont="1" applyFill="1" applyBorder="1" applyAlignment="1">
      <alignment horizontal="right"/>
    </xf>
    <xf numFmtId="165" fontId="8" fillId="3" borderId="60" xfId="3" applyNumberFormat="1" applyFont="1" applyFill="1" applyBorder="1" applyAlignment="1">
      <alignment horizontal="right"/>
    </xf>
    <xf numFmtId="165" fontId="8" fillId="3" borderId="64" xfId="3" applyNumberFormat="1" applyFont="1" applyFill="1" applyBorder="1" applyAlignment="1">
      <alignment horizontal="right"/>
    </xf>
    <xf numFmtId="0" fontId="143" fillId="0" borderId="0" xfId="27" applyFont="1" applyFill="1" applyAlignment="1" applyProtection="1">
      <alignment vertical="top"/>
    </xf>
    <xf numFmtId="0" fontId="142" fillId="0" borderId="0" xfId="3" applyFont="1" applyFill="1" applyAlignment="1">
      <alignment vertical="top"/>
    </xf>
    <xf numFmtId="0" fontId="142" fillId="0" borderId="0" xfId="3" applyFont="1" applyFill="1"/>
    <xf numFmtId="0" fontId="132" fillId="0" borderId="0" xfId="15" applyFont="1" applyFill="1"/>
    <xf numFmtId="0" fontId="133" fillId="0" borderId="0" xfId="15" applyFont="1" applyFill="1"/>
    <xf numFmtId="0" fontId="132" fillId="0" borderId="25" xfId="15" applyFont="1" applyFill="1" applyBorder="1" applyAlignment="1">
      <alignment horizontal="right"/>
    </xf>
    <xf numFmtId="0" fontId="132" fillId="0" borderId="25" xfId="15" applyFont="1" applyFill="1" applyBorder="1" applyAlignment="1">
      <alignment horizontal="left"/>
    </xf>
    <xf numFmtId="0" fontId="132" fillId="0" borderId="25" xfId="15" applyFont="1" applyFill="1" applyBorder="1" applyAlignment="1">
      <alignment horizontal="center"/>
    </xf>
    <xf numFmtId="0" fontId="133" fillId="0" borderId="25" xfId="15" applyFont="1" applyFill="1" applyBorder="1" applyAlignment="1">
      <alignment horizontal="left"/>
    </xf>
    <xf numFmtId="0" fontId="133" fillId="0" borderId="25" xfId="15" applyFont="1" applyFill="1" applyBorder="1"/>
    <xf numFmtId="0" fontId="132" fillId="0" borderId="25" xfId="15" applyFont="1" applyFill="1" applyBorder="1"/>
    <xf numFmtId="0" fontId="133" fillId="0" borderId="0" xfId="15" applyFont="1" applyFill="1" applyBorder="1" applyAlignment="1">
      <alignment horizontal="left"/>
    </xf>
    <xf numFmtId="0" fontId="133" fillId="0" borderId="67" xfId="15" applyFont="1" applyFill="1" applyBorder="1"/>
    <xf numFmtId="0" fontId="133" fillId="0" borderId="9" xfId="15" applyFont="1" applyFill="1" applyBorder="1"/>
    <xf numFmtId="0" fontId="133" fillId="0" borderId="0" xfId="15" applyFont="1" applyFill="1" applyBorder="1"/>
    <xf numFmtId="0" fontId="144" fillId="0" borderId="0" xfId="15" applyFont="1" applyFill="1"/>
    <xf numFmtId="0" fontId="145" fillId="0" borderId="0" xfId="29" applyFont="1" applyFill="1"/>
    <xf numFmtId="0" fontId="131" fillId="0" borderId="0" xfId="29" applyFont="1" applyFill="1"/>
    <xf numFmtId="0" fontId="132" fillId="0" borderId="17" xfId="15" applyFont="1" applyFill="1" applyBorder="1" applyAlignment="1">
      <alignment horizontal="center" vertical="center"/>
    </xf>
    <xf numFmtId="0" fontId="132" fillId="0" borderId="19" xfId="15" applyFont="1" applyFill="1" applyBorder="1" applyAlignment="1">
      <alignment horizontal="center" vertical="center"/>
    </xf>
    <xf numFmtId="0" fontId="132" fillId="0" borderId="19" xfId="15" applyFont="1" applyFill="1" applyBorder="1"/>
    <xf numFmtId="0" fontId="132" fillId="0" borderId="52" xfId="15" applyFont="1" applyFill="1" applyBorder="1"/>
    <xf numFmtId="0" fontId="132" fillId="0" borderId="26" xfId="15" applyFont="1" applyFill="1" applyBorder="1"/>
    <xf numFmtId="0" fontId="132" fillId="0" borderId="102" xfId="15" applyFont="1" applyFill="1" applyBorder="1"/>
    <xf numFmtId="0" fontId="133" fillId="0" borderId="25" xfId="15" applyFont="1" applyFill="1" applyBorder="1" applyAlignment="1">
      <alignment horizontal="right"/>
    </xf>
    <xf numFmtId="0" fontId="133" fillId="0" borderId="25" xfId="30" applyFont="1" applyFill="1" applyBorder="1"/>
    <xf numFmtId="0" fontId="133" fillId="0" borderId="52" xfId="30" applyFont="1" applyFill="1" applyBorder="1"/>
    <xf numFmtId="0" fontId="133" fillId="0" borderId="19" xfId="30" applyFont="1" applyFill="1" applyBorder="1"/>
    <xf numFmtId="0" fontId="133" fillId="0" borderId="19" xfId="15" applyFont="1" applyFill="1" applyBorder="1"/>
    <xf numFmtId="0" fontId="133" fillId="0" borderId="52" xfId="15" applyFont="1" applyFill="1" applyBorder="1"/>
    <xf numFmtId="0" fontId="145" fillId="3" borderId="0" xfId="29" applyFont="1" applyFill="1"/>
    <xf numFmtId="0" fontId="131" fillId="3" borderId="0" xfId="29" applyFont="1" applyFill="1"/>
    <xf numFmtId="0" fontId="132" fillId="3" borderId="25" xfId="15" applyFont="1" applyFill="1" applyBorder="1"/>
    <xf numFmtId="0" fontId="132" fillId="3" borderId="17" xfId="15" applyFont="1" applyFill="1" applyBorder="1" applyAlignment="1">
      <alignment horizontal="center" vertical="center"/>
    </xf>
    <xf numFmtId="0" fontId="132" fillId="3" borderId="19" xfId="15" applyFont="1" applyFill="1" applyBorder="1" applyAlignment="1">
      <alignment horizontal="center" vertical="center"/>
    </xf>
    <xf numFmtId="0" fontId="132" fillId="3" borderId="19" xfId="15" applyFont="1" applyFill="1" applyBorder="1"/>
    <xf numFmtId="0" fontId="142" fillId="3" borderId="0" xfId="3" applyFont="1" applyFill="1"/>
    <xf numFmtId="0" fontId="132" fillId="3" borderId="52" xfId="15" applyFont="1" applyFill="1" applyBorder="1"/>
    <xf numFmtId="0" fontId="132" fillId="3" borderId="26" xfId="15" applyFont="1" applyFill="1" applyBorder="1"/>
    <xf numFmtId="0" fontId="132" fillId="3" borderId="102" xfId="15" applyFont="1" applyFill="1" applyBorder="1"/>
    <xf numFmtId="0" fontId="133" fillId="3" borderId="25" xfId="30" applyFont="1" applyFill="1" applyBorder="1"/>
    <xf numFmtId="0" fontId="133" fillId="3" borderId="52" xfId="30" applyFont="1" applyFill="1" applyBorder="1"/>
    <xf numFmtId="0" fontId="133" fillId="3" borderId="19" xfId="30" applyFont="1" applyFill="1" applyBorder="1"/>
    <xf numFmtId="0" fontId="133" fillId="3" borderId="19" xfId="15" applyFont="1" applyFill="1" applyBorder="1"/>
    <xf numFmtId="0" fontId="133" fillId="3" borderId="52" xfId="15" applyFont="1" applyFill="1" applyBorder="1"/>
    <xf numFmtId="0" fontId="133" fillId="3" borderId="25" xfId="15" applyFont="1" applyFill="1" applyBorder="1"/>
    <xf numFmtId="2" fontId="131" fillId="3" borderId="0" xfId="3" applyNumberFormat="1" applyFont="1" applyFill="1" applyProtection="1">
      <protection locked="0"/>
    </xf>
    <xf numFmtId="2" fontId="131" fillId="3" borderId="0" xfId="3" applyNumberFormat="1" applyFont="1" applyFill="1" applyAlignment="1" applyProtection="1">
      <alignment horizontal="right"/>
      <protection locked="0"/>
    </xf>
    <xf numFmtId="0" fontId="4" fillId="0" borderId="0" xfId="3" applyFont="1" applyFill="1" applyBorder="1" applyAlignment="1" applyProtection="1">
      <alignment horizontal="left" vertical="top" wrapText="1"/>
    </xf>
    <xf numFmtId="17" fontId="20" fillId="0" borderId="23" xfId="3" quotePrefix="1" applyNumberFormat="1" applyFont="1" applyBorder="1" applyAlignment="1">
      <alignment horizontal="right"/>
    </xf>
    <xf numFmtId="17" fontId="20" fillId="2" borderId="23" xfId="3" quotePrefix="1" applyNumberFormat="1" applyFont="1" applyFill="1" applyBorder="1" applyAlignment="1">
      <alignment horizontal="right"/>
    </xf>
    <xf numFmtId="168" fontId="17" fillId="0" borderId="0" xfId="31" applyNumberFormat="1" applyFont="1" applyBorder="1" applyAlignment="1">
      <alignment horizontal="right"/>
    </xf>
    <xf numFmtId="168" fontId="17" fillId="2" borderId="0" xfId="31" applyNumberFormat="1" applyFont="1" applyFill="1" applyBorder="1" applyAlignment="1">
      <alignment horizontal="right"/>
    </xf>
    <xf numFmtId="168" fontId="17" fillId="0" borderId="0" xfId="3" applyNumberFormat="1" applyFont="1" applyBorder="1"/>
    <xf numFmtId="166" fontId="1" fillId="2" borderId="0" xfId="3" applyNumberFormat="1" applyFont="1" applyFill="1" applyProtection="1">
      <protection locked="0"/>
    </xf>
    <xf numFmtId="0" fontId="13" fillId="0" borderId="0" xfId="3" applyFont="1"/>
    <xf numFmtId="0" fontId="13" fillId="0" borderId="0" xfId="3" applyFont="1" applyBorder="1"/>
    <xf numFmtId="166" fontId="17" fillId="0" borderId="0" xfId="17" applyNumberFormat="1" applyFont="1" applyBorder="1" applyAlignment="1">
      <alignment horizontal="right"/>
    </xf>
    <xf numFmtId="166" fontId="17" fillId="0" borderId="0" xfId="3" applyNumberFormat="1" applyFont="1"/>
    <xf numFmtId="166" fontId="17" fillId="0" borderId="4" xfId="17" applyNumberFormat="1" applyFont="1" applyBorder="1" applyAlignment="1">
      <alignment horizontal="right"/>
    </xf>
    <xf numFmtId="0" fontId="4" fillId="0" borderId="1" xfId="3" applyNumberFormat="1" applyFont="1" applyFill="1" applyBorder="1" applyAlignment="1" applyProtection="1">
      <alignment horizontal="left" vertical="top" wrapText="1"/>
      <protection locked="0"/>
    </xf>
    <xf numFmtId="0" fontId="4" fillId="0" borderId="2" xfId="3" applyNumberFormat="1" applyFont="1" applyFill="1" applyBorder="1" applyAlignment="1" applyProtection="1">
      <alignment horizontal="left" vertical="top" wrapText="1"/>
      <protection locked="0"/>
    </xf>
    <xf numFmtId="0" fontId="4" fillId="0" borderId="3" xfId="3" applyNumberFormat="1" applyFont="1" applyFill="1" applyBorder="1" applyAlignment="1" applyProtection="1">
      <alignment horizontal="left" vertical="top" wrapText="1"/>
      <protection locked="0"/>
    </xf>
    <xf numFmtId="0" fontId="4" fillId="0" borderId="1" xfId="4" applyFont="1" applyFill="1" applyBorder="1" applyAlignment="1" applyProtection="1">
      <alignment vertical="top"/>
      <protection locked="0"/>
    </xf>
    <xf numFmtId="0" fontId="4" fillId="0" borderId="2" xfId="4" applyFont="1" applyFill="1" applyBorder="1" applyAlignment="1" applyProtection="1">
      <alignment vertical="top"/>
      <protection locked="0"/>
    </xf>
    <xf numFmtId="0" fontId="4" fillId="0" borderId="3" xfId="4" applyFont="1" applyFill="1" applyBorder="1" applyAlignment="1" applyProtection="1">
      <alignment vertical="top"/>
      <protection locked="0"/>
    </xf>
    <xf numFmtId="0" fontId="4" fillId="0" borderId="1" xfId="4" applyFont="1" applyFill="1" applyBorder="1" applyAlignment="1" applyProtection="1">
      <alignment horizontal="left" vertical="top" wrapText="1"/>
      <protection locked="0"/>
    </xf>
    <xf numFmtId="0" fontId="4" fillId="0" borderId="2" xfId="4" applyFont="1" applyFill="1" applyBorder="1" applyAlignment="1" applyProtection="1">
      <alignment horizontal="left" vertical="top" wrapText="1"/>
      <protection locked="0"/>
    </xf>
    <xf numFmtId="0" fontId="4" fillId="0" borderId="3" xfId="4" applyFont="1" applyFill="1" applyBorder="1" applyAlignment="1" applyProtection="1">
      <alignment horizontal="left" vertical="top" wrapText="1"/>
      <protection locked="0"/>
    </xf>
    <xf numFmtId="0" fontId="13" fillId="0" borderId="1" xfId="4" applyFont="1" applyFill="1" applyBorder="1" applyAlignment="1" applyProtection="1">
      <alignment horizontal="left" vertical="top" wrapText="1"/>
      <protection locked="0"/>
    </xf>
    <xf numFmtId="0" fontId="13" fillId="0" borderId="2" xfId="4" applyFont="1" applyFill="1" applyBorder="1" applyAlignment="1" applyProtection="1">
      <alignment horizontal="left" vertical="top" wrapText="1"/>
      <protection locked="0"/>
    </xf>
    <xf numFmtId="0" fontId="13" fillId="0" borderId="3" xfId="4"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wrapText="1"/>
      <protection locked="0"/>
    </xf>
    <xf numFmtId="0" fontId="4" fillId="0" borderId="2" xfId="3" applyFont="1" applyFill="1" applyBorder="1" applyAlignment="1" applyProtection="1">
      <alignment horizontal="left" vertical="top" wrapText="1"/>
      <protection locked="0"/>
    </xf>
    <xf numFmtId="0" fontId="4" fillId="0" borderId="3" xfId="3" applyFont="1" applyFill="1" applyBorder="1" applyAlignment="1" applyProtection="1">
      <alignment horizontal="left" vertical="top" wrapText="1"/>
      <protection locked="0"/>
    </xf>
    <xf numFmtId="0" fontId="133" fillId="0" borderId="17" xfId="3" quotePrefix="1" applyFont="1" applyFill="1" applyBorder="1" applyAlignment="1" applyProtection="1">
      <alignment horizontal="center" vertical="top" wrapText="1"/>
      <protection locked="0"/>
    </xf>
    <xf numFmtId="0" fontId="133" fillId="0" borderId="18" xfId="3" quotePrefix="1" applyFont="1" applyFill="1" applyBorder="1" applyAlignment="1" applyProtection="1">
      <alignment horizontal="center" vertical="top" wrapText="1"/>
      <protection locked="0"/>
    </xf>
    <xf numFmtId="0" fontId="133" fillId="0" borderId="19" xfId="3" quotePrefix="1" applyFont="1" applyFill="1" applyBorder="1" applyAlignment="1" applyProtection="1">
      <alignment horizontal="center" vertical="top" wrapText="1"/>
      <protection locked="0"/>
    </xf>
    <xf numFmtId="0" fontId="133" fillId="2" borderId="17" xfId="3" quotePrefix="1" applyFont="1" applyFill="1" applyBorder="1" applyAlignment="1" applyProtection="1">
      <alignment horizontal="center" vertical="top" wrapText="1"/>
      <protection locked="0"/>
    </xf>
    <xf numFmtId="0" fontId="133" fillId="2" borderId="18" xfId="3" quotePrefix="1" applyFont="1" applyFill="1" applyBorder="1" applyAlignment="1" applyProtection="1">
      <alignment horizontal="center" vertical="top" wrapText="1"/>
      <protection locked="0"/>
    </xf>
    <xf numFmtId="0" fontId="133" fillId="2" borderId="19" xfId="3" quotePrefix="1" applyFont="1" applyFill="1" applyBorder="1" applyAlignment="1" applyProtection="1">
      <alignment horizontal="center" vertical="top" wrapText="1"/>
      <protection locked="0"/>
    </xf>
    <xf numFmtId="0" fontId="134" fillId="0" borderId="0" xfId="3" applyFont="1" applyFill="1" applyBorder="1" applyAlignment="1" applyProtection="1">
      <alignment horizontal="center" vertical="top" wrapText="1"/>
    </xf>
    <xf numFmtId="0" fontId="14" fillId="0" borderId="1" xfId="3" applyFont="1" applyFill="1" applyBorder="1" applyAlignment="1" applyProtection="1">
      <alignment horizontal="left" vertical="top" wrapText="1"/>
      <protection locked="0"/>
    </xf>
    <xf numFmtId="0" fontId="14" fillId="0" borderId="2" xfId="3" applyFont="1" applyFill="1" applyBorder="1" applyAlignment="1" applyProtection="1">
      <alignment horizontal="left" vertical="top" wrapText="1"/>
      <protection locked="0"/>
    </xf>
    <xf numFmtId="0" fontId="14" fillId="0" borderId="3" xfId="3" applyFont="1" applyFill="1" applyBorder="1" applyAlignment="1" applyProtection="1">
      <alignment horizontal="left" vertical="top" wrapText="1"/>
      <protection locked="0"/>
    </xf>
    <xf numFmtId="0" fontId="14" fillId="0" borderId="1" xfId="3" applyNumberFormat="1" applyFont="1" applyFill="1" applyBorder="1" applyAlignment="1" applyProtection="1">
      <alignment horizontal="left" vertical="top" wrapText="1"/>
      <protection locked="0"/>
    </xf>
    <xf numFmtId="0" fontId="14" fillId="0" borderId="2" xfId="3" applyNumberFormat="1"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wrapText="1"/>
    </xf>
    <xf numFmtId="0" fontId="4" fillId="0" borderId="2" xfId="3" applyFont="1" applyFill="1" applyBorder="1" applyAlignment="1" applyProtection="1">
      <alignment horizontal="left" vertical="top" wrapText="1"/>
    </xf>
    <xf numFmtId="0" fontId="4" fillId="0" borderId="3" xfId="3" applyFont="1" applyFill="1" applyBorder="1" applyAlignment="1" applyProtection="1">
      <alignment horizontal="left" vertical="top" wrapText="1"/>
    </xf>
    <xf numFmtId="0" fontId="4" fillId="0" borderId="20" xfId="3" applyFont="1" applyFill="1" applyBorder="1" applyAlignment="1" applyProtection="1">
      <alignment horizontal="left" vertical="top" wrapText="1"/>
    </xf>
    <xf numFmtId="0" fontId="4" fillId="0" borderId="21" xfId="3" applyFont="1" applyFill="1" applyBorder="1" applyAlignment="1" applyProtection="1">
      <alignment horizontal="left" vertical="top" wrapText="1"/>
    </xf>
    <xf numFmtId="0" fontId="4" fillId="0" borderId="22" xfId="3" applyFont="1" applyFill="1" applyBorder="1" applyAlignment="1" applyProtection="1">
      <alignment horizontal="left" vertical="top" wrapText="1"/>
    </xf>
    <xf numFmtId="0" fontId="4" fillId="0" borderId="1" xfId="4" applyFont="1" applyFill="1" applyBorder="1" applyAlignment="1" applyProtection="1">
      <alignment vertical="top"/>
    </xf>
    <xf numFmtId="0" fontId="4" fillId="0" borderId="2" xfId="4" applyFont="1" applyFill="1" applyBorder="1" applyAlignment="1" applyProtection="1">
      <alignment vertical="top"/>
    </xf>
    <xf numFmtId="0" fontId="4" fillId="0" borderId="3" xfId="4" applyFont="1" applyFill="1" applyBorder="1" applyAlignment="1" applyProtection="1">
      <alignment vertical="top"/>
    </xf>
    <xf numFmtId="0" fontId="4" fillId="0" borderId="1" xfId="4" applyFont="1" applyFill="1" applyBorder="1" applyAlignment="1" applyProtection="1">
      <alignment horizontal="left" vertical="top" wrapText="1"/>
    </xf>
    <xf numFmtId="0" fontId="4" fillId="0" borderId="2" xfId="4" applyFont="1" applyFill="1" applyBorder="1" applyAlignment="1" applyProtection="1">
      <alignment horizontal="left" vertical="top" wrapText="1"/>
    </xf>
    <xf numFmtId="0" fontId="4" fillId="0" borderId="3" xfId="4" applyFont="1" applyFill="1" applyBorder="1" applyAlignment="1" applyProtection="1">
      <alignment horizontal="left" vertical="top" wrapText="1"/>
    </xf>
    <xf numFmtId="0" fontId="4" fillId="0" borderId="1" xfId="4" applyFont="1" applyFill="1" applyBorder="1" applyAlignment="1" applyProtection="1">
      <alignment vertical="top" wrapText="1"/>
    </xf>
    <xf numFmtId="0" fontId="4" fillId="0" borderId="2" xfId="4" applyFont="1" applyFill="1" applyBorder="1" applyAlignment="1" applyProtection="1">
      <alignment vertical="top" wrapText="1"/>
    </xf>
    <xf numFmtId="0" fontId="4" fillId="0" borderId="3" xfId="4" applyFont="1" applyFill="1" applyBorder="1" applyAlignment="1" applyProtection="1">
      <alignment vertical="top" wrapText="1"/>
    </xf>
    <xf numFmtId="0" fontId="4" fillId="0" borderId="1" xfId="4" applyFont="1" applyFill="1" applyBorder="1" applyAlignment="1" applyProtection="1">
      <alignment horizontal="left" vertical="top"/>
    </xf>
    <xf numFmtId="0" fontId="4" fillId="0" borderId="2" xfId="4" applyFont="1" applyFill="1" applyBorder="1" applyAlignment="1" applyProtection="1">
      <alignment horizontal="left" vertical="top"/>
    </xf>
    <xf numFmtId="0" fontId="4" fillId="0" borderId="3" xfId="4" applyFont="1" applyFill="1" applyBorder="1" applyAlignment="1" applyProtection="1">
      <alignment horizontal="left" vertical="top"/>
    </xf>
    <xf numFmtId="0" fontId="4" fillId="0" borderId="1" xfId="3" applyNumberFormat="1" applyFont="1" applyFill="1" applyBorder="1" applyAlignment="1" applyProtection="1">
      <alignment horizontal="left" vertical="top" wrapText="1"/>
    </xf>
    <xf numFmtId="0" fontId="4" fillId="0" borderId="2" xfId="3" applyNumberFormat="1" applyFont="1" applyFill="1" applyBorder="1" applyAlignment="1" applyProtection="1">
      <alignment horizontal="left" vertical="top" wrapText="1"/>
    </xf>
    <xf numFmtId="0" fontId="4" fillId="0" borderId="3" xfId="3" applyNumberFormat="1" applyFont="1" applyFill="1" applyBorder="1" applyAlignment="1" applyProtection="1">
      <alignment horizontal="left" vertical="top" wrapText="1"/>
    </xf>
    <xf numFmtId="0" fontId="4" fillId="0" borderId="25" xfId="3" quotePrefix="1" applyFont="1" applyFill="1" applyBorder="1" applyAlignment="1" applyProtection="1">
      <alignment horizontal="center" vertical="top" wrapText="1"/>
    </xf>
    <xf numFmtId="0" fontId="4" fillId="3" borderId="25" xfId="3" quotePrefix="1" applyFont="1" applyFill="1" applyBorder="1" applyAlignment="1" applyProtection="1">
      <alignment horizontal="center" vertical="top" wrapText="1"/>
    </xf>
    <xf numFmtId="0" fontId="21" fillId="0" borderId="25" xfId="3" quotePrefix="1" applyFont="1" applyFill="1" applyBorder="1" applyAlignment="1" applyProtection="1">
      <alignment horizontal="center" vertical="top" wrapText="1"/>
    </xf>
    <xf numFmtId="0" fontId="4" fillId="0" borderId="1" xfId="3" applyFont="1" applyFill="1" applyBorder="1" applyAlignment="1" applyProtection="1">
      <alignment vertical="top" wrapText="1"/>
    </xf>
    <xf numFmtId="0" fontId="4" fillId="0" borderId="2" xfId="3" applyFont="1" applyFill="1" applyBorder="1" applyAlignment="1" applyProtection="1">
      <alignment vertical="top" wrapText="1"/>
    </xf>
    <xf numFmtId="0" fontId="4" fillId="0" borderId="3" xfId="3" applyFont="1" applyFill="1" applyBorder="1" applyAlignment="1" applyProtection="1">
      <alignment vertical="top" wrapText="1"/>
    </xf>
    <xf numFmtId="0" fontId="4" fillId="3" borderId="1" xfId="4" applyFont="1" applyFill="1" applyBorder="1" applyAlignment="1" applyProtection="1">
      <alignment horizontal="left" vertical="top" wrapText="1"/>
    </xf>
    <xf numFmtId="0" fontId="4" fillId="3" borderId="2" xfId="4" applyFont="1" applyFill="1" applyBorder="1" applyAlignment="1" applyProtection="1">
      <alignment horizontal="left" vertical="top" wrapText="1"/>
    </xf>
    <xf numFmtId="0" fontId="4" fillId="3" borderId="3" xfId="4" applyFont="1" applyFill="1" applyBorder="1" applyAlignment="1" applyProtection="1">
      <alignment horizontal="left" vertical="top" wrapText="1"/>
    </xf>
    <xf numFmtId="0" fontId="4" fillId="0" borderId="1" xfId="3" applyNumberFormat="1" applyFont="1" applyFill="1" applyBorder="1" applyAlignment="1" applyProtection="1">
      <alignment vertical="top" wrapText="1"/>
    </xf>
    <xf numFmtId="0" fontId="4" fillId="0" borderId="2" xfId="3" applyNumberFormat="1" applyFont="1" applyFill="1" applyBorder="1" applyAlignment="1" applyProtection="1">
      <alignment vertical="top" wrapText="1"/>
    </xf>
    <xf numFmtId="0" fontId="4" fillId="0" borderId="3" xfId="3" applyNumberFormat="1" applyFont="1" applyFill="1" applyBorder="1" applyAlignment="1" applyProtection="1">
      <alignment vertical="top" wrapText="1"/>
    </xf>
    <xf numFmtId="0" fontId="4" fillId="6" borderId="0" xfId="3" applyNumberFormat="1" applyFont="1" applyFill="1" applyBorder="1" applyAlignment="1">
      <alignment vertical="top" wrapText="1"/>
    </xf>
    <xf numFmtId="0" fontId="4" fillId="6" borderId="0" xfId="3" applyFont="1" applyFill="1" applyBorder="1" applyAlignment="1">
      <alignment vertical="top" wrapText="1"/>
    </xf>
    <xf numFmtId="0" fontId="1" fillId="6" borderId="0" xfId="3" applyFont="1" applyFill="1" applyBorder="1" applyAlignment="1"/>
    <xf numFmtId="0" fontId="4" fillId="3" borderId="1" xfId="4" applyFont="1" applyFill="1" applyBorder="1" applyAlignment="1" applyProtection="1">
      <alignment vertical="top" wrapText="1"/>
    </xf>
    <xf numFmtId="0" fontId="4" fillId="3" borderId="2" xfId="4" applyFont="1" applyFill="1" applyBorder="1" applyAlignment="1" applyProtection="1">
      <alignment vertical="top" wrapText="1"/>
    </xf>
    <xf numFmtId="0" fontId="4" fillId="3" borderId="3" xfId="4" applyFont="1" applyFill="1" applyBorder="1" applyAlignment="1" applyProtection="1">
      <alignment vertical="top" wrapText="1"/>
    </xf>
    <xf numFmtId="0" fontId="135" fillId="0" borderId="5" xfId="3" quotePrefix="1" applyFont="1" applyFill="1" applyBorder="1" applyAlignment="1" applyProtection="1">
      <alignment vertical="top" wrapText="1"/>
    </xf>
    <xf numFmtId="0" fontId="135" fillId="0" borderId="23" xfId="3" quotePrefix="1" applyFont="1" applyFill="1" applyBorder="1" applyAlignment="1" applyProtection="1">
      <alignment vertical="top" wrapText="1"/>
    </xf>
    <xf numFmtId="0" fontId="135" fillId="0" borderId="24" xfId="3" quotePrefix="1" applyFont="1" applyFill="1" applyBorder="1" applyAlignment="1" applyProtection="1">
      <alignment vertical="top" wrapText="1"/>
    </xf>
    <xf numFmtId="0" fontId="1" fillId="0" borderId="5" xfId="3" applyFont="1" applyFill="1" applyBorder="1" applyAlignment="1" applyProtection="1">
      <alignment horizontal="center" vertical="top"/>
    </xf>
    <xf numFmtId="0" fontId="1" fillId="0" borderId="23" xfId="3" applyFont="1" applyFill="1" applyBorder="1" applyAlignment="1" applyProtection="1">
      <alignment horizontal="center" vertical="top"/>
    </xf>
    <xf numFmtId="0" fontId="1" fillId="0" borderId="24" xfId="3" applyFont="1" applyFill="1" applyBorder="1" applyAlignment="1" applyProtection="1">
      <alignment horizontal="center" vertical="top"/>
    </xf>
    <xf numFmtId="0" fontId="135" fillId="2" borderId="5" xfId="3" quotePrefix="1" applyFont="1" applyFill="1" applyBorder="1" applyAlignment="1" applyProtection="1">
      <alignment vertical="top" wrapText="1"/>
    </xf>
    <xf numFmtId="0" fontId="135" fillId="2" borderId="23" xfId="3" quotePrefix="1" applyFont="1" applyFill="1" applyBorder="1" applyAlignment="1" applyProtection="1">
      <alignment vertical="top" wrapText="1"/>
    </xf>
    <xf numFmtId="0" fontId="135" fillId="2" borderId="24" xfId="3" quotePrefix="1" applyFont="1" applyFill="1" applyBorder="1" applyAlignment="1" applyProtection="1">
      <alignment vertical="top" wrapText="1"/>
    </xf>
    <xf numFmtId="0" fontId="133" fillId="0" borderId="25" xfId="3" quotePrefix="1" applyFont="1" applyFill="1" applyBorder="1" applyAlignment="1" applyProtection="1">
      <alignment horizontal="center" vertical="top" wrapText="1"/>
    </xf>
    <xf numFmtId="0" fontId="13" fillId="0" borderId="1" xfId="3" applyFont="1" applyFill="1" applyBorder="1" applyAlignment="1" applyProtection="1">
      <alignment horizontal="left" vertical="top" wrapText="1"/>
    </xf>
    <xf numFmtId="0" fontId="13" fillId="0" borderId="2" xfId="3" applyFont="1" applyFill="1" applyBorder="1" applyAlignment="1" applyProtection="1">
      <alignment horizontal="left" vertical="top" wrapText="1"/>
    </xf>
    <xf numFmtId="0" fontId="13" fillId="0" borderId="3" xfId="3" applyFont="1" applyFill="1" applyBorder="1" applyAlignment="1" applyProtection="1">
      <alignment horizontal="left" vertical="top" wrapText="1"/>
    </xf>
    <xf numFmtId="0" fontId="133" fillId="2" borderId="25" xfId="3" quotePrefix="1" applyFont="1" applyFill="1" applyBorder="1" applyAlignment="1" applyProtection="1">
      <alignment horizontal="center" vertical="top" wrapText="1"/>
    </xf>
    <xf numFmtId="0" fontId="4" fillId="3" borderId="0" xfId="4" applyFont="1" applyFill="1" applyBorder="1" applyAlignment="1" applyProtection="1">
      <alignment horizontal="left" vertical="top" wrapText="1"/>
    </xf>
    <xf numFmtId="0" fontId="133" fillId="0" borderId="0" xfId="3" quotePrefix="1" applyFont="1" applyFill="1" applyAlignment="1" applyProtection="1">
      <alignment horizontal="center"/>
      <protection locked="0"/>
    </xf>
    <xf numFmtId="0" fontId="133" fillId="3" borderId="0" xfId="3" quotePrefix="1" applyFont="1" applyFill="1" applyAlignment="1" applyProtection="1">
      <alignment horizontal="center"/>
      <protection locked="0"/>
    </xf>
    <xf numFmtId="17" fontId="133" fillId="0" borderId="0" xfId="3" quotePrefix="1" applyNumberFormat="1" applyFont="1" applyFill="1" applyAlignment="1" applyProtection="1">
      <alignment horizontal="center"/>
      <protection locked="0"/>
    </xf>
    <xf numFmtId="0" fontId="131" fillId="0" borderId="0" xfId="3" applyFont="1" applyProtection="1">
      <protection locked="0"/>
    </xf>
    <xf numFmtId="0" fontId="133" fillId="0" borderId="0" xfId="3" quotePrefix="1" applyFont="1" applyFill="1" applyBorder="1" applyAlignment="1" applyProtection="1">
      <alignment horizontal="center"/>
      <protection locked="0"/>
    </xf>
    <xf numFmtId="0" fontId="133" fillId="0" borderId="5" xfId="3" quotePrefix="1" applyFont="1" applyFill="1" applyBorder="1" applyAlignment="1" applyProtection="1">
      <alignment horizontal="center"/>
      <protection locked="0"/>
    </xf>
    <xf numFmtId="0" fontId="133" fillId="0" borderId="23" xfId="3" quotePrefix="1" applyFont="1" applyFill="1" applyBorder="1" applyAlignment="1" applyProtection="1">
      <alignment horizontal="center"/>
      <protection locked="0"/>
    </xf>
    <xf numFmtId="0" fontId="133" fillId="0" borderId="24" xfId="3" quotePrefix="1" applyFont="1" applyFill="1" applyBorder="1" applyAlignment="1" applyProtection="1">
      <alignment horizontal="center"/>
      <protection locked="0"/>
    </xf>
    <xf numFmtId="0" fontId="4" fillId="0" borderId="0" xfId="3" applyFont="1" applyFill="1" applyBorder="1" applyAlignment="1" applyProtection="1">
      <alignment horizontal="left" vertical="top" wrapText="1"/>
    </xf>
    <xf numFmtId="0" fontId="4" fillId="0" borderId="1" xfId="3" applyFont="1" applyFill="1" applyBorder="1" applyAlignment="1" applyProtection="1">
      <alignment vertical="top"/>
    </xf>
    <xf numFmtId="0" fontId="4" fillId="0" borderId="2" xfId="3" applyFont="1" applyFill="1" applyBorder="1" applyAlignment="1" applyProtection="1">
      <alignment vertical="top"/>
    </xf>
    <xf numFmtId="0" fontId="4" fillId="0" borderId="3" xfId="3" applyFont="1" applyFill="1" applyBorder="1" applyAlignment="1" applyProtection="1">
      <alignment vertical="top"/>
    </xf>
    <xf numFmtId="0" fontId="14" fillId="0" borderId="1" xfId="4" applyFont="1" applyFill="1" applyBorder="1" applyAlignment="1" applyProtection="1">
      <alignment horizontal="left" vertical="top" wrapText="1"/>
      <protection locked="0"/>
    </xf>
    <xf numFmtId="0" fontId="14" fillId="0" borderId="2" xfId="4" applyFont="1" applyFill="1" applyBorder="1" applyAlignment="1" applyProtection="1">
      <alignment horizontal="left" vertical="top" wrapText="1"/>
      <protection locked="0"/>
    </xf>
    <xf numFmtId="0" fontId="4" fillId="3" borderId="1" xfId="4" applyFont="1" applyFill="1" applyBorder="1" applyAlignment="1" applyProtection="1">
      <alignment horizontal="left" vertical="top" wrapText="1"/>
      <protection locked="0"/>
    </xf>
    <xf numFmtId="0" fontId="4" fillId="3" borderId="2" xfId="4" applyFont="1" applyFill="1" applyBorder="1" applyAlignment="1" applyProtection="1">
      <alignment horizontal="left" vertical="top" wrapText="1"/>
      <protection locked="0"/>
    </xf>
    <xf numFmtId="0" fontId="4" fillId="3" borderId="3" xfId="4" applyFont="1" applyFill="1" applyBorder="1" applyAlignment="1" applyProtection="1">
      <alignment horizontal="left" vertical="top" wrapText="1"/>
      <protection locked="0"/>
    </xf>
    <xf numFmtId="0" fontId="4" fillId="3" borderId="0" xfId="4" applyFont="1" applyFill="1" applyBorder="1" applyAlignment="1" applyProtection="1">
      <alignment horizontal="left" vertical="top" wrapText="1"/>
      <protection locked="0"/>
    </xf>
    <xf numFmtId="0" fontId="46" fillId="0" borderId="1" xfId="4" applyNumberFormat="1" applyFont="1" applyFill="1" applyBorder="1" applyAlignment="1" applyProtection="1">
      <alignment horizontal="left" vertical="top" wrapText="1"/>
      <protection locked="0"/>
    </xf>
    <xf numFmtId="0" fontId="46" fillId="0" borderId="2" xfId="4" applyNumberFormat="1" applyFont="1" applyFill="1" applyBorder="1" applyAlignment="1" applyProtection="1">
      <alignment horizontal="left" vertical="top" wrapText="1"/>
      <protection locked="0"/>
    </xf>
    <xf numFmtId="0" fontId="46" fillId="0" borderId="3" xfId="4" applyNumberFormat="1" applyFont="1" applyFill="1" applyBorder="1" applyAlignment="1" applyProtection="1">
      <alignment horizontal="left" vertical="top" wrapText="1"/>
      <protection locked="0"/>
    </xf>
    <xf numFmtId="0" fontId="14" fillId="0" borderId="3" xfId="4" applyFont="1" applyFill="1" applyBorder="1" applyAlignment="1" applyProtection="1">
      <alignment horizontal="left" vertical="top" wrapText="1"/>
      <protection locked="0"/>
    </xf>
    <xf numFmtId="0" fontId="14" fillId="0" borderId="1" xfId="4" applyNumberFormat="1" applyFont="1" applyFill="1" applyBorder="1" applyAlignment="1" applyProtection="1">
      <alignment horizontal="left" vertical="top" wrapText="1"/>
      <protection locked="0"/>
    </xf>
    <xf numFmtId="0" fontId="14" fillId="0" borderId="2" xfId="4" applyNumberFormat="1" applyFont="1" applyFill="1" applyBorder="1" applyAlignment="1" applyProtection="1">
      <alignment horizontal="left" vertical="top" wrapText="1"/>
      <protection locked="0"/>
    </xf>
    <xf numFmtId="0" fontId="4" fillId="0" borderId="1" xfId="3" applyFont="1" applyFill="1" applyBorder="1" applyAlignment="1" applyProtection="1">
      <alignment horizontal="left" vertical="top"/>
    </xf>
    <xf numFmtId="0" fontId="4" fillId="0" borderId="2" xfId="3" applyFont="1" applyFill="1" applyBorder="1" applyAlignment="1" applyProtection="1">
      <alignment horizontal="left" vertical="top"/>
    </xf>
    <xf numFmtId="0" fontId="4" fillId="0" borderId="3" xfId="3" applyFont="1" applyFill="1" applyBorder="1" applyAlignment="1" applyProtection="1">
      <alignment horizontal="left" vertical="top"/>
    </xf>
    <xf numFmtId="0" fontId="4" fillId="3" borderId="1" xfId="3" applyFont="1" applyFill="1" applyBorder="1" applyAlignment="1" applyProtection="1">
      <alignment horizontal="left" vertical="top" wrapText="1"/>
    </xf>
    <xf numFmtId="0" fontId="4" fillId="3" borderId="2" xfId="3" applyFont="1" applyFill="1" applyBorder="1" applyAlignment="1" applyProtection="1">
      <alignment horizontal="left" vertical="top" wrapText="1"/>
    </xf>
    <xf numFmtId="0" fontId="4" fillId="3" borderId="3" xfId="3" applyFont="1" applyFill="1" applyBorder="1" applyAlignment="1" applyProtection="1">
      <alignment horizontal="left" vertical="top" wrapText="1"/>
    </xf>
    <xf numFmtId="0" fontId="4" fillId="3" borderId="1" xfId="3" applyNumberFormat="1" applyFont="1" applyFill="1" applyBorder="1" applyAlignment="1" applyProtection="1">
      <alignment horizontal="left" vertical="top" wrapText="1"/>
    </xf>
    <xf numFmtId="0" fontId="4" fillId="3" borderId="2" xfId="3" applyNumberFormat="1" applyFont="1" applyFill="1" applyBorder="1" applyAlignment="1" applyProtection="1">
      <alignment horizontal="left" vertical="top" wrapText="1"/>
    </xf>
    <xf numFmtId="0" fontId="4" fillId="3" borderId="3" xfId="3" applyNumberFormat="1" applyFont="1" applyFill="1" applyBorder="1" applyAlignment="1" applyProtection="1">
      <alignment horizontal="left" vertical="top" wrapText="1"/>
    </xf>
    <xf numFmtId="0" fontId="4" fillId="3" borderId="17" xfId="3" quotePrefix="1" applyFont="1" applyFill="1" applyBorder="1" applyAlignment="1" applyProtection="1">
      <alignment horizontal="center" vertical="top" wrapText="1"/>
    </xf>
    <xf numFmtId="0" fontId="4" fillId="3" borderId="18" xfId="3" quotePrefix="1" applyFont="1" applyFill="1" applyBorder="1" applyAlignment="1" applyProtection="1">
      <alignment horizontal="center" vertical="top" wrapText="1"/>
    </xf>
    <xf numFmtId="0" fontId="21" fillId="3" borderId="17" xfId="3" quotePrefix="1" applyFont="1" applyFill="1" applyBorder="1" applyAlignment="1" applyProtection="1">
      <alignment horizontal="center" vertical="top" wrapText="1"/>
    </xf>
    <xf numFmtId="0" fontId="21" fillId="3" borderId="18" xfId="3" quotePrefix="1" applyFont="1" applyFill="1" applyBorder="1" applyAlignment="1" applyProtection="1">
      <alignment horizontal="center" vertical="top" wrapText="1"/>
    </xf>
    <xf numFmtId="0" fontId="4" fillId="0" borderId="0" xfId="4" applyFont="1" applyFill="1" applyBorder="1" applyAlignment="1">
      <alignment vertical="top" wrapText="1"/>
    </xf>
    <xf numFmtId="0" fontId="4" fillId="0" borderId="1" xfId="3" applyFont="1" applyFill="1" applyBorder="1" applyAlignment="1">
      <alignment horizontal="left" vertical="top" wrapText="1"/>
    </xf>
    <xf numFmtId="0" fontId="4" fillId="0" borderId="2" xfId="3" applyFont="1" applyFill="1" applyBorder="1" applyAlignment="1">
      <alignment horizontal="left" vertical="top" wrapText="1"/>
    </xf>
    <xf numFmtId="0" fontId="4" fillId="0" borderId="3" xfId="3" applyFont="1" applyFill="1" applyBorder="1" applyAlignment="1">
      <alignment horizontal="left" vertical="top" wrapText="1"/>
    </xf>
    <xf numFmtId="0" fontId="27" fillId="9" borderId="51" xfId="3" applyFont="1" applyFill="1" applyBorder="1" applyAlignment="1">
      <alignment horizontal="center" vertical="center"/>
    </xf>
    <xf numFmtId="0" fontId="27" fillId="9" borderId="53" xfId="3" applyFont="1" applyFill="1" applyBorder="1" applyAlignment="1">
      <alignment horizontal="center" vertical="center"/>
    </xf>
    <xf numFmtId="0" fontId="4" fillId="0" borderId="1" xfId="4" applyFont="1" applyFill="1" applyBorder="1" applyAlignment="1">
      <alignment horizontal="left" vertical="top"/>
    </xf>
    <xf numFmtId="0" fontId="4" fillId="0" borderId="2" xfId="4" applyFont="1" applyFill="1" applyBorder="1" applyAlignment="1">
      <alignment horizontal="left" vertical="top"/>
    </xf>
    <xf numFmtId="0" fontId="4" fillId="0" borderId="3" xfId="4" applyFont="1" applyFill="1" applyBorder="1" applyAlignment="1">
      <alignment horizontal="left" vertical="top"/>
    </xf>
    <xf numFmtId="0" fontId="4" fillId="0" borderId="1" xfId="4" applyFont="1" applyFill="1" applyBorder="1" applyAlignment="1">
      <alignment vertical="top" wrapText="1"/>
    </xf>
    <xf numFmtId="0" fontId="4" fillId="0" borderId="2" xfId="4" applyFont="1" applyFill="1" applyBorder="1" applyAlignment="1">
      <alignment vertical="top" wrapText="1"/>
    </xf>
    <xf numFmtId="0" fontId="4" fillId="0" borderId="3" xfId="4" applyFont="1" applyFill="1" applyBorder="1" applyAlignment="1">
      <alignment vertical="top" wrapText="1"/>
    </xf>
    <xf numFmtId="0" fontId="19" fillId="0" borderId="1" xfId="4" applyFont="1" applyFill="1" applyBorder="1" applyAlignment="1">
      <alignment vertical="top" wrapText="1"/>
    </xf>
    <xf numFmtId="0" fontId="61" fillId="10" borderId="48" xfId="3" applyFont="1" applyFill="1" applyBorder="1" applyAlignment="1">
      <alignment horizontal="center" wrapText="1"/>
    </xf>
    <xf numFmtId="0" fontId="61" fillId="10" borderId="49" xfId="3" applyFont="1" applyFill="1" applyBorder="1" applyAlignment="1">
      <alignment horizontal="center" wrapText="1"/>
    </xf>
    <xf numFmtId="0" fontId="61" fillId="10" borderId="50" xfId="3" applyFont="1" applyFill="1" applyBorder="1" applyAlignment="1">
      <alignment horizontal="center" wrapText="1"/>
    </xf>
    <xf numFmtId="0" fontId="4" fillId="0" borderId="0" xfId="4" applyFont="1" applyFill="1" applyBorder="1" applyAlignment="1" applyProtection="1">
      <alignment vertical="top" wrapText="1"/>
    </xf>
    <xf numFmtId="0" fontId="4" fillId="0" borderId="1" xfId="4" applyFont="1" applyFill="1" applyBorder="1" applyAlignment="1">
      <alignment horizontal="left" vertical="top" wrapText="1"/>
    </xf>
    <xf numFmtId="0" fontId="4" fillId="0" borderId="2" xfId="4" applyFont="1" applyFill="1" applyBorder="1" applyAlignment="1">
      <alignment horizontal="left" vertical="top" wrapText="1"/>
    </xf>
    <xf numFmtId="0" fontId="4" fillId="0" borderId="3" xfId="4" applyFont="1" applyFill="1" applyBorder="1" applyAlignment="1">
      <alignment horizontal="left" vertical="top" wrapText="1"/>
    </xf>
    <xf numFmtId="0" fontId="4" fillId="0" borderId="1" xfId="15" applyFont="1" applyFill="1" applyBorder="1" applyAlignment="1" applyProtection="1">
      <alignment horizontal="left" vertical="top" wrapText="1"/>
    </xf>
    <xf numFmtId="0" fontId="4" fillId="0" borderId="2" xfId="15" applyFont="1" applyFill="1" applyBorder="1" applyAlignment="1" applyProtection="1">
      <alignment horizontal="left" vertical="top" wrapText="1"/>
    </xf>
    <xf numFmtId="0" fontId="4" fillId="0" borderId="3" xfId="15" applyFont="1" applyFill="1" applyBorder="1" applyAlignment="1" applyProtection="1">
      <alignment horizontal="left" vertical="top" wrapText="1"/>
    </xf>
    <xf numFmtId="17" fontId="9" fillId="0" borderId="18" xfId="15" quotePrefix="1" applyNumberFormat="1" applyFont="1" applyFill="1" applyBorder="1" applyAlignment="1" applyProtection="1">
      <alignment horizontal="center" wrapText="1"/>
    </xf>
    <xf numFmtId="0" fontId="9" fillId="0" borderId="18" xfId="15" applyFont="1" applyFill="1" applyBorder="1" applyAlignment="1" applyProtection="1">
      <alignment horizontal="center" wrapText="1"/>
    </xf>
    <xf numFmtId="0" fontId="9" fillId="0" borderId="18" xfId="15" applyNumberFormat="1" applyFont="1" applyFill="1" applyBorder="1" applyAlignment="1" applyProtection="1">
      <alignment horizontal="center" wrapText="1"/>
    </xf>
    <xf numFmtId="0" fontId="9" fillId="0" borderId="19" xfId="15" applyNumberFormat="1" applyFont="1" applyFill="1" applyBorder="1" applyAlignment="1" applyProtection="1">
      <alignment horizontal="center" wrapText="1"/>
    </xf>
    <xf numFmtId="3" fontId="9" fillId="0" borderId="58" xfId="15" applyNumberFormat="1" applyFont="1" applyFill="1" applyBorder="1" applyAlignment="1">
      <alignment horizontal="center"/>
    </xf>
    <xf numFmtId="3" fontId="9" fillId="0" borderId="10" xfId="15" applyNumberFormat="1" applyFont="1" applyFill="1" applyBorder="1" applyAlignment="1">
      <alignment horizontal="center"/>
    </xf>
    <xf numFmtId="3" fontId="9" fillId="0" borderId="83" xfId="15" applyNumberFormat="1" applyFont="1" applyFill="1" applyBorder="1" applyAlignment="1">
      <alignment horizontal="center"/>
    </xf>
    <xf numFmtId="3" fontId="9" fillId="0" borderId="46" xfId="15" applyNumberFormat="1" applyFont="1" applyFill="1" applyBorder="1" applyAlignment="1">
      <alignment horizontal="center"/>
    </xf>
    <xf numFmtId="0" fontId="4" fillId="0" borderId="1" xfId="15" applyFont="1" applyFill="1" applyBorder="1" applyAlignment="1" applyProtection="1">
      <alignment vertical="top" wrapText="1"/>
    </xf>
    <xf numFmtId="0" fontId="4" fillId="0" borderId="2" xfId="15" applyFont="1" applyFill="1" applyBorder="1" applyAlignment="1" applyProtection="1">
      <alignment vertical="top" wrapText="1"/>
    </xf>
    <xf numFmtId="0" fontId="4" fillId="0" borderId="3" xfId="15" applyFont="1" applyFill="1" applyBorder="1" applyAlignment="1" applyProtection="1">
      <alignment vertical="top" wrapText="1"/>
    </xf>
    <xf numFmtId="0" fontId="9" fillId="3" borderId="0" xfId="3" applyFont="1" applyFill="1" applyBorder="1" applyAlignment="1" applyProtection="1">
      <alignment horizontal="center" wrapText="1"/>
    </xf>
    <xf numFmtId="0" fontId="1" fillId="0" borderId="2" xfId="3" applyFont="1" applyBorder="1" applyAlignment="1">
      <alignment wrapText="1"/>
    </xf>
    <xf numFmtId="0" fontId="1" fillId="0" borderId="3" xfId="3" applyFont="1" applyBorder="1" applyAlignment="1">
      <alignment wrapText="1"/>
    </xf>
    <xf numFmtId="0" fontId="4" fillId="0" borderId="2" xfId="3" applyFont="1" applyBorder="1" applyAlignment="1">
      <alignment wrapText="1"/>
    </xf>
    <xf numFmtId="0" fontId="4" fillId="0" borderId="3" xfId="3" applyFont="1" applyBorder="1" applyAlignment="1">
      <alignment wrapText="1"/>
    </xf>
    <xf numFmtId="0" fontId="9" fillId="3" borderId="18" xfId="3" applyFont="1" applyFill="1" applyBorder="1" applyAlignment="1" applyProtection="1">
      <alignment horizontal="center" wrapText="1"/>
    </xf>
    <xf numFmtId="0" fontId="9" fillId="3" borderId="66" xfId="3" applyFont="1" applyFill="1" applyBorder="1" applyAlignment="1" applyProtection="1">
      <alignment horizontal="center" wrapText="1"/>
    </xf>
    <xf numFmtId="0" fontId="9" fillId="3" borderId="57" xfId="3" applyFont="1" applyFill="1" applyBorder="1" applyAlignment="1" applyProtection="1">
      <alignment horizontal="center" wrapText="1"/>
    </xf>
    <xf numFmtId="0" fontId="4" fillId="0" borderId="35" xfId="3" applyFont="1" applyFill="1" applyBorder="1" applyAlignment="1" applyProtection="1">
      <alignment horizontal="left" vertical="top" wrapText="1"/>
    </xf>
    <xf numFmtId="0" fontId="9" fillId="0" borderId="18" xfId="3" applyFont="1" applyFill="1" applyBorder="1" applyAlignment="1" applyProtection="1">
      <alignment horizontal="center"/>
    </xf>
    <xf numFmtId="0" fontId="9" fillId="0" borderId="66" xfId="3" applyFont="1" applyFill="1" applyBorder="1" applyAlignment="1" applyProtection="1">
      <alignment horizontal="center"/>
    </xf>
    <xf numFmtId="0" fontId="9" fillId="0" borderId="57" xfId="3" applyFont="1" applyFill="1" applyBorder="1" applyAlignment="1" applyProtection="1">
      <alignment horizontal="center"/>
    </xf>
    <xf numFmtId="0" fontId="9" fillId="0" borderId="19" xfId="3" applyFont="1" applyFill="1" applyBorder="1" applyAlignment="1" applyProtection="1">
      <alignment horizontal="center"/>
    </xf>
    <xf numFmtId="0" fontId="9" fillId="3" borderId="0" xfId="4" applyFont="1" applyFill="1" applyBorder="1" applyAlignment="1" applyProtection="1">
      <alignment horizontal="center" wrapText="1"/>
    </xf>
    <xf numFmtId="0" fontId="13" fillId="3" borderId="1" xfId="3" applyFont="1" applyFill="1" applyBorder="1" applyAlignment="1" applyProtection="1">
      <alignment vertical="top" wrapText="1"/>
    </xf>
    <xf numFmtId="0" fontId="13" fillId="3" borderId="2" xfId="3" applyFont="1" applyFill="1" applyBorder="1" applyAlignment="1" applyProtection="1">
      <alignment vertical="top" wrapText="1"/>
    </xf>
    <xf numFmtId="0" fontId="13" fillId="3" borderId="3" xfId="3" applyFont="1" applyFill="1" applyBorder="1" applyAlignment="1" applyProtection="1">
      <alignment vertical="top" wrapText="1"/>
    </xf>
    <xf numFmtId="0" fontId="13" fillId="3" borderId="1" xfId="3" applyFont="1" applyFill="1" applyBorder="1" applyAlignment="1" applyProtection="1">
      <alignment vertical="top"/>
    </xf>
    <xf numFmtId="0" fontId="13" fillId="3" borderId="2" xfId="3" applyFont="1" applyFill="1" applyBorder="1" applyAlignment="1" applyProtection="1">
      <alignment vertical="top"/>
    </xf>
    <xf numFmtId="0" fontId="13" fillId="3" borderId="3" xfId="3" applyFont="1" applyFill="1" applyBorder="1" applyAlignment="1" applyProtection="1">
      <alignment vertical="top"/>
    </xf>
    <xf numFmtId="0" fontId="4" fillId="0" borderId="1" xfId="3" applyFont="1" applyFill="1" applyBorder="1" applyAlignment="1">
      <alignment vertical="top" wrapText="1"/>
    </xf>
    <xf numFmtId="0" fontId="4" fillId="0" borderId="2" xfId="3" applyFont="1" applyFill="1" applyBorder="1" applyAlignment="1">
      <alignment vertical="top" wrapText="1"/>
    </xf>
    <xf numFmtId="0" fontId="4" fillId="0" borderId="3" xfId="3" applyFont="1" applyFill="1" applyBorder="1" applyAlignment="1">
      <alignment vertical="top" wrapText="1"/>
    </xf>
    <xf numFmtId="0" fontId="9" fillId="0" borderId="0" xfId="3" applyFont="1" applyFill="1" applyBorder="1" applyAlignment="1">
      <alignment horizontal="center" vertical="top" wrapText="1"/>
    </xf>
    <xf numFmtId="0" fontId="1" fillId="0" borderId="1" xfId="3" applyFont="1" applyFill="1" applyBorder="1" applyAlignment="1"/>
    <xf numFmtId="0" fontId="1" fillId="0" borderId="2" xfId="3" applyFont="1" applyFill="1" applyBorder="1" applyAlignment="1"/>
    <xf numFmtId="0" fontId="1" fillId="0" borderId="3" xfId="3" applyFont="1" applyFill="1" applyBorder="1" applyAlignment="1"/>
    <xf numFmtId="0" fontId="8" fillId="0" borderId="9" xfId="15" applyFont="1" applyFill="1" applyBorder="1" applyAlignment="1"/>
    <xf numFmtId="0" fontId="8" fillId="0" borderId="0" xfId="15" applyFont="1" applyFill="1" applyBorder="1" applyAlignment="1"/>
    <xf numFmtId="0" fontId="4" fillId="0" borderId="1" xfId="15" applyFont="1" applyFill="1" applyBorder="1" applyAlignment="1">
      <alignment vertical="top" wrapText="1"/>
    </xf>
    <xf numFmtId="0" fontId="4" fillId="0" borderId="2" xfId="15" applyFont="1" applyFill="1" applyBorder="1" applyAlignment="1">
      <alignment vertical="top" wrapText="1"/>
    </xf>
    <xf numFmtId="0" fontId="4" fillId="0" borderId="3" xfId="15" applyFont="1" applyFill="1" applyBorder="1" applyAlignment="1">
      <alignment vertical="top" wrapText="1"/>
    </xf>
    <xf numFmtId="0" fontId="4" fillId="0" borderId="1" xfId="15" applyFont="1" applyFill="1" applyBorder="1" applyAlignment="1">
      <alignment horizontal="left" vertical="top" wrapText="1"/>
    </xf>
    <xf numFmtId="0" fontId="4" fillId="0" borderId="2" xfId="15" applyFont="1" applyFill="1" applyBorder="1" applyAlignment="1">
      <alignment horizontal="left" vertical="top" wrapText="1"/>
    </xf>
    <xf numFmtId="0" fontId="4" fillId="0" borderId="3" xfId="15" applyFont="1" applyFill="1" applyBorder="1" applyAlignment="1">
      <alignment horizontal="left" vertical="top" wrapText="1"/>
    </xf>
    <xf numFmtId="0" fontId="8" fillId="0" borderId="47" xfId="15" applyFont="1" applyFill="1" applyBorder="1" applyAlignment="1">
      <alignment wrapText="1"/>
    </xf>
    <xf numFmtId="0" fontId="8" fillId="0" borderId="45" xfId="15" applyFont="1" applyFill="1" applyBorder="1" applyAlignment="1">
      <alignment wrapText="1"/>
    </xf>
    <xf numFmtId="0" fontId="8" fillId="0" borderId="29" xfId="15" applyFont="1" applyFill="1" applyBorder="1" applyAlignment="1"/>
    <xf numFmtId="0" fontId="8" fillId="0" borderId="21" xfId="15" applyFont="1" applyFill="1" applyBorder="1" applyAlignment="1"/>
    <xf numFmtId="0" fontId="9" fillId="0" borderId="23" xfId="17" applyNumberFormat="1" applyFont="1" applyFill="1" applyBorder="1" applyAlignment="1">
      <alignment horizontal="center"/>
    </xf>
    <xf numFmtId="0" fontId="9" fillId="0" borderId="24" xfId="17" applyNumberFormat="1" applyFont="1" applyFill="1" applyBorder="1" applyAlignment="1">
      <alignment horizontal="center"/>
    </xf>
    <xf numFmtId="0" fontId="4" fillId="0" borderId="1" xfId="15" applyNumberFormat="1" applyFont="1" applyFill="1" applyBorder="1" applyAlignment="1">
      <alignment vertical="top" wrapText="1"/>
    </xf>
    <xf numFmtId="0" fontId="4" fillId="0" borderId="2" xfId="15" applyNumberFormat="1" applyFont="1" applyFill="1" applyBorder="1" applyAlignment="1">
      <alignment vertical="top" wrapText="1"/>
    </xf>
    <xf numFmtId="0" fontId="4" fillId="0" borderId="3" xfId="15" applyNumberFormat="1" applyFont="1" applyFill="1" applyBorder="1" applyAlignment="1">
      <alignment vertical="top" wrapText="1"/>
    </xf>
    <xf numFmtId="0" fontId="4" fillId="0" borderId="1" xfId="15" applyNumberFormat="1" applyFont="1" applyFill="1" applyBorder="1" applyAlignment="1" applyProtection="1">
      <alignment vertical="top" wrapText="1"/>
    </xf>
    <xf numFmtId="0" fontId="4" fillId="0" borderId="2" xfId="15" applyNumberFormat="1" applyFont="1" applyFill="1" applyBorder="1" applyAlignment="1" applyProtection="1">
      <alignment vertical="top" wrapText="1"/>
    </xf>
    <xf numFmtId="0" fontId="4" fillId="0" borderId="3" xfId="15" applyNumberFormat="1" applyFont="1" applyFill="1" applyBorder="1" applyAlignment="1" applyProtection="1">
      <alignment vertical="top" wrapText="1"/>
    </xf>
    <xf numFmtId="0" fontId="9" fillId="0" borderId="73" xfId="17" applyNumberFormat="1" applyFont="1" applyFill="1" applyBorder="1" applyAlignment="1">
      <alignment horizontal="center"/>
    </xf>
    <xf numFmtId="0" fontId="4" fillId="0" borderId="83" xfId="3" applyFont="1" applyFill="1" applyBorder="1" applyAlignment="1" applyProtection="1">
      <alignment vertical="top" wrapText="1"/>
    </xf>
    <xf numFmtId="0" fontId="4" fillId="0" borderId="45" xfId="3" applyFont="1" applyFill="1" applyBorder="1" applyAlignment="1" applyProtection="1">
      <alignment vertical="top" wrapText="1"/>
    </xf>
    <xf numFmtId="0" fontId="4" fillId="0" borderId="84" xfId="3" applyFont="1" applyFill="1" applyBorder="1" applyAlignment="1" applyProtection="1">
      <alignment vertical="top" wrapText="1"/>
    </xf>
    <xf numFmtId="0" fontId="4" fillId="0" borderId="20" xfId="3" applyFont="1" applyFill="1" applyBorder="1" applyAlignment="1" applyProtection="1">
      <alignment vertical="top" wrapText="1"/>
    </xf>
    <xf numFmtId="0" fontId="4" fillId="0" borderId="21" xfId="3" applyFont="1" applyFill="1" applyBorder="1" applyAlignment="1" applyProtection="1">
      <alignment vertical="top" wrapText="1"/>
    </xf>
    <xf numFmtId="0" fontId="4" fillId="0" borderId="22" xfId="3" applyFont="1" applyFill="1" applyBorder="1" applyAlignment="1" applyProtection="1">
      <alignment vertical="top" wrapText="1"/>
    </xf>
    <xf numFmtId="0" fontId="4" fillId="0" borderId="1" xfId="3" applyFont="1" applyFill="1" applyBorder="1" applyAlignment="1">
      <alignment wrapText="1"/>
    </xf>
    <xf numFmtId="0" fontId="4" fillId="0" borderId="2" xfId="3" applyFont="1" applyFill="1" applyBorder="1" applyAlignment="1">
      <alignment wrapText="1"/>
    </xf>
    <xf numFmtId="0" fontId="4" fillId="0" borderId="3" xfId="3" applyFont="1" applyFill="1" applyBorder="1" applyAlignment="1">
      <alignment wrapText="1"/>
    </xf>
    <xf numFmtId="0" fontId="9" fillId="0" borderId="25" xfId="3" applyFont="1" applyFill="1" applyBorder="1" applyAlignment="1">
      <alignment horizontal="center"/>
    </xf>
    <xf numFmtId="0" fontId="9" fillId="0" borderId="25" xfId="3" applyFont="1" applyFill="1" applyBorder="1" applyAlignment="1">
      <alignment horizontal="center" wrapText="1"/>
    </xf>
    <xf numFmtId="0" fontId="9" fillId="3" borderId="0" xfId="3" applyFont="1" applyFill="1" applyBorder="1" applyAlignment="1">
      <alignment horizontal="center"/>
    </xf>
    <xf numFmtId="0" fontId="9" fillId="3" borderId="0" xfId="3" applyFont="1" applyFill="1" applyBorder="1" applyAlignment="1">
      <alignment horizontal="center" wrapText="1"/>
    </xf>
    <xf numFmtId="0" fontId="6" fillId="0" borderId="0" xfId="3" applyFont="1" applyFill="1" applyAlignment="1" applyProtection="1">
      <alignment vertical="top" wrapText="1"/>
    </xf>
    <xf numFmtId="0" fontId="4" fillId="0" borderId="1" xfId="3" applyNumberFormat="1" applyFont="1" applyFill="1" applyBorder="1" applyAlignment="1">
      <alignment horizontal="left" vertical="top" wrapText="1"/>
    </xf>
    <xf numFmtId="0" fontId="4" fillId="0" borderId="2" xfId="3" applyNumberFormat="1" applyFont="1" applyFill="1" applyBorder="1" applyAlignment="1">
      <alignment horizontal="left" vertical="top" wrapText="1"/>
    </xf>
    <xf numFmtId="0" fontId="4" fillId="0" borderId="3" xfId="3" applyNumberFormat="1" applyFont="1" applyFill="1" applyBorder="1" applyAlignment="1">
      <alignment horizontal="left" vertical="top" wrapText="1"/>
    </xf>
    <xf numFmtId="0" fontId="4" fillId="0" borderId="1" xfId="3" applyFont="1" applyFill="1" applyBorder="1" applyAlignment="1">
      <alignment horizontal="left" wrapText="1"/>
    </xf>
    <xf numFmtId="0" fontId="4" fillId="0" borderId="2" xfId="3" applyFont="1" applyFill="1" applyBorder="1" applyAlignment="1">
      <alignment horizontal="left" wrapText="1"/>
    </xf>
    <xf numFmtId="0" fontId="4" fillId="0" borderId="3" xfId="3" applyFont="1" applyFill="1" applyBorder="1" applyAlignment="1">
      <alignment horizontal="left" wrapText="1"/>
    </xf>
    <xf numFmtId="0" fontId="4" fillId="0" borderId="58" xfId="4" applyFont="1" applyFill="1" applyBorder="1" applyAlignment="1">
      <alignment horizontal="center" vertical="top" wrapText="1"/>
    </xf>
    <xf numFmtId="0" fontId="4" fillId="0" borderId="0" xfId="4" applyFont="1" applyFill="1" applyBorder="1" applyAlignment="1">
      <alignment horizontal="center" vertical="top" wrapText="1"/>
    </xf>
    <xf numFmtId="0" fontId="4" fillId="0" borderId="10" xfId="4" applyFont="1" applyFill="1" applyBorder="1" applyAlignment="1">
      <alignment horizontal="center" vertical="top" wrapText="1"/>
    </xf>
    <xf numFmtId="0" fontId="4" fillId="0" borderId="20" xfId="4" applyFont="1" applyFill="1" applyBorder="1" applyAlignment="1">
      <alignment horizontal="center" vertical="top" wrapText="1"/>
    </xf>
    <xf numFmtId="0" fontId="4" fillId="0" borderId="21" xfId="4" applyFont="1" applyFill="1" applyBorder="1" applyAlignment="1">
      <alignment horizontal="center" vertical="top" wrapText="1"/>
    </xf>
    <xf numFmtId="0" fontId="4" fillId="0" borderId="22" xfId="4" applyFont="1" applyFill="1" applyBorder="1" applyAlignment="1">
      <alignment horizontal="center" vertical="top" wrapText="1"/>
    </xf>
    <xf numFmtId="0" fontId="4" fillId="0" borderId="1" xfId="3" applyNumberFormat="1" applyFont="1" applyFill="1" applyBorder="1" applyAlignment="1">
      <alignment vertical="top" wrapText="1"/>
    </xf>
    <xf numFmtId="0" fontId="4" fillId="0" borderId="2" xfId="3" applyNumberFormat="1" applyFont="1" applyFill="1" applyBorder="1" applyAlignment="1">
      <alignment vertical="top" wrapText="1"/>
    </xf>
    <xf numFmtId="0" fontId="4" fillId="0" borderId="3" xfId="3" applyNumberFormat="1" applyFont="1" applyFill="1" applyBorder="1" applyAlignment="1">
      <alignment vertical="top" wrapText="1"/>
    </xf>
    <xf numFmtId="0" fontId="142" fillId="0" borderId="0" xfId="3" applyFont="1" applyFill="1" applyAlignment="1">
      <alignment horizontal="left" vertical="top" wrapText="1"/>
    </xf>
    <xf numFmtId="0" fontId="9" fillId="0" borderId="18" xfId="3" applyFont="1" applyFill="1" applyBorder="1" applyAlignment="1">
      <alignment horizontal="center" wrapText="1"/>
    </xf>
    <xf numFmtId="0" fontId="9" fillId="0" borderId="66" xfId="3" applyFont="1" applyFill="1" applyBorder="1" applyAlignment="1">
      <alignment horizontal="center" wrapText="1"/>
    </xf>
    <xf numFmtId="0" fontId="9" fillId="0" borderId="57" xfId="3" applyFont="1" applyFill="1" applyBorder="1" applyAlignment="1">
      <alignment horizontal="center" wrapText="1"/>
    </xf>
    <xf numFmtId="0" fontId="9" fillId="0" borderId="19" xfId="3" applyFont="1" applyFill="1" applyBorder="1" applyAlignment="1">
      <alignment horizontal="center" wrapText="1"/>
    </xf>
    <xf numFmtId="0" fontId="4" fillId="0" borderId="83" xfId="3" applyNumberFormat="1" applyFont="1" applyFill="1" applyBorder="1" applyAlignment="1">
      <alignment horizontal="left" vertical="top" wrapText="1"/>
    </xf>
    <xf numFmtId="0" fontId="4" fillId="0" borderId="45" xfId="3" applyNumberFormat="1" applyFont="1" applyFill="1" applyBorder="1" applyAlignment="1">
      <alignment horizontal="left" vertical="top" wrapText="1"/>
    </xf>
    <xf numFmtId="0" fontId="4" fillId="0" borderId="84" xfId="3" applyNumberFormat="1" applyFont="1" applyFill="1" applyBorder="1" applyAlignment="1">
      <alignment horizontal="left" vertical="top" wrapText="1"/>
    </xf>
    <xf numFmtId="0" fontId="4" fillId="0" borderId="83" xfId="3" applyFont="1" applyFill="1" applyBorder="1" applyAlignment="1">
      <alignment horizontal="left" vertical="top" wrapText="1"/>
    </xf>
    <xf numFmtId="0" fontId="4" fillId="0" borderId="45" xfId="3" applyFont="1" applyFill="1" applyBorder="1" applyAlignment="1">
      <alignment horizontal="left" vertical="top" wrapText="1"/>
    </xf>
    <xf numFmtId="0" fontId="4" fillId="0" borderId="84" xfId="3" applyFont="1" applyFill="1" applyBorder="1" applyAlignment="1">
      <alignment horizontal="left" vertical="top" wrapText="1"/>
    </xf>
    <xf numFmtId="0" fontId="27" fillId="0" borderId="0" xfId="15" applyFont="1" applyFill="1" applyBorder="1" applyAlignment="1">
      <alignment horizontal="center"/>
    </xf>
    <xf numFmtId="0" fontId="14" fillId="0" borderId="0" xfId="3" applyFont="1" applyFill="1" applyBorder="1" applyAlignment="1">
      <alignment vertical="top" wrapText="1"/>
    </xf>
    <xf numFmtId="0" fontId="132" fillId="0" borderId="17" xfId="15" applyFont="1" applyFill="1" applyBorder="1" applyAlignment="1">
      <alignment horizontal="center" vertical="center"/>
    </xf>
    <xf numFmtId="0" fontId="132" fillId="0" borderId="19" xfId="15" applyFont="1" applyFill="1" applyBorder="1" applyAlignment="1">
      <alignment horizontal="center" vertical="center"/>
    </xf>
    <xf numFmtId="0" fontId="132" fillId="0" borderId="25" xfId="15" applyFont="1" applyFill="1" applyBorder="1" applyAlignment="1">
      <alignment horizontal="center"/>
    </xf>
    <xf numFmtId="0" fontId="132" fillId="0" borderId="17" xfId="15" applyFont="1" applyFill="1" applyBorder="1" applyAlignment="1">
      <alignment horizontal="center"/>
    </xf>
    <xf numFmtId="0" fontId="132" fillId="0" borderId="19" xfId="15" applyFont="1" applyFill="1" applyBorder="1" applyAlignment="1">
      <alignment horizontal="center"/>
    </xf>
    <xf numFmtId="0" fontId="9" fillId="0" borderId="65" xfId="3" applyFont="1" applyFill="1" applyBorder="1" applyAlignment="1">
      <alignment horizontal="center"/>
    </xf>
    <xf numFmtId="0" fontId="9" fillId="0" borderId="0" xfId="3" applyFont="1" applyFill="1" applyBorder="1" applyAlignment="1">
      <alignment horizontal="center"/>
    </xf>
    <xf numFmtId="0" fontId="1" fillId="0" borderId="24" xfId="18" applyFill="1" applyBorder="1"/>
    <xf numFmtId="0" fontId="14" fillId="0" borderId="0" xfId="3" applyFont="1" applyFill="1" applyBorder="1" applyAlignment="1" applyProtection="1">
      <alignment vertical="top" wrapText="1"/>
      <protection locked="0"/>
    </xf>
    <xf numFmtId="0" fontId="27" fillId="0" borderId="23" xfId="19" applyFont="1" applyFill="1" applyBorder="1" applyAlignment="1">
      <alignment horizontal="center" vertical="top"/>
    </xf>
    <xf numFmtId="0" fontId="20" fillId="0" borderId="73" xfId="3" applyFont="1" applyFill="1" applyBorder="1" applyAlignment="1" applyProtection="1">
      <alignment horizontal="center"/>
    </xf>
    <xf numFmtId="0" fontId="20" fillId="0" borderId="23" xfId="3" applyFont="1" applyFill="1" applyBorder="1" applyAlignment="1" applyProtection="1">
      <alignment horizontal="center"/>
    </xf>
    <xf numFmtId="0" fontId="20" fillId="0" borderId="24" xfId="3" applyFont="1" applyFill="1" applyBorder="1" applyAlignment="1" applyProtection="1">
      <alignment horizontal="center"/>
    </xf>
    <xf numFmtId="0" fontId="9" fillId="0" borderId="4" xfId="3" applyFont="1" applyFill="1" applyBorder="1" applyAlignment="1" applyProtection="1">
      <alignment horizontal="center" wrapText="1"/>
    </xf>
    <xf numFmtId="0" fontId="9" fillId="0" borderId="4" xfId="3" applyFont="1" applyFill="1" applyBorder="1" applyAlignment="1" applyProtection="1">
      <alignment horizontal="center"/>
    </xf>
    <xf numFmtId="0" fontId="9" fillId="0" borderId="5" xfId="3" applyFont="1" applyFill="1" applyBorder="1" applyAlignment="1" applyProtection="1">
      <alignment horizontal="center"/>
    </xf>
    <xf numFmtId="0" fontId="9" fillId="0" borderId="23" xfId="3" applyFont="1" applyFill="1" applyBorder="1" applyAlignment="1" applyProtection="1">
      <alignment horizontal="center"/>
    </xf>
    <xf numFmtId="0" fontId="9" fillId="0" borderId="72" xfId="3" applyFont="1" applyFill="1" applyBorder="1" applyAlignment="1" applyProtection="1">
      <alignment horizontal="center"/>
    </xf>
    <xf numFmtId="0" fontId="9" fillId="0" borderId="0" xfId="3" applyFont="1" applyFill="1" applyBorder="1" applyAlignment="1">
      <alignment horizontal="center" vertical="top"/>
    </xf>
    <xf numFmtId="0" fontId="20" fillId="0" borderId="72" xfId="3" applyFont="1" applyFill="1" applyBorder="1" applyAlignment="1" applyProtection="1">
      <alignment horizontal="center"/>
    </xf>
    <xf numFmtId="0" fontId="4" fillId="0" borderId="74" xfId="3" applyFont="1" applyFill="1" applyBorder="1" applyAlignment="1" applyProtection="1">
      <alignment horizontal="left" vertical="top" wrapText="1"/>
    </xf>
    <xf numFmtId="0" fontId="4" fillId="0" borderId="75" xfId="3" applyFont="1" applyFill="1" applyBorder="1" applyAlignment="1" applyProtection="1">
      <alignment horizontal="left" vertical="top" wrapText="1"/>
    </xf>
    <xf numFmtId="0" fontId="4" fillId="0" borderId="76" xfId="3" applyFont="1" applyFill="1" applyBorder="1" applyAlignment="1" applyProtection="1">
      <alignment horizontal="left" vertical="top" wrapText="1"/>
    </xf>
    <xf numFmtId="0" fontId="4" fillId="3" borderId="1" xfId="3" applyFont="1" applyFill="1" applyBorder="1" applyAlignment="1" applyProtection="1">
      <alignment vertical="top" wrapText="1"/>
      <protection locked="0"/>
    </xf>
    <xf numFmtId="0" fontId="4" fillId="3" borderId="2" xfId="3" applyFont="1" applyFill="1" applyBorder="1" applyAlignment="1" applyProtection="1">
      <alignment vertical="top" wrapText="1"/>
      <protection locked="0"/>
    </xf>
    <xf numFmtId="0" fontId="4" fillId="3" borderId="3" xfId="3" applyFont="1" applyFill="1" applyBorder="1" applyAlignment="1" applyProtection="1">
      <alignment vertical="top" wrapText="1"/>
      <protection locked="0"/>
    </xf>
    <xf numFmtId="0" fontId="4" fillId="3" borderId="1" xfId="3" applyNumberFormat="1" applyFont="1" applyFill="1" applyBorder="1" applyAlignment="1" applyProtection="1">
      <alignment vertical="top" wrapText="1"/>
    </xf>
    <xf numFmtId="0" fontId="4" fillId="3" borderId="2" xfId="3" applyNumberFormat="1" applyFont="1" applyFill="1" applyBorder="1" applyAlignment="1" applyProtection="1">
      <alignment vertical="top" wrapText="1"/>
    </xf>
    <xf numFmtId="0" fontId="4" fillId="3" borderId="3" xfId="3" applyNumberFormat="1" applyFont="1" applyFill="1" applyBorder="1" applyAlignment="1" applyProtection="1">
      <alignment vertical="top" wrapText="1"/>
    </xf>
    <xf numFmtId="0" fontId="0" fillId="0" borderId="0" xfId="3" applyFont="1" applyFill="1" applyAlignment="1" applyProtection="1">
      <alignment horizontal="center"/>
      <protection locked="0"/>
    </xf>
    <xf numFmtId="0" fontId="9" fillId="0" borderId="6" xfId="3" applyFont="1" applyFill="1" applyBorder="1" applyAlignment="1" applyProtection="1">
      <alignment horizontal="center" vertical="top"/>
      <protection locked="0"/>
    </xf>
    <xf numFmtId="0" fontId="9" fillId="0" borderId="82" xfId="3" applyFont="1" applyFill="1" applyBorder="1" applyAlignment="1" applyProtection="1">
      <alignment horizontal="center" vertical="top"/>
      <protection locked="0"/>
    </xf>
    <xf numFmtId="0" fontId="13" fillId="0" borderId="1" xfId="3" applyFont="1" applyFill="1" applyBorder="1" applyAlignment="1" applyProtection="1">
      <alignment horizontal="left" vertical="top"/>
    </xf>
    <xf numFmtId="0" fontId="13" fillId="0" borderId="2" xfId="3" applyFont="1" applyFill="1" applyBorder="1" applyAlignment="1" applyProtection="1">
      <alignment horizontal="left" vertical="top"/>
    </xf>
    <xf numFmtId="0" fontId="13" fillId="0" borderId="3" xfId="3" applyFont="1" applyFill="1" applyBorder="1" applyAlignment="1" applyProtection="1">
      <alignment horizontal="left" vertical="top"/>
    </xf>
    <xf numFmtId="176" fontId="9" fillId="0" borderId="85" xfId="3" applyNumberFormat="1" applyFont="1" applyFill="1" applyBorder="1" applyAlignment="1" applyProtection="1">
      <alignment horizontal="center"/>
    </xf>
    <xf numFmtId="176" fontId="9" fillId="0" borderId="6" xfId="3" applyNumberFormat="1" applyFont="1" applyFill="1" applyBorder="1" applyAlignment="1" applyProtection="1">
      <alignment horizontal="center"/>
    </xf>
    <xf numFmtId="176" fontId="9" fillId="0" borderId="8" xfId="3" applyNumberFormat="1" applyFont="1" applyFill="1" applyBorder="1" applyAlignment="1" applyProtection="1">
      <alignment horizontal="center"/>
    </xf>
    <xf numFmtId="176" fontId="9" fillId="0" borderId="45" xfId="3" applyNumberFormat="1" applyFont="1" applyFill="1" applyBorder="1" applyAlignment="1" applyProtection="1">
      <alignment horizontal="center"/>
    </xf>
    <xf numFmtId="176" fontId="9" fillId="0" borderId="84" xfId="3" applyNumberFormat="1" applyFont="1" applyFill="1" applyBorder="1" applyAlignment="1" applyProtection="1">
      <alignment horizontal="center"/>
    </xf>
    <xf numFmtId="176" fontId="9" fillId="0" borderId="83" xfId="3" applyNumberFormat="1" applyFont="1" applyFill="1" applyBorder="1" applyAlignment="1" applyProtection="1">
      <alignment horizontal="center"/>
    </xf>
    <xf numFmtId="0" fontId="9" fillId="0" borderId="21" xfId="3" applyFont="1" applyFill="1" applyBorder="1" applyAlignment="1" applyProtection="1">
      <alignment horizontal="center" wrapText="1"/>
    </xf>
    <xf numFmtId="0" fontId="9" fillId="0" borderId="22" xfId="3" applyFont="1" applyFill="1" applyBorder="1" applyAlignment="1" applyProtection="1">
      <alignment horizontal="center" wrapText="1"/>
    </xf>
    <xf numFmtId="0" fontId="9" fillId="0" borderId="20" xfId="3" applyFont="1" applyFill="1" applyBorder="1" applyAlignment="1" applyProtection="1">
      <alignment horizontal="center" wrapText="1"/>
    </xf>
    <xf numFmtId="0" fontId="9" fillId="0" borderId="45" xfId="3" applyFont="1" applyFill="1" applyBorder="1" applyAlignment="1" applyProtection="1">
      <alignment horizontal="center"/>
    </xf>
    <xf numFmtId="0" fontId="9" fillId="0" borderId="84" xfId="3" applyFont="1" applyFill="1" applyBorder="1" applyAlignment="1" applyProtection="1">
      <alignment horizontal="center"/>
    </xf>
    <xf numFmtId="0" fontId="8" fillId="0" borderId="45" xfId="3" applyFont="1" applyFill="1" applyBorder="1" applyAlignment="1" applyProtection="1">
      <alignment horizontal="center" wrapText="1"/>
    </xf>
    <xf numFmtId="0" fontId="8" fillId="0" borderId="84" xfId="3" applyFont="1" applyFill="1" applyBorder="1" applyAlignment="1" applyProtection="1">
      <alignment horizontal="center" wrapText="1"/>
    </xf>
    <xf numFmtId="0" fontId="8" fillId="0" borderId="83" xfId="3" applyFont="1" applyFill="1" applyBorder="1" applyAlignment="1" applyProtection="1">
      <alignment horizontal="center" wrapText="1"/>
    </xf>
    <xf numFmtId="0" fontId="9" fillId="0" borderId="2" xfId="3" applyFont="1" applyFill="1" applyBorder="1" applyAlignment="1" applyProtection="1">
      <alignment horizontal="center"/>
    </xf>
    <xf numFmtId="0" fontId="9" fillId="0" borderId="1" xfId="3" applyFont="1" applyFill="1" applyBorder="1" applyAlignment="1" applyProtection="1">
      <alignment horizontal="center"/>
    </xf>
    <xf numFmtId="0" fontId="9" fillId="0" borderId="83" xfId="3" applyNumberFormat="1" applyFont="1" applyFill="1" applyBorder="1" applyAlignment="1" applyProtection="1">
      <alignment horizontal="center" vertical="center" wrapText="1"/>
    </xf>
    <xf numFmtId="0" fontId="9" fillId="0" borderId="20" xfId="3" applyNumberFormat="1" applyFont="1" applyFill="1" applyBorder="1" applyAlignment="1" applyProtection="1">
      <alignment horizontal="center" vertical="center" wrapText="1"/>
    </xf>
    <xf numFmtId="0" fontId="9" fillId="0" borderId="84" xfId="3" applyNumberFormat="1" applyFont="1" applyFill="1" applyBorder="1" applyAlignment="1" applyProtection="1">
      <alignment horizontal="center" vertical="center" wrapText="1"/>
    </xf>
    <xf numFmtId="0" fontId="9" fillId="0" borderId="22" xfId="3" applyNumberFormat="1" applyFont="1" applyFill="1" applyBorder="1" applyAlignment="1" applyProtection="1">
      <alignment horizontal="center" vertical="center" wrapText="1"/>
    </xf>
    <xf numFmtId="9" fontId="9" fillId="3" borderId="23" xfId="17" quotePrefix="1" applyFont="1" applyFill="1" applyBorder="1" applyAlignment="1">
      <alignment horizontal="center"/>
    </xf>
    <xf numFmtId="9" fontId="9" fillId="3" borderId="72" xfId="17" quotePrefix="1" applyFont="1" applyFill="1" applyBorder="1" applyAlignment="1">
      <alignment horizontal="center"/>
    </xf>
    <xf numFmtId="9" fontId="9" fillId="0" borderId="23" xfId="17" quotePrefix="1" applyFont="1" applyFill="1" applyBorder="1" applyAlignment="1">
      <alignment horizontal="center"/>
    </xf>
    <xf numFmtId="9" fontId="9" fillId="0" borderId="72" xfId="17" quotePrefix="1" applyFont="1" applyFill="1" applyBorder="1" applyAlignment="1">
      <alignment horizontal="center"/>
    </xf>
    <xf numFmtId="0" fontId="4" fillId="0" borderId="1" xfId="3" applyFont="1" applyFill="1" applyBorder="1" applyAlignment="1">
      <alignment vertical="top"/>
    </xf>
    <xf numFmtId="0" fontId="4" fillId="0" borderId="2" xfId="3" applyFont="1" applyFill="1" applyBorder="1" applyAlignment="1">
      <alignment vertical="top"/>
    </xf>
    <xf numFmtId="0" fontId="4" fillId="0" borderId="3" xfId="3" applyFont="1" applyFill="1" applyBorder="1" applyAlignment="1">
      <alignment vertical="top"/>
    </xf>
    <xf numFmtId="0" fontId="20" fillId="0" borderId="18" xfId="0" applyFont="1" applyFill="1" applyBorder="1" applyAlignment="1">
      <alignment horizontal="center"/>
    </xf>
    <xf numFmtId="0" fontId="20" fillId="0" borderId="19" xfId="0" applyFont="1" applyFill="1" applyBorder="1" applyAlignment="1">
      <alignment horizontal="center"/>
    </xf>
    <xf numFmtId="0" fontId="20" fillId="0" borderId="17" xfId="0" applyFont="1" applyFill="1" applyBorder="1" applyAlignment="1">
      <alignment horizontal="center"/>
    </xf>
    <xf numFmtId="0" fontId="9" fillId="0" borderId="73" xfId="3" applyFont="1" applyFill="1" applyBorder="1" applyAlignment="1">
      <alignment horizontal="center" wrapText="1"/>
    </xf>
    <xf numFmtId="0" fontId="0" fillId="0" borderId="23" xfId="3" applyFont="1" applyFill="1" applyBorder="1" applyAlignment="1">
      <alignment horizontal="center" wrapText="1"/>
    </xf>
    <xf numFmtId="0" fontId="0" fillId="0" borderId="72" xfId="3" applyFont="1" applyFill="1" applyBorder="1" applyAlignment="1">
      <alignment horizontal="center" wrapText="1"/>
    </xf>
    <xf numFmtId="0" fontId="9" fillId="0" borderId="23" xfId="3" applyFont="1" applyFill="1" applyBorder="1" applyAlignment="1">
      <alignment horizontal="center" wrapText="1"/>
    </xf>
    <xf numFmtId="0" fontId="0" fillId="0" borderId="24" xfId="3" applyFont="1" applyFill="1" applyBorder="1" applyAlignment="1">
      <alignment horizontal="center" wrapText="1"/>
    </xf>
    <xf numFmtId="0" fontId="4" fillId="0" borderId="1" xfId="3" applyFont="1" applyFill="1" applyBorder="1" applyAlignment="1">
      <alignment horizontal="left" vertical="top"/>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9" fillId="0" borderId="85" xfId="3" applyFont="1" applyFill="1" applyBorder="1" applyAlignment="1">
      <alignment horizontal="center"/>
    </xf>
    <xf numFmtId="0" fontId="9" fillId="0" borderId="6" xfId="3" applyFont="1" applyFill="1" applyBorder="1" applyAlignment="1">
      <alignment horizontal="center"/>
    </xf>
    <xf numFmtId="0" fontId="9" fillId="0" borderId="8" xfId="3" applyFont="1" applyFill="1" applyBorder="1" applyAlignment="1">
      <alignment horizontal="center"/>
    </xf>
    <xf numFmtId="0" fontId="9" fillId="0" borderId="32" xfId="3" applyFont="1" applyFill="1" applyBorder="1" applyAlignment="1">
      <alignment horizontal="center"/>
    </xf>
    <xf numFmtId="0" fontId="9" fillId="0" borderId="82" xfId="3" applyFont="1" applyFill="1" applyBorder="1" applyAlignment="1">
      <alignment horizontal="center"/>
    </xf>
    <xf numFmtId="0" fontId="9" fillId="0" borderId="1" xfId="3" applyFont="1" applyFill="1" applyBorder="1" applyAlignment="1">
      <alignment horizontal="left" wrapText="1"/>
    </xf>
    <xf numFmtId="0" fontId="9" fillId="0" borderId="2" xfId="3" applyFont="1" applyFill="1" applyBorder="1" applyAlignment="1">
      <alignment horizontal="left" wrapText="1"/>
    </xf>
    <xf numFmtId="0" fontId="9" fillId="0" borderId="3" xfId="3" applyFont="1" applyFill="1" applyBorder="1" applyAlignment="1">
      <alignment horizontal="left" wrapText="1"/>
    </xf>
    <xf numFmtId="0" fontId="9" fillId="0" borderId="1" xfId="3" applyFont="1" applyFill="1" applyBorder="1" applyAlignment="1">
      <alignment horizontal="center"/>
    </xf>
    <xf numFmtId="0" fontId="9" fillId="0" borderId="2" xfId="3" applyFont="1" applyFill="1" applyBorder="1" applyAlignment="1">
      <alignment horizontal="center"/>
    </xf>
    <xf numFmtId="0" fontId="9" fillId="0" borderId="44" xfId="3" applyFont="1" applyFill="1" applyBorder="1" applyAlignment="1">
      <alignment horizontal="center"/>
    </xf>
    <xf numFmtId="0" fontId="9" fillId="0" borderId="35" xfId="3" applyFont="1" applyFill="1" applyBorder="1" applyAlignment="1">
      <alignment horizontal="left" wrapText="1"/>
    </xf>
    <xf numFmtId="0" fontId="9" fillId="0" borderId="3" xfId="3" applyFont="1" applyFill="1" applyBorder="1" applyAlignment="1">
      <alignment horizontal="center"/>
    </xf>
    <xf numFmtId="0" fontId="9" fillId="0" borderId="72" xfId="3" applyFont="1" applyFill="1" applyBorder="1" applyAlignment="1">
      <alignment horizontal="center" wrapText="1"/>
    </xf>
    <xf numFmtId="0" fontId="9" fillId="0" borderId="24" xfId="3" applyFont="1" applyFill="1" applyBorder="1" applyAlignment="1">
      <alignment horizontal="center" wrapText="1"/>
    </xf>
    <xf numFmtId="0" fontId="9" fillId="0" borderId="0" xfId="3" applyFont="1" applyFill="1" applyBorder="1" applyAlignment="1">
      <alignment horizontal="center" wrapText="1"/>
    </xf>
    <xf numFmtId="0" fontId="9" fillId="0" borderId="73" xfId="3" applyFont="1" applyFill="1" applyBorder="1" applyAlignment="1" applyProtection="1">
      <alignment horizontal="center"/>
      <protection locked="0"/>
    </xf>
    <xf numFmtId="0" fontId="9" fillId="0" borderId="72" xfId="3" applyFont="1" applyFill="1" applyBorder="1" applyAlignment="1" applyProtection="1">
      <alignment horizontal="center"/>
      <protection locked="0"/>
    </xf>
    <xf numFmtId="0" fontId="9" fillId="0" borderId="103" xfId="3" applyFont="1" applyFill="1" applyBorder="1" applyAlignment="1" applyProtection="1">
      <alignment horizontal="center"/>
      <protection locked="0"/>
    </xf>
    <xf numFmtId="0" fontId="9" fillId="0" borderId="5" xfId="3" applyFont="1" applyFill="1" applyBorder="1" applyAlignment="1" applyProtection="1">
      <alignment horizontal="center"/>
      <protection locked="0"/>
    </xf>
    <xf numFmtId="0" fontId="9" fillId="0" borderId="23" xfId="3" applyFont="1" applyFill="1" applyBorder="1" applyAlignment="1" applyProtection="1">
      <alignment horizontal="center"/>
      <protection locked="0"/>
    </xf>
    <xf numFmtId="0" fontId="0" fillId="0" borderId="24" xfId="0" applyBorder="1" applyAlignment="1">
      <alignment horizontal="center"/>
    </xf>
    <xf numFmtId="0" fontId="9" fillId="0" borderId="6" xfId="3" applyFont="1" applyFill="1" applyBorder="1" applyAlignment="1" applyProtection="1">
      <alignment horizontal="center"/>
      <protection locked="0"/>
    </xf>
    <xf numFmtId="0" fontId="9" fillId="0" borderId="82" xfId="3" applyFont="1" applyFill="1" applyBorder="1" applyAlignment="1" applyProtection="1">
      <alignment horizontal="center"/>
      <protection locked="0"/>
    </xf>
    <xf numFmtId="0" fontId="9" fillId="0" borderId="85" xfId="3" applyFont="1" applyFill="1" applyBorder="1" applyAlignment="1" applyProtection="1">
      <alignment horizontal="center"/>
      <protection locked="0"/>
    </xf>
    <xf numFmtId="0" fontId="9" fillId="0" borderId="8" xfId="3" applyFont="1" applyFill="1" applyBorder="1" applyAlignment="1" applyProtection="1">
      <alignment horizontal="center"/>
      <protection locked="0"/>
    </xf>
    <xf numFmtId="0" fontId="27" fillId="0" borderId="4" xfId="3" applyFont="1" applyFill="1" applyBorder="1" applyAlignment="1" applyProtection="1">
      <alignment horizontal="left" wrapText="1"/>
    </xf>
    <xf numFmtId="0" fontId="27" fillId="0" borderId="0" xfId="3" applyFont="1" applyFill="1" applyBorder="1" applyAlignment="1" applyProtection="1">
      <alignment horizontal="center" wrapText="1"/>
    </xf>
    <xf numFmtId="0" fontId="41" fillId="0" borderId="5" xfId="3" applyFont="1" applyFill="1" applyBorder="1" applyAlignment="1" applyProtection="1">
      <alignment horizontal="center"/>
    </xf>
    <xf numFmtId="0" fontId="41" fillId="0" borderId="72" xfId="3" applyFont="1" applyFill="1" applyBorder="1" applyAlignment="1" applyProtection="1">
      <alignment horizontal="center"/>
    </xf>
    <xf numFmtId="0" fontId="41" fillId="0" borderId="73" xfId="3" applyFont="1" applyFill="1" applyBorder="1" applyAlignment="1" applyProtection="1">
      <alignment horizontal="center"/>
    </xf>
    <xf numFmtId="0" fontId="41" fillId="0" borderId="73" xfId="3" applyFont="1" applyFill="1" applyBorder="1" applyAlignment="1" applyProtection="1">
      <alignment horizontal="center" wrapText="1"/>
    </xf>
    <xf numFmtId="0" fontId="41" fillId="0" borderId="72" xfId="3" applyFont="1" applyFill="1" applyBorder="1" applyAlignment="1" applyProtection="1">
      <alignment horizontal="center" wrapText="1"/>
    </xf>
    <xf numFmtId="0" fontId="41" fillId="0" borderId="24" xfId="3" applyFont="1" applyFill="1" applyBorder="1" applyAlignment="1" applyProtection="1">
      <alignment horizontal="center"/>
    </xf>
    <xf numFmtId="17" fontId="9" fillId="0" borderId="85" xfId="3" quotePrefix="1" applyNumberFormat="1" applyFont="1" applyFill="1" applyBorder="1" applyAlignment="1" applyProtection="1">
      <alignment horizontal="center"/>
    </xf>
    <xf numFmtId="17" fontId="9" fillId="0" borderId="6" xfId="3" quotePrefix="1" applyNumberFormat="1" applyFont="1" applyFill="1" applyBorder="1" applyAlignment="1" applyProtection="1">
      <alignment horizontal="center"/>
    </xf>
    <xf numFmtId="17" fontId="9" fillId="0" borderId="82" xfId="3" quotePrefix="1" applyNumberFormat="1" applyFont="1" applyFill="1" applyBorder="1" applyAlignment="1" applyProtection="1">
      <alignment horizontal="center"/>
    </xf>
    <xf numFmtId="0" fontId="98" fillId="0" borderId="113" xfId="3" applyFont="1" applyFill="1" applyBorder="1" applyProtection="1">
      <protection locked="0"/>
    </xf>
    <xf numFmtId="0" fontId="98" fillId="0" borderId="114" xfId="3" applyFont="1" applyFill="1" applyBorder="1" applyProtection="1">
      <protection locked="0"/>
    </xf>
    <xf numFmtId="17" fontId="9" fillId="0" borderId="111" xfId="3" quotePrefix="1" applyNumberFormat="1" applyFont="1" applyFill="1" applyBorder="1" applyAlignment="1" applyProtection="1">
      <alignment horizontal="center"/>
    </xf>
    <xf numFmtId="0" fontId="9" fillId="3" borderId="85" xfId="15" quotePrefix="1" applyFont="1" applyFill="1" applyBorder="1" applyAlignment="1">
      <alignment horizontal="center"/>
    </xf>
    <xf numFmtId="0" fontId="9" fillId="3" borderId="6" xfId="15" quotePrefix="1" applyFont="1" applyFill="1" applyBorder="1" applyAlignment="1">
      <alignment horizontal="center"/>
    </xf>
    <xf numFmtId="0" fontId="9" fillId="3" borderId="82" xfId="15" quotePrefix="1" applyFont="1" applyFill="1" applyBorder="1" applyAlignment="1">
      <alignment horizontal="center"/>
    </xf>
    <xf numFmtId="0" fontId="9" fillId="3" borderId="23" xfId="15" quotePrefix="1" applyFont="1" applyFill="1" applyBorder="1" applyAlignment="1">
      <alignment horizontal="center"/>
    </xf>
    <xf numFmtId="0" fontId="9" fillId="0" borderId="85" xfId="15" quotePrefix="1" applyFont="1" applyBorder="1" applyAlignment="1">
      <alignment horizontal="center"/>
    </xf>
    <xf numFmtId="0" fontId="9" fillId="0" borderId="6" xfId="15" quotePrefix="1" applyFont="1" applyBorder="1" applyAlignment="1">
      <alignment horizontal="center"/>
    </xf>
    <xf numFmtId="0" fontId="4" fillId="0" borderId="2" xfId="15" applyBorder="1" applyAlignment="1">
      <alignment wrapText="1"/>
    </xf>
    <xf numFmtId="0" fontId="4" fillId="0" borderId="3" xfId="15" applyBorder="1" applyAlignment="1">
      <alignment wrapText="1"/>
    </xf>
    <xf numFmtId="0" fontId="4" fillId="3" borderId="2" xfId="15" applyFill="1" applyBorder="1" applyAlignment="1">
      <alignment wrapText="1"/>
    </xf>
    <xf numFmtId="0" fontId="4" fillId="3" borderId="3" xfId="15" applyFill="1" applyBorder="1" applyAlignment="1">
      <alignment wrapText="1"/>
    </xf>
    <xf numFmtId="17" fontId="41" fillId="0" borderId="17" xfId="3" quotePrefix="1" applyNumberFormat="1" applyFont="1" applyFill="1" applyBorder="1" applyAlignment="1" applyProtection="1">
      <alignment horizontal="center"/>
    </xf>
    <xf numFmtId="0" fontId="41" fillId="0" borderId="18" xfId="3" quotePrefix="1" applyFont="1" applyFill="1" applyBorder="1" applyAlignment="1" applyProtection="1">
      <alignment horizontal="center"/>
    </xf>
    <xf numFmtId="0" fontId="41" fillId="0" borderId="17" xfId="3" quotePrefix="1" applyFont="1" applyFill="1" applyBorder="1" applyAlignment="1" applyProtection="1">
      <alignment horizontal="center"/>
    </xf>
    <xf numFmtId="0" fontId="41" fillId="0" borderId="19" xfId="3" quotePrefix="1" applyFont="1" applyFill="1" applyBorder="1" applyAlignment="1" applyProtection="1">
      <alignment horizontal="center"/>
    </xf>
    <xf numFmtId="0" fontId="41" fillId="0" borderId="17" xfId="3" applyFont="1" applyBorder="1" applyAlignment="1" applyProtection="1">
      <alignment horizontal="center"/>
    </xf>
    <xf numFmtId="0" fontId="41" fillId="0" borderId="18" xfId="3" applyFont="1" applyBorder="1" applyAlignment="1" applyProtection="1">
      <alignment horizontal="center"/>
    </xf>
    <xf numFmtId="0" fontId="41" fillId="0" borderId="19" xfId="3" applyFont="1" applyBorder="1" applyAlignment="1" applyProtection="1">
      <alignment horizontal="center"/>
    </xf>
    <xf numFmtId="17" fontId="41" fillId="0" borderId="17" xfId="3" quotePrefix="1" applyNumberFormat="1" applyFont="1" applyBorder="1" applyAlignment="1" applyProtection="1">
      <alignment horizontal="center"/>
    </xf>
    <xf numFmtId="0" fontId="18" fillId="0" borderId="1" xfId="3" applyFont="1" applyFill="1" applyBorder="1" applyAlignment="1" applyProtection="1">
      <alignment vertical="top" wrapText="1"/>
    </xf>
    <xf numFmtId="0" fontId="18" fillId="0" borderId="2" xfId="3" applyFont="1" applyFill="1" applyBorder="1" applyAlignment="1" applyProtection="1">
      <alignment vertical="top" wrapText="1"/>
    </xf>
    <xf numFmtId="0" fontId="18" fillId="0" borderId="3" xfId="3" applyFont="1" applyFill="1" applyBorder="1" applyAlignment="1" applyProtection="1">
      <alignment vertical="top" wrapText="1"/>
    </xf>
    <xf numFmtId="0" fontId="18" fillId="0" borderId="1" xfId="3" applyFont="1" applyBorder="1" applyAlignment="1" applyProtection="1">
      <alignment wrapText="1"/>
    </xf>
    <xf numFmtId="0" fontId="18" fillId="0" borderId="2" xfId="3" applyFont="1" applyBorder="1" applyAlignment="1" applyProtection="1">
      <alignment wrapText="1"/>
    </xf>
    <xf numFmtId="0" fontId="18" fillId="0" borderId="3" xfId="3" applyFont="1" applyBorder="1" applyAlignment="1" applyProtection="1">
      <alignment wrapText="1"/>
    </xf>
    <xf numFmtId="0" fontId="41" fillId="0" borderId="17" xfId="3" quotePrefix="1" applyFont="1" applyBorder="1" applyAlignment="1" applyProtection="1">
      <alignment horizontal="center"/>
    </xf>
    <xf numFmtId="0" fontId="18" fillId="0" borderId="1" xfId="3" applyFont="1" applyFill="1" applyBorder="1" applyAlignment="1" applyProtection="1">
      <alignment horizontal="left" vertical="top" wrapText="1"/>
    </xf>
    <xf numFmtId="0" fontId="18" fillId="0" borderId="2" xfId="3" applyFont="1" applyFill="1" applyBorder="1" applyAlignment="1" applyProtection="1">
      <alignment horizontal="left" vertical="top" wrapText="1"/>
    </xf>
    <xf numFmtId="0" fontId="18" fillId="0" borderId="3" xfId="3" applyFont="1" applyFill="1" applyBorder="1" applyAlignment="1" applyProtection="1">
      <alignment horizontal="left" vertical="top" wrapText="1"/>
    </xf>
    <xf numFmtId="0" fontId="18" fillId="0" borderId="1" xfId="3" applyFont="1" applyFill="1" applyBorder="1" applyAlignment="1">
      <alignment horizontal="left" vertical="top" wrapText="1"/>
    </xf>
    <xf numFmtId="0" fontId="18" fillId="0" borderId="2" xfId="3" applyFont="1" applyFill="1" applyBorder="1" applyAlignment="1">
      <alignment horizontal="left" vertical="top" wrapText="1"/>
    </xf>
    <xf numFmtId="0" fontId="18" fillId="0" borderId="3" xfId="3" applyFont="1" applyFill="1" applyBorder="1" applyAlignment="1">
      <alignment horizontal="left" vertical="top" wrapText="1"/>
    </xf>
    <xf numFmtId="17" fontId="41" fillId="0" borderId="4" xfId="3" applyNumberFormat="1" applyFont="1" applyBorder="1" applyAlignment="1" applyProtection="1">
      <alignment horizontal="left" vertical="center"/>
    </xf>
    <xf numFmtId="0" fontId="8" fillId="0" borderId="0" xfId="3" applyFont="1" applyFill="1" applyBorder="1" applyAlignment="1" applyProtection="1">
      <alignment horizontal="center"/>
    </xf>
    <xf numFmtId="0" fontId="4" fillId="0" borderId="2" xfId="3" applyFont="1" applyFill="1" applyBorder="1" applyAlignment="1" applyProtection="1"/>
    <xf numFmtId="0" fontId="0" fillId="0" borderId="3" xfId="3" applyFont="1" applyBorder="1" applyAlignment="1"/>
    <xf numFmtId="0" fontId="26" fillId="0" borderId="2" xfId="4" applyFont="1" applyBorder="1" applyAlignment="1" applyProtection="1"/>
    <xf numFmtId="0" fontId="26" fillId="0" borderId="3" xfId="4" applyFont="1" applyBorder="1" applyAlignment="1"/>
    <xf numFmtId="0" fontId="112" fillId="0" borderId="0" xfId="3" applyFont="1" applyBorder="1" applyAlignment="1" applyProtection="1">
      <alignment horizontal="right" vertical="top" textRotation="90" wrapText="1"/>
    </xf>
    <xf numFmtId="0" fontId="4" fillId="3" borderId="2" xfId="3" applyFont="1" applyFill="1" applyBorder="1" applyAlignment="1" applyProtection="1">
      <alignment vertical="top" wrapText="1"/>
    </xf>
    <xf numFmtId="0" fontId="4" fillId="3" borderId="2" xfId="3" applyFont="1" applyFill="1" applyBorder="1" applyAlignment="1" applyProtection="1"/>
    <xf numFmtId="0" fontId="0" fillId="3" borderId="3" xfId="3" applyFont="1" applyFill="1" applyBorder="1" applyAlignment="1"/>
    <xf numFmtId="0" fontId="9" fillId="0" borderId="4" xfId="3" applyFont="1" applyFill="1" applyBorder="1" applyAlignment="1">
      <alignment horizontal="left" vertical="top" wrapText="1"/>
    </xf>
    <xf numFmtId="0" fontId="19" fillId="0" borderId="45" xfId="3" applyFont="1" applyFill="1" applyBorder="1" applyAlignment="1" applyProtection="1">
      <alignment horizontal="center" vertical="top"/>
    </xf>
    <xf numFmtId="0" fontId="9" fillId="0" borderId="4" xfId="3" applyFont="1" applyBorder="1" applyAlignment="1" applyProtection="1">
      <alignment horizontal="left"/>
      <protection locked="0"/>
    </xf>
    <xf numFmtId="0" fontId="13" fillId="0" borderId="1" xfId="4" applyFont="1" applyFill="1" applyBorder="1" applyAlignment="1" applyProtection="1">
      <alignment horizontal="left" vertical="top" wrapText="1"/>
    </xf>
    <xf numFmtId="0" fontId="13" fillId="0" borderId="2" xfId="4" applyFont="1" applyFill="1" applyBorder="1" applyAlignment="1" applyProtection="1">
      <alignment horizontal="left" vertical="top" wrapText="1"/>
    </xf>
    <xf numFmtId="0" fontId="13" fillId="0" borderId="3" xfId="4" applyFont="1" applyFill="1" applyBorder="1" applyAlignment="1" applyProtection="1">
      <alignment horizontal="left" vertical="top" wrapText="1"/>
    </xf>
    <xf numFmtId="0" fontId="9" fillId="0" borderId="4" xfId="3" applyFont="1" applyFill="1" applyBorder="1" applyAlignment="1">
      <alignment horizontal="left" wrapText="1"/>
    </xf>
    <xf numFmtId="0" fontId="4" fillId="0" borderId="1" xfId="3" applyFont="1" applyFill="1" applyBorder="1" applyAlignment="1">
      <alignment horizontal="left"/>
    </xf>
    <xf numFmtId="0" fontId="4" fillId="0" borderId="2" xfId="3" applyFont="1" applyFill="1" applyBorder="1" applyAlignment="1">
      <alignment horizontal="left"/>
    </xf>
    <xf numFmtId="0" fontId="4" fillId="0" borderId="3" xfId="3" applyFont="1" applyFill="1" applyBorder="1" applyAlignment="1">
      <alignment horizontal="left"/>
    </xf>
    <xf numFmtId="0" fontId="4" fillId="4" borderId="1" xfId="3" applyFont="1" applyFill="1" applyBorder="1" applyAlignment="1">
      <alignment horizontal="left" vertical="top" wrapText="1"/>
    </xf>
    <xf numFmtId="0" fontId="4" fillId="4" borderId="2" xfId="3" applyFont="1" applyFill="1" applyBorder="1" applyAlignment="1">
      <alignment horizontal="left" vertical="top" wrapText="1"/>
    </xf>
    <xf numFmtId="0" fontId="4" fillId="4" borderId="3" xfId="3" applyFont="1" applyFill="1" applyBorder="1" applyAlignment="1">
      <alignment horizontal="left" vertical="top" wrapText="1"/>
    </xf>
    <xf numFmtId="0" fontId="13" fillId="0" borderId="1" xfId="3" applyNumberFormat="1" applyFont="1" applyFill="1" applyBorder="1" applyAlignment="1" applyProtection="1">
      <alignment vertical="top" wrapText="1"/>
    </xf>
    <xf numFmtId="0" fontId="13" fillId="0" borderId="2" xfId="3" applyNumberFormat="1" applyFont="1" applyFill="1" applyBorder="1" applyAlignment="1" applyProtection="1">
      <alignment vertical="top" wrapText="1"/>
    </xf>
    <xf numFmtId="0" fontId="13" fillId="0" borderId="3" xfId="3" applyNumberFormat="1" applyFont="1" applyFill="1" applyBorder="1" applyAlignment="1" applyProtection="1">
      <alignment vertical="top" wrapText="1"/>
    </xf>
    <xf numFmtId="0" fontId="4" fillId="0" borderId="2" xfId="3" applyFont="1" applyBorder="1" applyAlignment="1"/>
    <xf numFmtId="0" fontId="4" fillId="0" borderId="3" xfId="3" applyFont="1" applyBorder="1" applyAlignment="1"/>
    <xf numFmtId="0" fontId="0" fillId="0" borderId="2" xfId="3" applyFont="1" applyFill="1" applyBorder="1" applyAlignment="1"/>
    <xf numFmtId="0" fontId="0" fillId="0" borderId="3" xfId="3" applyFont="1" applyFill="1" applyBorder="1" applyAlignment="1"/>
    <xf numFmtId="0" fontId="82" fillId="0" borderId="3" xfId="3" applyFont="1" applyFill="1" applyBorder="1" applyAlignment="1">
      <alignment horizontal="left" vertical="top" wrapText="1"/>
    </xf>
    <xf numFmtId="0" fontId="5" fillId="0" borderId="0" xfId="3" applyFont="1" applyFill="1" applyBorder="1" applyAlignment="1">
      <alignment horizontal="left" vertical="top" wrapText="1"/>
    </xf>
    <xf numFmtId="0" fontId="5" fillId="0" borderId="0" xfId="3" applyFont="1" applyBorder="1" applyAlignment="1">
      <alignment vertical="top" wrapText="1"/>
    </xf>
    <xf numFmtId="0" fontId="4" fillId="0" borderId="2" xfId="3" applyFont="1" applyFill="1" applyBorder="1" applyAlignment="1"/>
    <xf numFmtId="0" fontId="4" fillId="0" borderId="3" xfId="3" applyFont="1" applyFill="1" applyBorder="1" applyAlignment="1"/>
    <xf numFmtId="0" fontId="12" fillId="0" borderId="2" xfId="3" applyFont="1" applyFill="1" applyBorder="1" applyAlignment="1">
      <alignment vertical="top" wrapText="1"/>
    </xf>
    <xf numFmtId="0" fontId="12" fillId="0" borderId="3" xfId="3" applyFont="1" applyBorder="1" applyAlignment="1"/>
    <xf numFmtId="0" fontId="13" fillId="0" borderId="1" xfId="3" applyNumberFormat="1" applyFont="1" applyFill="1" applyBorder="1" applyAlignment="1">
      <alignment vertical="top" wrapText="1"/>
    </xf>
    <xf numFmtId="0" fontId="13" fillId="0" borderId="2" xfId="3" applyFont="1" applyFill="1" applyBorder="1" applyAlignment="1">
      <alignment vertical="top" wrapText="1"/>
    </xf>
    <xf numFmtId="0" fontId="13" fillId="0" borderId="3" xfId="3" applyFont="1" applyBorder="1" applyAlignment="1">
      <alignment wrapText="1"/>
    </xf>
    <xf numFmtId="0" fontId="8" fillId="0" borderId="4" xfId="3" applyFont="1" applyBorder="1" applyAlignment="1">
      <alignment wrapText="1"/>
    </xf>
    <xf numFmtId="0" fontId="0" fillId="0" borderId="4" xfId="3" applyFont="1" applyBorder="1" applyAlignment="1"/>
    <xf numFmtId="0" fontId="91" fillId="0" borderId="0" xfId="27" applyFont="1" applyFill="1" applyBorder="1" applyAlignment="1" applyProtection="1">
      <alignment vertical="top" wrapText="1"/>
    </xf>
    <xf numFmtId="0" fontId="4" fillId="0" borderId="58" xfId="3" applyFont="1" applyFill="1" applyBorder="1" applyAlignment="1">
      <alignment horizontal="center" vertical="top" wrapText="1"/>
    </xf>
    <xf numFmtId="0" fontId="4" fillId="0" borderId="0" xfId="3" applyFont="1" applyFill="1" applyBorder="1" applyAlignment="1">
      <alignment horizontal="center" vertical="top" wrapText="1"/>
    </xf>
    <xf numFmtId="0" fontId="4" fillId="0" borderId="10" xfId="3" applyFont="1" applyFill="1" applyBorder="1" applyAlignment="1">
      <alignment horizontal="center" vertical="top" wrapText="1"/>
    </xf>
    <xf numFmtId="0" fontId="4" fillId="0" borderId="20" xfId="3" applyFont="1" applyFill="1" applyBorder="1" applyAlignment="1">
      <alignment horizontal="center" vertical="top" wrapText="1"/>
    </xf>
    <xf numFmtId="0" fontId="4" fillId="0" borderId="21" xfId="3" applyFont="1" applyFill="1" applyBorder="1" applyAlignment="1">
      <alignment horizontal="center" vertical="top" wrapText="1"/>
    </xf>
    <xf numFmtId="0" fontId="4" fillId="0" borderId="22" xfId="3" applyFont="1" applyFill="1" applyBorder="1" applyAlignment="1">
      <alignment horizontal="center" vertical="top" wrapText="1"/>
    </xf>
    <xf numFmtId="0" fontId="4" fillId="0" borderId="1" xfId="27" applyFont="1" applyFill="1" applyBorder="1" applyAlignment="1" applyProtection="1">
      <alignment horizontal="left" vertical="top" wrapText="1"/>
    </xf>
    <xf numFmtId="0" fontId="4" fillId="0" borderId="2" xfId="27" applyFont="1" applyFill="1" applyBorder="1" applyAlignment="1" applyProtection="1">
      <alignment horizontal="left" vertical="top" wrapText="1"/>
    </xf>
    <xf numFmtId="0" fontId="4" fillId="0" borderId="3" xfId="27" applyFont="1" applyFill="1" applyBorder="1" applyAlignment="1" applyProtection="1">
      <alignment horizontal="left" vertical="top" wrapText="1"/>
    </xf>
    <xf numFmtId="0" fontId="13" fillId="0" borderId="1" xfId="3" applyFont="1" applyFill="1" applyBorder="1" applyAlignment="1">
      <alignment vertical="top" wrapText="1"/>
    </xf>
    <xf numFmtId="0" fontId="13" fillId="0" borderId="3" xfId="3" applyFont="1" applyFill="1" applyBorder="1" applyAlignment="1">
      <alignment vertical="top" wrapText="1"/>
    </xf>
    <xf numFmtId="0" fontId="9" fillId="0" borderId="23" xfId="3" applyFont="1" applyBorder="1" applyAlignment="1">
      <alignment horizontal="center"/>
    </xf>
    <xf numFmtId="0" fontId="9" fillId="0" borderId="72" xfId="3" applyFont="1" applyBorder="1" applyAlignment="1">
      <alignment horizontal="center"/>
    </xf>
    <xf numFmtId="0" fontId="9" fillId="0" borderId="73" xfId="3" applyFont="1" applyBorder="1" applyAlignment="1">
      <alignment horizontal="center"/>
    </xf>
    <xf numFmtId="173" fontId="8" fillId="0" borderId="15" xfId="14" applyNumberFormat="1" applyFont="1" applyBorder="1" applyAlignment="1">
      <alignment horizontal="center"/>
    </xf>
    <xf numFmtId="173" fontId="8" fillId="0" borderId="15" xfId="14" applyNumberFormat="1" applyFont="1" applyBorder="1" applyAlignment="1">
      <alignment horizontal="right"/>
    </xf>
    <xf numFmtId="0" fontId="9" fillId="0" borderId="56" xfId="3" applyFont="1" applyBorder="1" applyAlignment="1">
      <alignment horizontal="right"/>
    </xf>
    <xf numFmtId="0" fontId="41" fillId="0" borderId="23" xfId="3" applyFont="1" applyBorder="1" applyAlignment="1">
      <alignment horizontal="center"/>
    </xf>
    <xf numFmtId="0" fontId="41" fillId="0" borderId="72" xfId="3" applyFont="1" applyBorder="1" applyAlignment="1">
      <alignment horizontal="center"/>
    </xf>
    <xf numFmtId="0" fontId="8" fillId="0" borderId="21" xfId="3" applyFont="1" applyFill="1" applyBorder="1" applyAlignment="1">
      <alignment vertical="center" wrapText="1"/>
    </xf>
    <xf numFmtId="0" fontId="8" fillId="0" borderId="2" xfId="3" applyFont="1" applyFill="1" applyBorder="1" applyAlignment="1">
      <alignment vertical="center" wrapText="1"/>
    </xf>
    <xf numFmtId="0" fontId="4" fillId="0" borderId="137" xfId="3" applyFont="1" applyFill="1" applyBorder="1" applyAlignment="1">
      <alignment horizontal="left" vertical="top" wrapText="1"/>
    </xf>
    <xf numFmtId="0" fontId="4" fillId="0" borderId="105" xfId="3" applyFont="1" applyFill="1" applyBorder="1" applyAlignment="1">
      <alignment horizontal="left" vertical="top" wrapText="1"/>
    </xf>
    <xf numFmtId="0" fontId="4" fillId="0" borderId="106" xfId="3" applyFont="1" applyFill="1" applyBorder="1" applyAlignment="1">
      <alignment horizontal="left" vertical="top" wrapText="1"/>
    </xf>
    <xf numFmtId="0" fontId="4" fillId="0" borderId="0" xfId="5" applyFill="1" applyProtection="1">
      <protection locked="0"/>
    </xf>
    <xf numFmtId="0" fontId="4" fillId="0" borderId="0" xfId="5" applyFill="1" applyAlignment="1" applyProtection="1">
      <alignment vertical="top"/>
    </xf>
    <xf numFmtId="0" fontId="5" fillId="0" borderId="0" xfId="5" applyFont="1" applyFill="1" applyAlignment="1" applyProtection="1">
      <alignment vertical="top"/>
    </xf>
    <xf numFmtId="0" fontId="4" fillId="0" borderId="0" xfId="5" applyFill="1" applyBorder="1" applyProtection="1">
      <protection locked="0"/>
    </xf>
    <xf numFmtId="0" fontId="4" fillId="0" borderId="0" xfId="5" applyFill="1" applyBorder="1" applyAlignment="1" applyProtection="1">
      <alignment vertical="top"/>
    </xf>
    <xf numFmtId="0" fontId="5" fillId="0" borderId="0" xfId="5" applyFont="1" applyFill="1" applyBorder="1" applyAlignment="1" applyProtection="1">
      <alignment vertical="top"/>
    </xf>
    <xf numFmtId="199" fontId="9" fillId="0" borderId="0" xfId="15" applyNumberFormat="1" applyFont="1" applyFill="1" applyBorder="1" applyAlignment="1" applyProtection="1">
      <alignment horizontal="right"/>
    </xf>
    <xf numFmtId="199" fontId="9" fillId="3" borderId="0" xfId="15" applyNumberFormat="1" applyFont="1" applyFill="1" applyBorder="1" applyAlignment="1" applyProtection="1">
      <alignment horizontal="right"/>
    </xf>
    <xf numFmtId="199" fontId="8" fillId="0" borderId="0" xfId="15" applyNumberFormat="1" applyFont="1" applyFill="1" applyBorder="1" applyAlignment="1" applyProtection="1">
      <alignment horizontal="right"/>
    </xf>
    <xf numFmtId="199" fontId="8" fillId="3" borderId="0" xfId="15" applyNumberFormat="1" applyFont="1" applyFill="1" applyBorder="1" applyAlignment="1" applyProtection="1">
      <alignment horizontal="right"/>
    </xf>
    <xf numFmtId="0" fontId="146" fillId="0" borderId="0" xfId="5" applyFont="1" applyFill="1" applyBorder="1" applyProtection="1">
      <protection locked="0"/>
    </xf>
    <xf numFmtId="199" fontId="123" fillId="0" borderId="0" xfId="15" applyNumberFormat="1" applyFont="1" applyFill="1" applyBorder="1" applyAlignment="1" applyProtection="1">
      <alignment horizontal="right"/>
    </xf>
    <xf numFmtId="199" fontId="123" fillId="3" borderId="0" xfId="15" applyNumberFormat="1" applyFont="1" applyFill="1" applyBorder="1" applyAlignment="1" applyProtection="1">
      <alignment horizontal="right"/>
    </xf>
    <xf numFmtId="0" fontId="146" fillId="0" borderId="0" xfId="5" applyFont="1" applyFill="1" applyBorder="1" applyAlignment="1" applyProtection="1">
      <alignment vertical="top"/>
    </xf>
    <xf numFmtId="0" fontId="37" fillId="0" borderId="0" xfId="5" applyFont="1" applyFill="1" applyBorder="1" applyAlignment="1" applyProtection="1">
      <alignment vertical="top"/>
    </xf>
    <xf numFmtId="0" fontId="122" fillId="3" borderId="0" xfId="15" applyFont="1" applyFill="1" applyBorder="1" applyAlignment="1" applyProtection="1">
      <alignment horizontal="right"/>
      <protection locked="0"/>
    </xf>
    <xf numFmtId="0" fontId="122" fillId="0" borderId="0" xfId="15" applyFont="1" applyFill="1" applyBorder="1" applyAlignment="1" applyProtection="1">
      <alignment horizontal="right"/>
      <protection locked="0"/>
    </xf>
    <xf numFmtId="0" fontId="122" fillId="0" borderId="0" xfId="5" applyFont="1" applyFill="1" applyBorder="1" applyProtection="1">
      <protection locked="0"/>
    </xf>
    <xf numFmtId="0" fontId="122" fillId="0" borderId="0" xfId="15" applyFont="1" applyFill="1" applyBorder="1" applyAlignment="1" applyProtection="1">
      <alignment horizontal="center"/>
      <protection locked="0"/>
    </xf>
    <xf numFmtId="0" fontId="122" fillId="4" borderId="0" xfId="15" applyFont="1" applyFill="1" applyBorder="1" applyAlignment="1" applyProtection="1">
      <alignment horizontal="center"/>
      <protection locked="0"/>
    </xf>
    <xf numFmtId="0" fontId="122" fillId="3" borderId="0" xfId="15" applyFont="1" applyFill="1" applyBorder="1" applyAlignment="1" applyProtection="1">
      <alignment horizontal="center"/>
      <protection locked="0"/>
    </xf>
    <xf numFmtId="0" fontId="122" fillId="0" borderId="0" xfId="15" quotePrefix="1" applyFont="1" applyFill="1" applyBorder="1" applyAlignment="1" applyProtection="1">
      <alignment horizontal="center"/>
      <protection locked="0"/>
    </xf>
    <xf numFmtId="0" fontId="122" fillId="0" borderId="0" xfId="15" quotePrefix="1" applyFont="1" applyFill="1" applyBorder="1" applyAlignment="1" applyProtection="1">
      <alignment horizontal="right"/>
      <protection locked="0"/>
    </xf>
    <xf numFmtId="0" fontId="123" fillId="0" borderId="0" xfId="5" applyFont="1" applyFill="1" applyBorder="1" applyAlignment="1" applyProtection="1">
      <alignment wrapText="1"/>
    </xf>
    <xf numFmtId="0" fontId="146" fillId="0" borderId="0" xfId="5" applyFont="1" applyFill="1" applyProtection="1">
      <protection locked="0"/>
    </xf>
    <xf numFmtId="0" fontId="146" fillId="0" borderId="0" xfId="5" applyFont="1" applyFill="1" applyAlignment="1" applyProtection="1">
      <alignment vertical="top"/>
    </xf>
    <xf numFmtId="0" fontId="37" fillId="0" borderId="0" xfId="5" applyFont="1" applyFill="1" applyAlignment="1" applyProtection="1">
      <alignment vertical="top"/>
    </xf>
    <xf numFmtId="199" fontId="4" fillId="0" borderId="0" xfId="5" applyNumberFormat="1" applyFill="1" applyProtection="1">
      <protection locked="0"/>
    </xf>
    <xf numFmtId="0" fontId="9" fillId="0" borderId="58" xfId="5" applyFont="1" applyFill="1" applyBorder="1" applyProtection="1">
      <protection locked="0"/>
    </xf>
    <xf numFmtId="199" fontId="9" fillId="3" borderId="66" xfId="5" applyNumberFormat="1" applyFont="1" applyFill="1" applyBorder="1" applyAlignment="1" applyProtection="1">
      <alignment horizontal="right"/>
    </xf>
    <xf numFmtId="199" fontId="9" fillId="3" borderId="57" xfId="5" applyNumberFormat="1" applyFont="1" applyFill="1" applyBorder="1" applyAlignment="1" applyProtection="1">
      <alignment horizontal="right"/>
    </xf>
    <xf numFmtId="199" fontId="9" fillId="3" borderId="56" xfId="5" applyNumberFormat="1" applyFont="1" applyFill="1" applyBorder="1" applyAlignment="1" applyProtection="1">
      <alignment horizontal="right"/>
    </xf>
    <xf numFmtId="199" fontId="9" fillId="0" borderId="56" xfId="5" applyNumberFormat="1" applyFont="1" applyFill="1" applyBorder="1" applyAlignment="1" applyProtection="1">
      <alignment horizontal="right"/>
    </xf>
    <xf numFmtId="199" fontId="9" fillId="0" borderId="66" xfId="5" applyNumberFormat="1" applyFont="1" applyFill="1" applyBorder="1" applyAlignment="1" applyProtection="1">
      <alignment horizontal="right"/>
    </xf>
    <xf numFmtId="0" fontId="9" fillId="0" borderId="18" xfId="5" applyFont="1" applyFill="1" applyBorder="1" applyAlignment="1" applyProtection="1">
      <alignment vertical="top" wrapText="1"/>
    </xf>
    <xf numFmtId="0" fontId="8" fillId="0" borderId="0" xfId="5" applyFont="1" applyFill="1" applyBorder="1" applyProtection="1">
      <protection locked="0"/>
    </xf>
    <xf numFmtId="199" fontId="8" fillId="3" borderId="10" xfId="5" applyNumberFormat="1" applyFont="1" applyFill="1" applyBorder="1" applyAlignment="1" applyProtection="1">
      <alignment horizontal="right"/>
    </xf>
    <xf numFmtId="199" fontId="8" fillId="3" borderId="58" xfId="5" applyNumberFormat="1" applyFont="1" applyFill="1" applyBorder="1" applyAlignment="1" applyProtection="1">
      <alignment horizontal="right"/>
    </xf>
    <xf numFmtId="199" fontId="8" fillId="3" borderId="11" xfId="5" applyNumberFormat="1" applyFont="1" applyFill="1" applyBorder="1" applyAlignment="1" applyProtection="1">
      <alignment horizontal="right"/>
    </xf>
    <xf numFmtId="199" fontId="8" fillId="0" borderId="11" xfId="5" applyNumberFormat="1" applyFont="1" applyFill="1" applyBorder="1" applyAlignment="1" applyProtection="1">
      <alignment horizontal="right"/>
    </xf>
    <xf numFmtId="199" fontId="8" fillId="0" borderId="10" xfId="5" applyNumberFormat="1" applyFont="1" applyFill="1" applyBorder="1" applyAlignment="1" applyProtection="1">
      <alignment horizontal="right"/>
    </xf>
    <xf numFmtId="0" fontId="8" fillId="0" borderId="0" xfId="5" applyFont="1" applyFill="1" applyBorder="1" applyAlignment="1" applyProtection="1">
      <alignment vertical="top" wrapText="1"/>
    </xf>
    <xf numFmtId="0" fontId="9" fillId="0" borderId="0" xfId="5" applyFont="1" applyFill="1" applyBorder="1" applyProtection="1">
      <protection locked="0"/>
    </xf>
    <xf numFmtId="199" fontId="9" fillId="3" borderId="10" xfId="5" applyNumberFormat="1" applyFont="1" applyFill="1" applyBorder="1" applyAlignment="1" applyProtection="1">
      <alignment horizontal="right"/>
    </xf>
    <xf numFmtId="0" fontId="9" fillId="3" borderId="58" xfId="5" applyFont="1" applyFill="1" applyBorder="1" applyAlignment="1" applyProtection="1">
      <alignment horizontal="right"/>
      <protection locked="0"/>
    </xf>
    <xf numFmtId="0" fontId="9" fillId="3" borderId="11" xfId="5" applyFont="1" applyFill="1" applyBorder="1" applyAlignment="1" applyProtection="1">
      <alignment horizontal="right"/>
      <protection locked="0"/>
    </xf>
    <xf numFmtId="0" fontId="9" fillId="0" borderId="11" xfId="5" applyFont="1" applyFill="1" applyBorder="1" applyAlignment="1" applyProtection="1">
      <alignment horizontal="right"/>
      <protection locked="0"/>
    </xf>
    <xf numFmtId="0" fontId="9" fillId="0" borderId="10" xfId="5" applyFont="1" applyFill="1" applyBorder="1" applyAlignment="1" applyProtection="1">
      <alignment horizontal="right"/>
      <protection locked="0"/>
    </xf>
    <xf numFmtId="0" fontId="9" fillId="0" borderId="0" xfId="5" applyFont="1" applyFill="1" applyBorder="1" applyAlignment="1" applyProtection="1">
      <alignment horizontal="center"/>
      <protection locked="0"/>
    </xf>
    <xf numFmtId="0" fontId="9" fillId="4" borderId="0" xfId="5" applyFont="1" applyFill="1" applyBorder="1" applyAlignment="1" applyProtection="1">
      <alignment horizontal="center"/>
      <protection locked="0"/>
    </xf>
    <xf numFmtId="0" fontId="9" fillId="4" borderId="73" xfId="5" applyFont="1" applyFill="1" applyBorder="1" applyAlignment="1" applyProtection="1">
      <alignment horizontal="center"/>
      <protection locked="0"/>
    </xf>
    <xf numFmtId="0" fontId="9" fillId="0" borderId="59" xfId="5" applyFont="1" applyFill="1" applyBorder="1" applyAlignment="1" applyProtection="1">
      <alignment horizontal="center"/>
      <protection locked="0"/>
    </xf>
    <xf numFmtId="0" fontId="9" fillId="0" borderId="72" xfId="5" applyFont="1" applyFill="1" applyBorder="1" applyAlignment="1" applyProtection="1">
      <alignment horizontal="center"/>
      <protection locked="0"/>
    </xf>
    <xf numFmtId="0" fontId="9" fillId="0" borderId="23" xfId="5" quotePrefix="1" applyFont="1" applyFill="1" applyBorder="1" applyAlignment="1" applyProtection="1">
      <alignment horizontal="center"/>
      <protection locked="0"/>
    </xf>
    <xf numFmtId="0" fontId="9" fillId="0" borderId="72" xfId="5" quotePrefix="1" applyFont="1" applyFill="1" applyBorder="1" applyAlignment="1" applyProtection="1">
      <alignment horizontal="right"/>
      <protection locked="0"/>
    </xf>
    <xf numFmtId="0" fontId="8" fillId="0" borderId="23" xfId="5" applyFont="1" applyFill="1" applyBorder="1" applyAlignment="1" applyProtection="1">
      <alignment wrapText="1"/>
    </xf>
    <xf numFmtId="0" fontId="8" fillId="0" borderId="0" xfId="5" applyFont="1" applyFill="1"/>
    <xf numFmtId="200" fontId="9" fillId="0" borderId="0" xfId="5" applyNumberFormat="1" applyFont="1"/>
    <xf numFmtId="199" fontId="9" fillId="0" borderId="66" xfId="15" applyNumberFormat="1" applyFont="1" applyFill="1" applyBorder="1" applyAlignment="1" applyProtection="1">
      <alignment horizontal="right"/>
    </xf>
    <xf numFmtId="0" fontId="9" fillId="0" borderId="18" xfId="15" applyFont="1" applyFill="1" applyBorder="1" applyAlignment="1" applyProtection="1">
      <alignment vertical="top" wrapText="1"/>
    </xf>
    <xf numFmtId="0" fontId="4" fillId="0" borderId="0" xfId="15" applyFill="1" applyAlignment="1" applyProtection="1">
      <alignment vertical="top"/>
    </xf>
    <xf numFmtId="0" fontId="5" fillId="0" borderId="0" xfId="15" applyFont="1" applyFill="1" applyAlignment="1" applyProtection="1">
      <alignment vertical="top"/>
    </xf>
    <xf numFmtId="199" fontId="8" fillId="3" borderId="11" xfId="15" applyNumberFormat="1" applyFont="1" applyFill="1" applyBorder="1" applyAlignment="1" applyProtection="1">
      <alignment horizontal="right"/>
    </xf>
    <xf numFmtId="0" fontId="8" fillId="0" borderId="0" xfId="15" applyFont="1" applyFill="1" applyBorder="1" applyAlignment="1" applyProtection="1">
      <alignment vertical="top" wrapText="1"/>
    </xf>
    <xf numFmtId="199" fontId="8" fillId="0" borderId="10" xfId="15" applyNumberFormat="1" applyFont="1" applyFill="1" applyBorder="1" applyAlignment="1" applyProtection="1">
      <alignment horizontal="right"/>
    </xf>
    <xf numFmtId="0" fontId="9" fillId="0" borderId="10" xfId="15" applyFont="1" applyFill="1" applyBorder="1" applyAlignment="1" applyProtection="1">
      <alignment horizontal="right"/>
      <protection locked="0"/>
    </xf>
    <xf numFmtId="0" fontId="9" fillId="0" borderId="0" xfId="15" applyFont="1" applyFill="1" applyBorder="1" applyProtection="1">
      <protection locked="0"/>
    </xf>
    <xf numFmtId="0" fontId="9" fillId="0" borderId="72" xfId="15" quotePrefix="1" applyFont="1" applyFill="1" applyBorder="1" applyAlignment="1" applyProtection="1">
      <alignment horizontal="center"/>
      <protection locked="0"/>
    </xf>
    <xf numFmtId="0" fontId="8" fillId="0" borderId="23" xfId="15" applyFont="1" applyFill="1" applyBorder="1" applyAlignment="1" applyProtection="1">
      <alignment wrapText="1"/>
    </xf>
    <xf numFmtId="0" fontId="8" fillId="3" borderId="0" xfId="15" applyFont="1" applyFill="1"/>
    <xf numFmtId="200" fontId="9" fillId="0" borderId="0" xfId="15" applyNumberFormat="1" applyFont="1"/>
    <xf numFmtId="0" fontId="4" fillId="3" borderId="0" xfId="15" applyFill="1" applyProtection="1">
      <protection locked="0"/>
    </xf>
    <xf numFmtId="199" fontId="10" fillId="18" borderId="66" xfId="15" applyNumberFormat="1" applyFont="1" applyFill="1" applyBorder="1" applyAlignment="1" applyProtection="1">
      <alignment horizontal="right"/>
    </xf>
    <xf numFmtId="179" fontId="8" fillId="0" borderId="10" xfId="15" applyNumberFormat="1" applyFont="1" applyFill="1" applyBorder="1" applyAlignment="1" applyProtection="1">
      <alignment horizontal="right"/>
    </xf>
    <xf numFmtId="0" fontId="4" fillId="0" borderId="3" xfId="5" applyFont="1" applyFill="1" applyBorder="1" applyAlignment="1" applyProtection="1">
      <alignment horizontal="left" vertical="top" wrapText="1"/>
    </xf>
    <xf numFmtId="0" fontId="4" fillId="0" borderId="2" xfId="5" applyFont="1" applyFill="1" applyBorder="1" applyAlignment="1" applyProtection="1">
      <alignment horizontal="left" vertical="top" wrapText="1"/>
    </xf>
    <xf numFmtId="0" fontId="4" fillId="0" borderId="1" xfId="5" applyFont="1" applyFill="1" applyBorder="1" applyAlignment="1" applyProtection="1">
      <alignment horizontal="left" vertical="top" wrapText="1"/>
    </xf>
    <xf numFmtId="0" fontId="13" fillId="0" borderId="3" xfId="5" applyFont="1" applyFill="1" applyBorder="1" applyAlignment="1" applyProtection="1">
      <alignment horizontal="left" vertical="top" wrapText="1"/>
    </xf>
    <xf numFmtId="0" fontId="13" fillId="0" borderId="2" xfId="5" applyFont="1" applyFill="1" applyBorder="1" applyAlignment="1" applyProtection="1">
      <alignment horizontal="left" vertical="top" wrapText="1"/>
    </xf>
    <xf numFmtId="0" fontId="13" fillId="0" borderId="1" xfId="5" applyFont="1" applyFill="1" applyBorder="1" applyAlignment="1" applyProtection="1">
      <alignment horizontal="left" vertical="top" wrapText="1"/>
    </xf>
    <xf numFmtId="0" fontId="5" fillId="0" borderId="0" xfId="5" applyFont="1" applyFill="1" applyAlignment="1" applyProtection="1">
      <alignment vertical="top" wrapText="1"/>
    </xf>
    <xf numFmtId="0" fontId="4" fillId="0" borderId="0" xfId="5" applyFill="1" applyProtection="1"/>
    <xf numFmtId="0" fontId="8" fillId="0" borderId="0" xfId="5" applyFont="1" applyFill="1" applyProtection="1"/>
    <xf numFmtId="0" fontId="7" fillId="0" borderId="0" xfId="5" applyFont="1" applyFill="1" applyProtection="1"/>
    <xf numFmtId="0" fontId="8" fillId="0" borderId="0" xfId="5" applyFont="1" applyFill="1" applyBorder="1" applyProtection="1"/>
    <xf numFmtId="0" fontId="27" fillId="0" borderId="0" xfId="5" applyFont="1" applyFill="1" applyProtection="1">
      <protection locked="0"/>
    </xf>
    <xf numFmtId="199" fontId="9" fillId="0" borderId="14" xfId="15" applyNumberFormat="1" applyFont="1" applyFill="1" applyBorder="1" applyAlignment="1" applyProtection="1">
      <alignment horizontal="right"/>
    </xf>
    <xf numFmtId="0" fontId="9" fillId="0" borderId="4" xfId="5" applyFont="1" applyFill="1" applyBorder="1" applyAlignment="1" applyProtection="1">
      <alignment vertical="top" wrapText="1"/>
    </xf>
    <xf numFmtId="0" fontId="27" fillId="0" borderId="0" xfId="5" applyFont="1" applyFill="1" applyAlignment="1" applyProtection="1">
      <alignment vertical="top"/>
    </xf>
    <xf numFmtId="199" fontId="8" fillId="0" borderId="22" xfId="15" applyNumberFormat="1" applyFont="1" applyFill="1" applyBorder="1" applyAlignment="1" applyProtection="1">
      <alignment horizontal="right"/>
    </xf>
    <xf numFmtId="0" fontId="8" fillId="0" borderId="21" xfId="15" applyFont="1" applyFill="1" applyBorder="1" applyAlignment="1" applyProtection="1">
      <alignment vertical="top" wrapText="1"/>
    </xf>
    <xf numFmtId="0" fontId="4" fillId="0" borderId="4" xfId="5" applyFill="1" applyBorder="1" applyProtection="1">
      <protection locked="0"/>
    </xf>
    <xf numFmtId="0" fontId="4" fillId="0" borderId="4" xfId="15" applyFill="1" applyBorder="1" applyProtection="1">
      <protection locked="0"/>
    </xf>
    <xf numFmtId="199" fontId="8" fillId="3" borderId="4" xfId="15" applyNumberFormat="1" applyFont="1" applyFill="1" applyBorder="1" applyAlignment="1" applyProtection="1">
      <alignment horizontal="right"/>
    </xf>
    <xf numFmtId="0" fontId="9" fillId="0" borderId="0" xfId="15" applyFont="1" applyFill="1" applyBorder="1" applyProtection="1"/>
    <xf numFmtId="0" fontId="9" fillId="0" borderId="0" xfId="5" applyFont="1" applyFill="1" applyBorder="1" applyProtection="1"/>
    <xf numFmtId="0" fontId="8" fillId="0" borderId="0" xfId="5" applyFont="1" applyFill="1" applyBorder="1" applyAlignment="1" applyProtection="1">
      <alignment wrapText="1"/>
    </xf>
    <xf numFmtId="166" fontId="17" fillId="0" borderId="0" xfId="0" applyNumberFormat="1" applyFont="1" applyBorder="1"/>
    <xf numFmtId="199" fontId="8" fillId="0" borderId="14" xfId="15" applyNumberFormat="1" applyFont="1" applyFill="1" applyBorder="1" applyAlignment="1" applyProtection="1">
      <alignment horizontal="right"/>
    </xf>
    <xf numFmtId="0" fontId="8" fillId="0" borderId="4" xfId="5" applyFont="1" applyFill="1" applyBorder="1" applyAlignment="1" applyProtection="1">
      <alignment wrapText="1"/>
    </xf>
    <xf numFmtId="199" fontId="8" fillId="0" borderId="84" xfId="15" applyNumberFormat="1" applyFont="1" applyFill="1" applyBorder="1" applyAlignment="1" applyProtection="1">
      <alignment horizontal="right"/>
    </xf>
    <xf numFmtId="0" fontId="8" fillId="0" borderId="45" xfId="5" applyFont="1" applyFill="1" applyBorder="1" applyAlignment="1" applyProtection="1">
      <alignment wrapText="1"/>
    </xf>
    <xf numFmtId="0" fontId="4" fillId="0" borderId="23" xfId="5" applyFill="1" applyBorder="1" applyProtection="1">
      <protection locked="0"/>
    </xf>
    <xf numFmtId="0" fontId="4" fillId="0" borderId="23" xfId="15" applyFill="1" applyBorder="1" applyProtection="1">
      <protection locked="0"/>
    </xf>
    <xf numFmtId="179" fontId="9" fillId="3" borderId="23" xfId="15" applyNumberFormat="1" applyFont="1" applyFill="1" applyBorder="1" applyAlignment="1" applyProtection="1">
      <alignment horizontal="right"/>
    </xf>
    <xf numFmtId="179" fontId="9" fillId="3" borderId="0" xfId="15" applyNumberFormat="1" applyFont="1" applyFill="1" applyBorder="1" applyAlignment="1" applyProtection="1">
      <alignment horizontal="right"/>
    </xf>
    <xf numFmtId="179" fontId="9" fillId="0" borderId="0" xfId="15" applyNumberFormat="1" applyFont="1" applyFill="1" applyBorder="1" applyAlignment="1" applyProtection="1">
      <alignment horizontal="right"/>
    </xf>
    <xf numFmtId="179" fontId="9" fillId="0" borderId="23" xfId="15" applyNumberFormat="1" applyFont="1" applyFill="1" applyBorder="1" applyAlignment="1" applyProtection="1">
      <alignment horizontal="right"/>
    </xf>
    <xf numFmtId="0" fontId="9" fillId="0" borderId="45" xfId="5" applyFont="1" applyFill="1" applyBorder="1" applyAlignment="1" applyProtection="1">
      <alignment wrapText="1"/>
    </xf>
    <xf numFmtId="179" fontId="9" fillId="0" borderId="0" xfId="15" applyNumberFormat="1" applyFont="1" applyFill="1" applyBorder="1" applyAlignment="1">
      <alignment horizontal="right"/>
    </xf>
    <xf numFmtId="179" fontId="9" fillId="0" borderId="14" xfId="15" applyNumberFormat="1" applyFont="1" applyFill="1" applyBorder="1" applyAlignment="1" applyProtection="1">
      <alignment horizontal="right"/>
    </xf>
    <xf numFmtId="173" fontId="9" fillId="0" borderId="4" xfId="1" applyNumberFormat="1" applyFont="1" applyFill="1" applyBorder="1" applyAlignment="1" applyProtection="1">
      <alignment wrapText="1"/>
    </xf>
    <xf numFmtId="0" fontId="9" fillId="0" borderId="4" xfId="5" applyFont="1" applyFill="1" applyBorder="1" applyAlignment="1" applyProtection="1">
      <alignment wrapText="1"/>
    </xf>
    <xf numFmtId="179" fontId="8" fillId="0" borderId="0" xfId="15" applyNumberFormat="1" applyFont="1" applyFill="1" applyBorder="1" applyAlignment="1">
      <alignment horizontal="right"/>
    </xf>
    <xf numFmtId="173" fontId="8" fillId="3" borderId="22" xfId="26" applyNumberFormat="1" applyFont="1" applyFill="1" applyBorder="1"/>
    <xf numFmtId="0" fontId="8" fillId="0" borderId="21" xfId="5" applyFont="1" applyFill="1" applyBorder="1" applyAlignment="1" applyProtection="1">
      <alignment vertical="top"/>
    </xf>
    <xf numFmtId="173" fontId="8" fillId="3" borderId="10" xfId="26" applyNumberFormat="1" applyFont="1" applyFill="1" applyBorder="1"/>
    <xf numFmtId="0" fontId="8" fillId="0" borderId="0" xfId="5" applyFont="1" applyFill="1" applyBorder="1" applyAlignment="1" applyProtection="1">
      <alignment vertical="top"/>
    </xf>
    <xf numFmtId="0" fontId="9" fillId="3" borderId="0" xfId="15" applyFont="1" applyFill="1" applyBorder="1" applyAlignment="1" applyProtection="1">
      <alignment horizontal="right"/>
      <protection locked="0"/>
    </xf>
    <xf numFmtId="0" fontId="9" fillId="3" borderId="0" xfId="15" applyFont="1" applyFill="1" applyBorder="1" applyAlignment="1" applyProtection="1">
      <alignment horizontal="center"/>
      <protection locked="0"/>
    </xf>
    <xf numFmtId="179" fontId="8" fillId="0" borderId="4" xfId="15" applyNumberFormat="1" applyFont="1" applyFill="1" applyBorder="1" applyAlignment="1">
      <alignment horizontal="right"/>
    </xf>
    <xf numFmtId="0" fontId="4" fillId="0" borderId="0" xfId="5" applyFill="1" applyBorder="1" applyProtection="1"/>
    <xf numFmtId="0" fontId="9" fillId="0" borderId="0" xfId="5" applyFont="1" applyFill="1" applyBorder="1" applyAlignment="1" applyProtection="1"/>
    <xf numFmtId="0" fontId="27" fillId="0" borderId="0" xfId="5" applyFont="1" applyFill="1" applyProtection="1"/>
    <xf numFmtId="166" fontId="9" fillId="0" borderId="25" xfId="5" applyNumberFormat="1" applyFont="1" applyFill="1" applyBorder="1" applyProtection="1"/>
    <xf numFmtId="166" fontId="9" fillId="0" borderId="25" xfId="15" applyNumberFormat="1" applyFont="1" applyBorder="1" applyAlignment="1">
      <alignment horizontal="right"/>
    </xf>
    <xf numFmtId="166" fontId="9" fillId="0" borderId="25" xfId="15" applyNumberFormat="1" applyFont="1" applyFill="1" applyBorder="1" applyAlignment="1" applyProtection="1">
      <alignment horizontal="right"/>
    </xf>
    <xf numFmtId="0" fontId="9" fillId="0" borderId="25" xfId="5" applyFont="1" applyFill="1" applyBorder="1" applyAlignment="1" applyProtection="1">
      <alignment wrapText="1"/>
    </xf>
    <xf numFmtId="166" fontId="8" fillId="0" borderId="25" xfId="5" applyNumberFormat="1" applyFont="1" applyFill="1" applyBorder="1" applyProtection="1"/>
    <xf numFmtId="166" fontId="8" fillId="0" borderId="25" xfId="15" applyNumberFormat="1" applyFont="1" applyBorder="1" applyAlignment="1">
      <alignment horizontal="right"/>
    </xf>
    <xf numFmtId="166" fontId="8" fillId="0" borderId="25" xfId="15" applyNumberFormat="1" applyFont="1" applyFill="1" applyBorder="1" applyAlignment="1" applyProtection="1">
      <alignment horizontal="right"/>
    </xf>
    <xf numFmtId="0" fontId="8" fillId="0" borderId="25" xfId="5" applyFont="1" applyFill="1" applyBorder="1" applyProtection="1"/>
    <xf numFmtId="0" fontId="8" fillId="0" borderId="25" xfId="5" applyFont="1" applyFill="1" applyBorder="1" applyAlignment="1" applyProtection="1">
      <alignment wrapText="1"/>
    </xf>
    <xf numFmtId="1" fontId="9" fillId="0" borderId="25" xfId="15" applyNumberFormat="1" applyFont="1" applyFill="1" applyBorder="1" applyAlignment="1" applyProtection="1">
      <alignment horizontal="center"/>
    </xf>
    <xf numFmtId="1" fontId="9" fillId="0" borderId="19" xfId="5" applyNumberFormat="1" applyFont="1" applyFill="1" applyBorder="1" applyAlignment="1" applyProtection="1">
      <alignment horizontal="center"/>
    </xf>
    <xf numFmtId="1" fontId="9" fillId="0" borderId="25" xfId="5" applyNumberFormat="1" applyFont="1" applyFill="1" applyBorder="1" applyAlignment="1" applyProtection="1">
      <alignment horizontal="center"/>
    </xf>
    <xf numFmtId="0" fontId="9" fillId="0" borderId="25" xfId="5" applyFont="1" applyFill="1" applyBorder="1" applyAlignment="1" applyProtection="1">
      <alignment horizontal="center"/>
    </xf>
    <xf numFmtId="0" fontId="9" fillId="0" borderId="25" xfId="5" quotePrefix="1" applyFont="1" applyFill="1" applyBorder="1" applyAlignment="1" applyProtection="1">
      <alignment horizontal="center"/>
    </xf>
    <xf numFmtId="0" fontId="9" fillId="0" borderId="4" xfId="15" applyFont="1" applyFill="1" applyBorder="1" applyProtection="1"/>
    <xf numFmtId="0" fontId="9" fillId="0" borderId="4" xfId="15" applyFont="1" applyFill="1" applyBorder="1" applyAlignment="1" applyProtection="1"/>
    <xf numFmtId="0" fontId="4" fillId="0" borderId="4" xfId="15" applyFont="1" applyFill="1" applyBorder="1" applyProtection="1"/>
    <xf numFmtId="0" fontId="8" fillId="0" borderId="4" xfId="15" applyFont="1" applyFill="1" applyBorder="1" applyAlignment="1" applyProtection="1">
      <alignment horizontal="right" shrinkToFit="1"/>
    </xf>
    <xf numFmtId="166" fontId="8" fillId="0" borderId="4" xfId="15" applyNumberFormat="1" applyFont="1" applyFill="1" applyBorder="1" applyAlignment="1" applyProtection="1">
      <alignment horizontal="right"/>
    </xf>
    <xf numFmtId="166" fontId="19" fillId="0" borderId="0" xfId="5" applyNumberFormat="1" applyFont="1" applyFill="1" applyProtection="1"/>
    <xf numFmtId="166" fontId="19" fillId="4" borderId="0" xfId="5" applyNumberFormat="1" applyFont="1" applyFill="1" applyBorder="1" applyAlignment="1" applyProtection="1">
      <alignment horizontal="right"/>
    </xf>
    <xf numFmtId="166" fontId="8" fillId="3" borderId="0" xfId="5" applyNumberFormat="1" applyFont="1" applyFill="1" applyBorder="1" applyAlignment="1" applyProtection="1">
      <alignment horizontal="right"/>
    </xf>
    <xf numFmtId="166" fontId="0" fillId="0" borderId="0" xfId="0" applyNumberFormat="1"/>
    <xf numFmtId="1" fontId="9" fillId="0" borderId="19" xfId="15" applyNumberFormat="1" applyFont="1" applyFill="1" applyBorder="1" applyAlignment="1" applyProtection="1">
      <alignment horizontal="center"/>
    </xf>
    <xf numFmtId="0" fontId="9" fillId="0" borderId="25" xfId="15" applyFont="1" applyFill="1" applyBorder="1" applyAlignment="1" applyProtection="1">
      <alignment horizontal="center"/>
    </xf>
    <xf numFmtId="0" fontId="9" fillId="0" borderId="17" xfId="15" quotePrefix="1" applyFont="1" applyFill="1" applyBorder="1" applyAlignment="1" applyProtection="1">
      <alignment horizontal="center"/>
    </xf>
    <xf numFmtId="0" fontId="9" fillId="0" borderId="25" xfId="15" quotePrefix="1" applyFont="1" applyFill="1" applyBorder="1" applyAlignment="1" applyProtection="1">
      <alignment horizontal="center"/>
    </xf>
    <xf numFmtId="0" fontId="4" fillId="0" borderId="4" xfId="5" applyFill="1" applyBorder="1" applyProtection="1"/>
    <xf numFmtId="166" fontId="8" fillId="0" borderId="0" xfId="5" applyNumberFormat="1" applyFont="1" applyFill="1" applyBorder="1" applyAlignment="1" applyProtection="1">
      <alignment horizontal="right" shrinkToFit="1"/>
    </xf>
    <xf numFmtId="166" fontId="8" fillId="0" borderId="10" xfId="5" applyNumberFormat="1" applyFont="1" applyFill="1" applyBorder="1" applyAlignment="1" applyProtection="1">
      <alignment horizontal="right" shrinkToFit="1"/>
    </xf>
    <xf numFmtId="0" fontId="8" fillId="0" borderId="0" xfId="5" applyFont="1" applyFill="1" applyBorder="1" applyAlignment="1" applyProtection="1">
      <alignment horizontal="right" shrinkToFit="1"/>
    </xf>
    <xf numFmtId="166" fontId="8" fillId="0" borderId="0" xfId="5" applyNumberFormat="1" applyFont="1" applyFill="1" applyBorder="1" applyAlignment="1" applyProtection="1">
      <alignment horizontal="right"/>
    </xf>
    <xf numFmtId="0" fontId="8" fillId="0" borderId="0" xfId="5" applyFont="1" applyFill="1" applyBorder="1" applyAlignment="1" applyProtection="1">
      <alignment horizontal="right"/>
    </xf>
    <xf numFmtId="0" fontId="9" fillId="0" borderId="0" xfId="5" applyFont="1" applyFill="1" applyBorder="1" applyAlignment="1" applyProtection="1">
      <alignment wrapText="1"/>
    </xf>
    <xf numFmtId="166" fontId="9" fillId="3" borderId="0" xfId="5" applyNumberFormat="1" applyFont="1" applyFill="1" applyBorder="1" applyAlignment="1" applyProtection="1">
      <alignment horizontal="right"/>
    </xf>
    <xf numFmtId="166" fontId="9" fillId="0" borderId="0" xfId="5" applyNumberFormat="1" applyFont="1" applyFill="1" applyBorder="1" applyAlignment="1" applyProtection="1">
      <alignment horizontal="right"/>
    </xf>
    <xf numFmtId="166" fontId="9" fillId="0" borderId="0" xfId="5" applyNumberFormat="1" applyFont="1" applyBorder="1" applyProtection="1"/>
    <xf numFmtId="0" fontId="4" fillId="0" borderId="0" xfId="15" applyFill="1" applyProtection="1"/>
    <xf numFmtId="166" fontId="9" fillId="0" borderId="18" xfId="5" applyNumberFormat="1" applyFont="1" applyBorder="1" applyProtection="1"/>
    <xf numFmtId="0" fontId="8" fillId="3" borderId="18" xfId="15" applyFont="1" applyFill="1" applyBorder="1" applyAlignment="1" applyProtection="1">
      <alignment wrapText="1"/>
    </xf>
    <xf numFmtId="173" fontId="9" fillId="0" borderId="10" xfId="1" applyNumberFormat="1" applyFont="1" applyFill="1" applyBorder="1" applyAlignment="1" applyProtection="1">
      <alignment horizontal="right"/>
    </xf>
    <xf numFmtId="173" fontId="9" fillId="3" borderId="10" xfId="1" applyNumberFormat="1" applyFont="1" applyFill="1" applyBorder="1" applyAlignment="1" applyProtection="1">
      <alignment horizontal="right"/>
    </xf>
    <xf numFmtId="0" fontId="9" fillId="3" borderId="0" xfId="15" applyFont="1" applyFill="1" applyBorder="1" applyProtection="1"/>
    <xf numFmtId="173" fontId="8" fillId="0" borderId="10" xfId="1" applyNumberFormat="1" applyFont="1" applyFill="1" applyBorder="1" applyAlignment="1" applyProtection="1">
      <alignment horizontal="right"/>
    </xf>
    <xf numFmtId="173" fontId="8" fillId="3" borderId="10" xfId="1" applyNumberFormat="1" applyFont="1" applyFill="1" applyBorder="1" applyAlignment="1" applyProtection="1">
      <alignment horizontal="right"/>
    </xf>
    <xf numFmtId="0" fontId="8" fillId="3" borderId="0" xfId="15" applyFont="1" applyFill="1" applyBorder="1" applyProtection="1"/>
    <xf numFmtId="0" fontId="8" fillId="3" borderId="0" xfId="15" applyFont="1" applyFill="1" applyBorder="1" applyAlignment="1" applyProtection="1">
      <alignment wrapText="1"/>
    </xf>
    <xf numFmtId="0" fontId="9" fillId="0" borderId="72" xfId="5" applyFont="1" applyFill="1" applyBorder="1" applyAlignment="1" applyProtection="1">
      <alignment horizontal="center"/>
    </xf>
    <xf numFmtId="0" fontId="9" fillId="0" borderId="72" xfId="5" quotePrefix="1" applyFont="1" applyFill="1" applyBorder="1" applyAlignment="1" applyProtection="1">
      <alignment horizontal="center"/>
    </xf>
    <xf numFmtId="0" fontId="4" fillId="0" borderId="0" xfId="15" applyFill="1" applyBorder="1" applyProtection="1"/>
    <xf numFmtId="0" fontId="4" fillId="3" borderId="0" xfId="15" applyFill="1" applyBorder="1" applyProtection="1"/>
    <xf numFmtId="0" fontId="8" fillId="0" borderId="0" xfId="15" applyFont="1" applyFill="1" applyBorder="1" applyAlignment="1" applyProtection="1">
      <alignment horizontal="right" shrinkToFit="1"/>
    </xf>
    <xf numFmtId="166" fontId="8" fillId="0" borderId="0" xfId="15" applyNumberFormat="1" applyFont="1" applyFill="1" applyBorder="1" applyAlignment="1" applyProtection="1">
      <alignment horizontal="right"/>
    </xf>
    <xf numFmtId="0" fontId="9" fillId="0" borderId="0" xfId="15" applyFont="1" applyFill="1" applyBorder="1" applyAlignment="1" applyProtection="1"/>
    <xf numFmtId="166" fontId="19" fillId="0" borderId="0" xfId="15" applyNumberFormat="1" applyFont="1" applyBorder="1" applyAlignment="1">
      <alignment horizontal="right"/>
    </xf>
    <xf numFmtId="166" fontId="8" fillId="3" borderId="0" xfId="15" applyNumberFormat="1" applyFont="1" applyFill="1" applyBorder="1" applyAlignment="1" applyProtection="1">
      <alignment horizontal="right"/>
    </xf>
    <xf numFmtId="166" fontId="9" fillId="0" borderId="0" xfId="15" applyNumberFormat="1" applyFont="1" applyBorder="1" applyProtection="1"/>
    <xf numFmtId="0" fontId="9" fillId="0" borderId="0" xfId="15" applyFont="1" applyFill="1" applyBorder="1" applyAlignment="1" applyProtection="1">
      <alignment wrapText="1"/>
    </xf>
    <xf numFmtId="173" fontId="9" fillId="3" borderId="0" xfId="1" applyNumberFormat="1" applyFont="1" applyFill="1" applyBorder="1" applyProtection="1"/>
    <xf numFmtId="166" fontId="9" fillId="3" borderId="0" xfId="15" applyNumberFormat="1" applyFont="1" applyFill="1" applyBorder="1" applyProtection="1"/>
    <xf numFmtId="168" fontId="147" fillId="0" borderId="14" xfId="0" applyNumberFormat="1" applyFont="1" applyFill="1" applyBorder="1"/>
    <xf numFmtId="168" fontId="147" fillId="19" borderId="14" xfId="0" applyNumberFormat="1" applyFont="1" applyFill="1" applyBorder="1"/>
    <xf numFmtId="166" fontId="9" fillId="3" borderId="4" xfId="15" applyNumberFormat="1" applyFont="1" applyFill="1" applyBorder="1" applyProtection="1"/>
    <xf numFmtId="168" fontId="148" fillId="0" borderId="10" xfId="0" applyNumberFormat="1" applyFont="1" applyFill="1" applyBorder="1"/>
    <xf numFmtId="168" fontId="148" fillId="0" borderId="10" xfId="0" applyNumberFormat="1" applyFont="1" applyBorder="1"/>
    <xf numFmtId="166" fontId="8" fillId="3" borderId="0" xfId="15" applyNumberFormat="1" applyFont="1" applyFill="1" applyBorder="1" applyProtection="1"/>
    <xf numFmtId="0" fontId="8" fillId="3" borderId="0" xfId="15" applyFont="1" applyFill="1" applyBorder="1" applyAlignment="1" applyProtection="1">
      <alignment horizontal="left" shrinkToFit="1"/>
    </xf>
    <xf numFmtId="0" fontId="12" fillId="0" borderId="0" xfId="15" applyFont="1" applyFill="1" applyProtection="1"/>
    <xf numFmtId="0" fontId="12" fillId="0" borderId="0" xfId="15" applyFont="1" applyFill="1" applyAlignment="1" applyProtection="1">
      <alignment vertical="top"/>
    </xf>
    <xf numFmtId="0" fontId="77" fillId="0" borderId="0" xfId="15" applyFont="1" applyFill="1" applyAlignment="1" applyProtection="1">
      <alignment vertical="top"/>
    </xf>
    <xf numFmtId="1" fontId="9" fillId="0" borderId="10" xfId="5" applyNumberFormat="1" applyFont="1" applyFill="1" applyBorder="1" applyAlignment="1" applyProtection="1">
      <alignment horizontal="center"/>
    </xf>
    <xf numFmtId="0" fontId="9" fillId="0" borderId="10" xfId="5" quotePrefix="1" applyFont="1" applyFill="1" applyBorder="1" applyAlignment="1" applyProtection="1">
      <alignment horizontal="center"/>
    </xf>
    <xf numFmtId="1" fontId="9" fillId="0" borderId="4" xfId="15" applyNumberFormat="1" applyFont="1" applyFill="1" applyBorder="1" applyAlignment="1" applyProtection="1">
      <alignment horizontal="center"/>
    </xf>
    <xf numFmtId="0" fontId="8" fillId="0" borderId="4" xfId="15" applyFont="1" applyFill="1" applyBorder="1" applyProtection="1"/>
    <xf numFmtId="166" fontId="9" fillId="0" borderId="0" xfId="5" applyNumberFormat="1" applyFont="1" applyFill="1" applyBorder="1" applyAlignment="1" applyProtection="1">
      <alignment wrapText="1"/>
    </xf>
    <xf numFmtId="166" fontId="9" fillId="0" borderId="0" xfId="15" applyNumberFormat="1" applyFont="1" applyFill="1" applyBorder="1" applyAlignment="1" applyProtection="1">
      <alignment wrapText="1"/>
    </xf>
    <xf numFmtId="166" fontId="9" fillId="0" borderId="23" xfId="15" applyNumberFormat="1" applyFont="1" applyBorder="1" applyProtection="1"/>
    <xf numFmtId="0" fontId="9" fillId="0" borderId="23" xfId="5" applyFont="1" applyFill="1" applyBorder="1" applyAlignment="1" applyProtection="1">
      <alignment wrapText="1"/>
    </xf>
    <xf numFmtId="166" fontId="9" fillId="0" borderId="66" xfId="15" applyNumberFormat="1" applyFont="1" applyFill="1" applyBorder="1" applyAlignment="1" applyProtection="1">
      <alignment horizontal="right"/>
    </xf>
    <xf numFmtId="0" fontId="9" fillId="0" borderId="18" xfId="5" applyFont="1" applyFill="1" applyBorder="1" applyAlignment="1" applyProtection="1">
      <alignment wrapText="1"/>
    </xf>
    <xf numFmtId="166" fontId="8" fillId="0" borderId="14" xfId="15" applyNumberFormat="1" applyFont="1" applyBorder="1" applyProtection="1"/>
    <xf numFmtId="166" fontId="8" fillId="0" borderId="10" xfId="15" applyNumberFormat="1" applyFont="1" applyBorder="1" applyProtection="1"/>
    <xf numFmtId="0" fontId="8" fillId="0" borderId="10" xfId="15" applyFont="1" applyFill="1" applyBorder="1" applyAlignment="1" applyProtection="1">
      <alignment horizontal="right" shrinkToFit="1"/>
    </xf>
    <xf numFmtId="166" fontId="8" fillId="0" borderId="10" xfId="15" applyNumberFormat="1" applyFont="1" applyFill="1" applyBorder="1" applyAlignment="1" applyProtection="1">
      <alignment horizontal="right" shrinkToFit="1"/>
    </xf>
    <xf numFmtId="166" fontId="8" fillId="0" borderId="10" xfId="15" applyNumberFormat="1" applyFont="1" applyFill="1" applyBorder="1" applyAlignment="1" applyProtection="1">
      <alignment horizontal="right"/>
    </xf>
    <xf numFmtId="0" fontId="8" fillId="0" borderId="10" xfId="15" applyFont="1" applyFill="1" applyBorder="1" applyAlignment="1" applyProtection="1">
      <alignment horizontal="right"/>
    </xf>
    <xf numFmtId="0" fontId="9" fillId="0" borderId="72" xfId="15" quotePrefix="1" applyFont="1" applyFill="1" applyBorder="1" applyAlignment="1" applyProtection="1">
      <alignment horizontal="center"/>
    </xf>
    <xf numFmtId="0" fontId="9" fillId="0" borderId="72" xfId="15" applyFont="1" applyFill="1" applyBorder="1" applyAlignment="1" applyProtection="1">
      <alignment horizontal="center"/>
    </xf>
    <xf numFmtId="0" fontId="8" fillId="0" borderId="23" xfId="5" applyFont="1" applyFill="1" applyBorder="1" applyProtection="1"/>
    <xf numFmtId="166" fontId="8" fillId="0" borderId="0" xfId="5" applyNumberFormat="1" applyFont="1" applyBorder="1" applyProtection="1"/>
    <xf numFmtId="166" fontId="8" fillId="0" borderId="23" xfId="5" applyNumberFormat="1" applyFont="1" applyFill="1" applyBorder="1" applyAlignment="1" applyProtection="1">
      <alignment horizontal="right" shrinkToFit="1"/>
    </xf>
    <xf numFmtId="0" fontId="8" fillId="0" borderId="4" xfId="5" applyFont="1" applyFill="1" applyBorder="1" applyProtection="1"/>
    <xf numFmtId="0" fontId="9" fillId="0" borderId="4" xfId="5" applyFont="1" applyFill="1" applyBorder="1" applyAlignment="1" applyProtection="1"/>
    <xf numFmtId="0" fontId="4" fillId="0" borderId="3" xfId="5" applyFont="1" applyFill="1" applyBorder="1" applyAlignment="1" applyProtection="1">
      <alignment horizontal="left" vertical="top"/>
    </xf>
    <xf numFmtId="0" fontId="4" fillId="0" borderId="2" xfId="5" applyFont="1" applyFill="1" applyBorder="1" applyAlignment="1" applyProtection="1">
      <alignment horizontal="left" vertical="top"/>
    </xf>
    <xf numFmtId="0" fontId="4" fillId="0" borderId="1" xfId="5" applyFont="1" applyFill="1" applyBorder="1" applyAlignment="1" applyProtection="1">
      <alignment horizontal="left" vertical="top"/>
    </xf>
    <xf numFmtId="0" fontId="4" fillId="0" borderId="0" xfId="5" applyFont="1" applyFill="1" applyProtection="1"/>
    <xf numFmtId="0" fontId="1" fillId="0" borderId="0" xfId="3" applyFont="1" applyFill="1" applyBorder="1" applyAlignment="1" applyProtection="1">
      <alignment vertical="top" wrapText="1"/>
      <protection locked="0"/>
    </xf>
    <xf numFmtId="0" fontId="5" fillId="0" borderId="0" xfId="3" applyFont="1" applyFill="1" applyBorder="1" applyAlignment="1" applyProtection="1">
      <alignment vertical="top" wrapText="1"/>
      <protection locked="0"/>
    </xf>
    <xf numFmtId="0" fontId="1" fillId="0" borderId="0" xfId="3" applyFont="1" applyFill="1" applyBorder="1" applyAlignment="1" applyProtection="1">
      <alignment vertical="top" wrapText="1"/>
      <protection locked="0"/>
    </xf>
    <xf numFmtId="0" fontId="4" fillId="0" borderId="0" xfId="3" applyFont="1" applyFill="1" applyBorder="1" applyAlignment="1" applyProtection="1">
      <alignment horizontal="left" vertical="top" wrapText="1"/>
      <protection locked="0"/>
    </xf>
    <xf numFmtId="183" fontId="8" fillId="0" borderId="45" xfId="3" applyNumberFormat="1" applyFont="1" applyFill="1" applyBorder="1" applyAlignment="1" applyProtection="1">
      <alignment horizontal="right"/>
      <protection locked="0"/>
    </xf>
    <xf numFmtId="0" fontId="9" fillId="0" borderId="64" xfId="3" applyFont="1" applyFill="1" applyBorder="1" applyAlignment="1" applyProtection="1">
      <alignment horizontal="right"/>
      <protection locked="0"/>
    </xf>
    <xf numFmtId="0" fontId="9" fillId="0" borderId="15" xfId="3" applyFont="1" applyFill="1" applyBorder="1" applyAlignment="1" applyProtection="1">
      <alignment horizontal="right"/>
      <protection locked="0"/>
    </xf>
    <xf numFmtId="183" fontId="9" fillId="0" borderId="77" xfId="3" applyNumberFormat="1" applyFont="1" applyFill="1" applyBorder="1" applyAlignment="1" applyProtection="1">
      <alignment horizontal="right"/>
      <protection locked="0"/>
    </xf>
    <xf numFmtId="183" fontId="9" fillId="0" borderId="138" xfId="3" applyNumberFormat="1" applyFont="1" applyFill="1" applyBorder="1" applyAlignment="1" applyProtection="1">
      <alignment horizontal="right"/>
      <protection locked="0"/>
    </xf>
    <xf numFmtId="0" fontId="9" fillId="0" borderId="13" xfId="3" applyFont="1" applyFill="1" applyBorder="1" applyAlignment="1" applyProtection="1">
      <alignment horizontal="left"/>
      <protection locked="0"/>
    </xf>
    <xf numFmtId="0" fontId="8" fillId="0" borderId="71" xfId="3" applyFont="1" applyFill="1" applyBorder="1" applyAlignment="1" applyProtection="1">
      <alignment horizontal="right"/>
      <protection locked="0"/>
    </xf>
    <xf numFmtId="0" fontId="8" fillId="0" borderId="7" xfId="3" applyFont="1" applyFill="1" applyBorder="1" applyAlignment="1" applyProtection="1">
      <alignment horizontal="right"/>
      <protection locked="0"/>
    </xf>
    <xf numFmtId="183" fontId="8" fillId="0" borderId="7" xfId="3" applyNumberFormat="1" applyFont="1" applyFill="1" applyBorder="1" applyAlignment="1" applyProtection="1">
      <alignment horizontal="right"/>
      <protection locked="0"/>
    </xf>
    <xf numFmtId="201" fontId="8" fillId="0" borderId="7" xfId="3" applyNumberFormat="1" applyFont="1" applyFill="1" applyBorder="1" applyAlignment="1" applyProtection="1">
      <alignment horizontal="right"/>
      <protection locked="0"/>
    </xf>
    <xf numFmtId="183" fontId="8" fillId="0" borderId="87" xfId="3" applyNumberFormat="1" applyFont="1" applyFill="1" applyBorder="1" applyAlignment="1" applyProtection="1">
      <alignment horizontal="right"/>
      <protection locked="0"/>
    </xf>
    <xf numFmtId="0" fontId="8" fillId="0" borderId="29" xfId="3" applyFont="1" applyFill="1" applyBorder="1" applyAlignment="1" applyProtection="1">
      <alignment horizontal="left"/>
      <protection locked="0"/>
    </xf>
    <xf numFmtId="0" fontId="8" fillId="0" borderId="63" xfId="3" applyFont="1" applyFill="1" applyBorder="1" applyAlignment="1" applyProtection="1">
      <alignment horizontal="right"/>
      <protection locked="0"/>
    </xf>
    <xf numFmtId="183" fontId="8" fillId="0" borderId="11" xfId="3" applyNumberFormat="1" applyFont="1" applyFill="1" applyBorder="1" applyAlignment="1" applyProtection="1">
      <alignment horizontal="right"/>
      <protection locked="0"/>
    </xf>
    <xf numFmtId="201" fontId="8" fillId="0" borderId="11" xfId="3" applyNumberFormat="1" applyFont="1" applyFill="1" applyBorder="1" applyAlignment="1" applyProtection="1">
      <alignment horizontal="right"/>
      <protection locked="0"/>
    </xf>
    <xf numFmtId="183" fontId="8" fillId="0" borderId="88" xfId="3" applyNumberFormat="1" applyFont="1" applyFill="1" applyBorder="1" applyAlignment="1" applyProtection="1">
      <alignment horizontal="right"/>
      <protection locked="0"/>
    </xf>
    <xf numFmtId="0" fontId="8" fillId="0" borderId="9" xfId="3" applyFont="1" applyFill="1" applyBorder="1" applyAlignment="1" applyProtection="1">
      <alignment horizontal="left"/>
      <protection locked="0"/>
    </xf>
    <xf numFmtId="0" fontId="9" fillId="0" borderId="139" xfId="3" applyFont="1" applyFill="1" applyBorder="1" applyAlignment="1" applyProtection="1">
      <alignment horizontal="right" vertical="center" wrapText="1"/>
      <protection locked="0"/>
    </xf>
    <xf numFmtId="0" fontId="9" fillId="0" borderId="92" xfId="3" applyFont="1" applyFill="1" applyBorder="1" applyAlignment="1" applyProtection="1">
      <alignment horizontal="right" vertical="center" wrapText="1"/>
      <protection locked="0"/>
    </xf>
    <xf numFmtId="0" fontId="9" fillId="0" borderId="107" xfId="3" applyFont="1" applyFill="1" applyBorder="1" applyAlignment="1" applyProtection="1">
      <alignment horizontal="right" vertical="center" wrapText="1"/>
      <protection locked="0"/>
    </xf>
    <xf numFmtId="0" fontId="9" fillId="0" borderId="32" xfId="3" applyFont="1" applyFill="1" applyBorder="1" applyAlignment="1" applyProtection="1">
      <alignment horizontal="left" vertical="center" wrapText="1"/>
      <protection locked="0"/>
    </xf>
    <xf numFmtId="0" fontId="9" fillId="0" borderId="0" xfId="3" applyFont="1" applyFill="1" applyBorder="1" applyAlignment="1" applyProtection="1">
      <alignment horizontal="left"/>
    </xf>
    <xf numFmtId="183" fontId="8" fillId="0" borderId="0" xfId="3" applyNumberFormat="1" applyFont="1" applyFill="1" applyProtection="1">
      <protection locked="0"/>
    </xf>
    <xf numFmtId="0" fontId="8" fillId="0" borderId="78" xfId="3" applyFont="1" applyFill="1" applyBorder="1" applyAlignment="1" applyProtection="1">
      <alignment horizontal="right"/>
      <protection locked="0"/>
    </xf>
    <xf numFmtId="183" fontId="8" fillId="0" borderId="77" xfId="3" applyNumberFormat="1" applyFont="1" applyFill="1" applyBorder="1" applyAlignment="1" applyProtection="1">
      <alignment horizontal="right"/>
      <protection locked="0"/>
    </xf>
    <xf numFmtId="183" fontId="8" fillId="0" borderId="138" xfId="3" applyNumberFormat="1" applyFont="1" applyFill="1" applyBorder="1" applyAlignment="1" applyProtection="1">
      <alignment horizontal="right"/>
      <protection locked="0"/>
    </xf>
    <xf numFmtId="183" fontId="8" fillId="0" borderId="13" xfId="3" applyNumberFormat="1" applyFont="1" applyFill="1" applyBorder="1" applyAlignment="1" applyProtection="1">
      <alignment horizontal="left"/>
      <protection locked="0"/>
    </xf>
    <xf numFmtId="0" fontId="8" fillId="0" borderId="74" xfId="3" applyFont="1" applyFill="1" applyBorder="1" applyAlignment="1" applyProtection="1">
      <alignment horizontal="right"/>
      <protection locked="0"/>
    </xf>
    <xf numFmtId="183" fontId="8" fillId="0" borderId="81" xfId="3" applyNumberFormat="1" applyFont="1" applyFill="1" applyBorder="1" applyAlignment="1" applyProtection="1">
      <alignment horizontal="right"/>
      <protection locked="0"/>
    </xf>
    <xf numFmtId="183" fontId="8" fillId="0" borderId="76" xfId="3" applyNumberFormat="1" applyFont="1" applyFill="1" applyBorder="1" applyAlignment="1" applyProtection="1">
      <alignment horizontal="right"/>
      <protection locked="0"/>
    </xf>
    <xf numFmtId="183" fontId="8" fillId="0" borderId="9" xfId="3" applyNumberFormat="1" applyFont="1" applyFill="1" applyBorder="1" applyAlignment="1" applyProtection="1">
      <alignment horizontal="left"/>
      <protection locked="0"/>
    </xf>
    <xf numFmtId="183" fontId="8" fillId="0" borderId="74" xfId="3" applyNumberFormat="1" applyFont="1" applyFill="1" applyBorder="1" applyAlignment="1" applyProtection="1">
      <alignment horizontal="right"/>
      <protection locked="0"/>
    </xf>
    <xf numFmtId="183" fontId="8" fillId="0" borderId="47" xfId="3" applyNumberFormat="1" applyFont="1" applyFill="1" applyBorder="1" applyAlignment="1" applyProtection="1">
      <alignment horizontal="left"/>
      <protection locked="0"/>
    </xf>
    <xf numFmtId="0" fontId="8" fillId="0" borderId="81" xfId="3" applyFont="1" applyFill="1" applyBorder="1" applyAlignment="1" applyProtection="1">
      <alignment horizontal="right"/>
      <protection locked="0"/>
    </xf>
    <xf numFmtId="173" fontId="8" fillId="0" borderId="0" xfId="3" applyNumberFormat="1" applyFont="1" applyFill="1" applyBorder="1" applyProtection="1">
      <protection locked="0"/>
    </xf>
    <xf numFmtId="0" fontId="9" fillId="0" borderId="139" xfId="3" applyFont="1" applyFill="1" applyBorder="1" applyAlignment="1" applyProtection="1">
      <alignment horizontal="right" vertical="top" wrapText="1"/>
      <protection locked="0"/>
    </xf>
    <xf numFmtId="0" fontId="9" fillId="0" borderId="92" xfId="3" applyFont="1" applyFill="1" applyBorder="1" applyAlignment="1" applyProtection="1">
      <alignment horizontal="right" vertical="top" wrapText="1"/>
      <protection locked="0"/>
    </xf>
    <xf numFmtId="0" fontId="9" fillId="0" borderId="107" xfId="3" applyFont="1" applyFill="1" applyBorder="1" applyAlignment="1" applyProtection="1">
      <alignment horizontal="right" vertical="top" wrapText="1"/>
      <protection locked="0"/>
    </xf>
    <xf numFmtId="173" fontId="1" fillId="0" borderId="0" xfId="3" applyNumberFormat="1" applyFont="1" applyFill="1" applyBorder="1" applyProtection="1">
      <protection locked="0"/>
    </xf>
    <xf numFmtId="0" fontId="4" fillId="0" borderId="0" xfId="3" applyFont="1" applyFill="1" applyBorder="1" applyAlignment="1" applyProtection="1">
      <alignment vertical="top"/>
      <protection locked="0"/>
    </xf>
    <xf numFmtId="173" fontId="8" fillId="0" borderId="0" xfId="14" applyNumberFormat="1" applyFont="1" applyFill="1" applyBorder="1" applyProtection="1">
      <protection locked="0"/>
    </xf>
    <xf numFmtId="173" fontId="8" fillId="0" borderId="0" xfId="14" applyNumberFormat="1" applyFont="1" applyFill="1" applyBorder="1" applyProtection="1"/>
    <xf numFmtId="165" fontId="8" fillId="0" borderId="0" xfId="3" applyNumberFormat="1" applyFont="1" applyFill="1" applyBorder="1" applyProtection="1"/>
    <xf numFmtId="173" fontId="8" fillId="0" borderId="77" xfId="14" applyNumberFormat="1" applyFont="1" applyFill="1" applyBorder="1" applyProtection="1">
      <protection locked="0"/>
    </xf>
    <xf numFmtId="173" fontId="8" fillId="0" borderId="77" xfId="14" applyNumberFormat="1" applyFont="1" applyFill="1" applyBorder="1" applyProtection="1"/>
    <xf numFmtId="165" fontId="8" fillId="0" borderId="77" xfId="3" applyNumberFormat="1" applyFont="1" applyFill="1" applyBorder="1" applyProtection="1"/>
    <xf numFmtId="165" fontId="8" fillId="0" borderId="138" xfId="3" applyNumberFormat="1" applyFont="1" applyFill="1" applyBorder="1" applyProtection="1"/>
    <xf numFmtId="165" fontId="9" fillId="0" borderId="76" xfId="3" applyNumberFormat="1" applyFont="1" applyFill="1" applyBorder="1" applyProtection="1"/>
    <xf numFmtId="0" fontId="9" fillId="0" borderId="47" xfId="3" applyFont="1" applyFill="1" applyBorder="1" applyProtection="1"/>
    <xf numFmtId="173" fontId="8" fillId="0" borderId="74" xfId="14" applyNumberFormat="1" applyFont="1" applyFill="1" applyBorder="1" applyProtection="1">
      <protection locked="0"/>
    </xf>
    <xf numFmtId="173" fontId="8" fillId="0" borderId="1" xfId="14" applyNumberFormat="1" applyFont="1" applyFill="1" applyBorder="1" applyProtection="1">
      <protection locked="0"/>
    </xf>
    <xf numFmtId="173" fontId="8" fillId="0" borderId="81" xfId="14" applyNumberFormat="1" applyFont="1" applyFill="1" applyBorder="1" applyProtection="1">
      <protection locked="0"/>
    </xf>
    <xf numFmtId="173" fontId="8" fillId="0" borderId="81" xfId="14" applyNumberFormat="1" applyFont="1" applyFill="1" applyBorder="1"/>
    <xf numFmtId="165" fontId="8" fillId="0" borderId="81" xfId="3" applyNumberFormat="1" applyFont="1" applyFill="1" applyBorder="1" applyProtection="1"/>
    <xf numFmtId="165" fontId="8" fillId="0" borderId="76" xfId="3" applyNumberFormat="1" applyFont="1" applyFill="1" applyBorder="1" applyProtection="1"/>
    <xf numFmtId="0" fontId="8" fillId="0" borderId="9" xfId="32" applyFont="1" applyFill="1" applyBorder="1"/>
    <xf numFmtId="49" fontId="9" fillId="0" borderId="139" xfId="3" applyNumberFormat="1" applyFont="1" applyFill="1" applyBorder="1" applyAlignment="1" applyProtection="1">
      <alignment horizontal="right"/>
    </xf>
    <xf numFmtId="49" fontId="9" fillId="0" borderId="85" xfId="3" applyNumberFormat="1" applyFont="1" applyFill="1" applyBorder="1" applyAlignment="1" applyProtection="1">
      <alignment horizontal="right"/>
    </xf>
    <xf numFmtId="49" fontId="9" fillId="0" borderId="92" xfId="3" applyNumberFormat="1" applyFont="1" applyFill="1" applyBorder="1" applyAlignment="1" applyProtection="1">
      <alignment horizontal="right"/>
    </xf>
    <xf numFmtId="0" fontId="9" fillId="0" borderId="92" xfId="3" applyFont="1" applyFill="1" applyBorder="1" applyAlignment="1" applyProtection="1">
      <alignment horizontal="right"/>
    </xf>
    <xf numFmtId="0" fontId="9" fillId="0" borderId="107" xfId="3" applyFont="1" applyFill="1" applyBorder="1" applyAlignment="1" applyProtection="1">
      <alignment horizontal="right"/>
    </xf>
    <xf numFmtId="0" fontId="9" fillId="0" borderId="17" xfId="3" applyFont="1" applyFill="1" applyBorder="1" applyProtection="1"/>
    <xf numFmtId="0" fontId="1" fillId="0" borderId="0" xfId="3" applyFont="1" applyFill="1" applyBorder="1" applyAlignment="1" applyProtection="1">
      <alignment vertical="top" wrapText="1"/>
    </xf>
    <xf numFmtId="0" fontId="12" fillId="0" borderId="3" xfId="3" applyFont="1" applyFill="1" applyBorder="1" applyAlignment="1">
      <alignment horizontal="left" vertical="top" wrapText="1"/>
    </xf>
    <xf numFmtId="0" fontId="12" fillId="0" borderId="2" xfId="3" applyFont="1" applyFill="1" applyBorder="1" applyAlignment="1">
      <alignment horizontal="left" vertical="top" wrapText="1"/>
    </xf>
    <xf numFmtId="0" fontId="12" fillId="0" borderId="1" xfId="3" applyFont="1" applyFill="1" applyBorder="1" applyAlignment="1">
      <alignment horizontal="left" vertical="top" wrapText="1"/>
    </xf>
    <xf numFmtId="9" fontId="9" fillId="0" borderId="19" xfId="3" applyNumberFormat="1" applyFont="1" applyFill="1" applyBorder="1"/>
    <xf numFmtId="9" fontId="9" fillId="0" borderId="18" xfId="3" applyNumberFormat="1" applyFont="1" applyFill="1" applyBorder="1"/>
    <xf numFmtId="9" fontId="8" fillId="0" borderId="16" xfId="3" applyNumberFormat="1" applyFont="1" applyFill="1" applyBorder="1"/>
    <xf numFmtId="9" fontId="8" fillId="0" borderId="15" xfId="3" applyNumberFormat="1" applyFont="1" applyFill="1" applyBorder="1"/>
    <xf numFmtId="9" fontId="8" fillId="0" borderId="12" xfId="3" applyNumberFormat="1" applyFont="1" applyFill="1" applyBorder="1"/>
    <xf numFmtId="9" fontId="8" fillId="0" borderId="11" xfId="3" applyNumberFormat="1" applyFont="1" applyFill="1" applyBorder="1"/>
    <xf numFmtId="170" fontId="8" fillId="0" borderId="12" xfId="3" applyNumberFormat="1" applyFont="1" applyFill="1" applyBorder="1"/>
    <xf numFmtId="0" fontId="9" fillId="0" borderId="8" xfId="3" applyFont="1" applyFill="1" applyBorder="1" applyAlignment="1" applyProtection="1">
      <alignment horizontal="right" vertical="center" wrapText="1"/>
      <protection locked="0"/>
    </xf>
    <xf numFmtId="0" fontId="9" fillId="0" borderId="7" xfId="3" applyFont="1" applyFill="1" applyBorder="1" applyAlignment="1" applyProtection="1">
      <alignment horizontal="right" vertical="center" wrapText="1"/>
      <protection locked="0"/>
    </xf>
    <xf numFmtId="0" fontId="10" fillId="0" borderId="0" xfId="3" applyFont="1" applyFill="1" applyBorder="1"/>
  </cellXfs>
  <cellStyles count="34">
    <cellStyle name="cells" xfId="11"/>
    <cellStyle name="cells 2" xfId="12"/>
    <cellStyle name="Comma" xfId="1" builtinId="3"/>
    <cellStyle name="Comma 2" xfId="26"/>
    <cellStyle name="Comma 2 2" xfId="14"/>
    <cellStyle name="Comma 2 2 2" xfId="33"/>
    <cellStyle name="Comma 3 2" xfId="21"/>
    <cellStyle name="Comma 5" xfId="28"/>
    <cellStyle name="Comma 7" xfId="23"/>
    <cellStyle name="Comma_Ed data request for presidency_updated MARCH 07" xfId="20"/>
    <cellStyle name="Comma_S.S.M STATS 2000 TO 2001" xfId="25"/>
    <cellStyle name="Comma0_Safety and Security indicators 2008" xfId="31"/>
    <cellStyle name="Excel Built-in Excel Built-in Excel Built-in Excel Built-in Excel Built-in Excel Built-in Excel Built-in F4 2" xfId="8"/>
    <cellStyle name="Excel Built-in Excel Built-in Excel Built-in Excel Built-in Excel Built-in Excel Built-in Normal 2" xfId="9"/>
    <cellStyle name="F4 2" xfId="3"/>
    <cellStyle name="F4 2 2" xfId="4"/>
    <cellStyle name="Hyperlink" xfId="27" builtinId="8"/>
    <cellStyle name="Normal" xfId="0" builtinId="0"/>
    <cellStyle name="Normal 2" xfId="5"/>
    <cellStyle name="Normal 2 2" xfId="15"/>
    <cellStyle name="Normal 3 2" xfId="29"/>
    <cellStyle name="Normal 3 3" xfId="30"/>
    <cellStyle name="Normal 5" xfId="18"/>
    <cellStyle name="Normal 6 2" xfId="13"/>
    <cellStyle name="Normal 8" xfId="32"/>
    <cellStyle name="Normal_Budget 199899 master table 2" xfId="6"/>
    <cellStyle name="Normal_COUNTRY" xfId="16"/>
    <cellStyle name="Normal_CPIX Components 2" xfId="7"/>
    <cellStyle name="Normal_CPIX Components 2 2" xfId="10"/>
    <cellStyle name="Normal_Mid-year 2000-2007 (30 Jan 08)" xfId="19"/>
    <cellStyle name="Percent" xfId="2" builtinId="5"/>
    <cellStyle name="Percent 2 2" xfId="17"/>
    <cellStyle name="Percent 3 2" xfId="24"/>
    <cellStyle name="Percent 5" xfId="22"/>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008000"/>
      <color rgb="FF000099"/>
      <color rgb="FFFF0000"/>
      <color rgb="FF660066"/>
      <color rgb="FF0F32A1"/>
      <color rgb="FFA90773"/>
      <color rgb="FF941C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12" Type="http://schemas.openxmlformats.org/officeDocument/2006/relationships/externalLink" Target="externalLinks/externalLink30.xml"/><Relationship Id="rId16" Type="http://schemas.openxmlformats.org/officeDocument/2006/relationships/worksheet" Target="worksheets/sheet16.xml"/><Relationship Id="rId107" Type="http://schemas.openxmlformats.org/officeDocument/2006/relationships/externalLink" Target="externalLinks/externalLink2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0.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1.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1.xml"/><Relationship Id="rId108" Type="http://schemas.openxmlformats.org/officeDocument/2006/relationships/externalLink" Target="externalLinks/externalLink26.xml"/><Relationship Id="rId124" Type="http://schemas.openxmlformats.org/officeDocument/2006/relationships/customXml" Target="../customXml/item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2.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externalLink" Target="externalLinks/externalLink22.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110" Type="http://schemas.openxmlformats.org/officeDocument/2006/relationships/externalLink" Target="externalLinks/externalLink28.xml"/><Relationship Id="rId115"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111"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externalLink" Target="externalLinks/externalLink19.xml"/><Relationship Id="rId122"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13.xml"/><Relationship Id="rId1" Type="http://schemas.microsoft.com/office/2011/relationships/chartStyle" Target="style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93185926173414E-2"/>
          <c:y val="6.2683993294612494E-2"/>
          <c:w val="0.91675495008878893"/>
          <c:h val="0.73291607031611317"/>
        </c:manualLayout>
      </c:layout>
      <c:lineChart>
        <c:grouping val="standard"/>
        <c:varyColors val="0"/>
        <c:ser>
          <c:idx val="0"/>
          <c:order val="0"/>
          <c:spPr>
            <a:ln w="25400">
              <a:solidFill>
                <a:srgbClr val="FF6600"/>
              </a:solidFill>
              <a:prstDash val="solid"/>
            </a:ln>
          </c:spPr>
          <c:marker>
            <c:symbol val="none"/>
          </c:marker>
          <c:cat>
            <c:strRef>
              <c:f>'GDP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'GDP '!$E$8:$AB$8</c:f>
              <c:numCache>
                <c:formatCode>#\ ##0.0</c:formatCode>
                <c:ptCount val="24"/>
                <c:pt idx="0" formatCode="0.0">
                  <c:v>3.2341429521176792</c:v>
                </c:pt>
                <c:pt idx="1">
                  <c:v>3.115633609815859</c:v>
                </c:pt>
                <c:pt idx="2">
                  <c:v>4.3067278682366208</c:v>
                </c:pt>
                <c:pt idx="3" formatCode="0.0">
                  <c:v>2.6468290948052697</c:v>
                </c:pt>
                <c:pt idx="4">
                  <c:v>0.51736038204737156</c:v>
                </c:pt>
                <c:pt idx="5">
                  <c:v>2.3581077543326927</c:v>
                </c:pt>
                <c:pt idx="6" formatCode="0.0">
                  <c:v>4.1545445826273237</c:v>
                </c:pt>
                <c:pt idx="7">
                  <c:v>2.7354952908615644</c:v>
                </c:pt>
                <c:pt idx="8">
                  <c:v>3.6677968768751299</c:v>
                </c:pt>
                <c:pt idx="9" formatCode="0.0">
                  <c:v>2.9490781458875119</c:v>
                </c:pt>
                <c:pt idx="10">
                  <c:v>4.5545699205685537</c:v>
                </c:pt>
                <c:pt idx="11">
                  <c:v>5.2771117349823555</c:v>
                </c:pt>
                <c:pt idx="12" formatCode="0.0">
                  <c:v>5.6036647889724094</c:v>
                </c:pt>
                <c:pt idx="13">
                  <c:v>5.3604651396161387</c:v>
                </c:pt>
                <c:pt idx="14">
                  <c:v>3.1910516450526387</c:v>
                </c:pt>
                <c:pt idx="15" formatCode="0.0">
                  <c:v>-1.5381008639149343</c:v>
                </c:pt>
                <c:pt idx="16">
                  <c:v>3.0397770627674561</c:v>
                </c:pt>
                <c:pt idx="17">
                  <c:v>3.2841650533768529</c:v>
                </c:pt>
                <c:pt idx="18" formatCode="0.0">
                  <c:v>2.2133536525899444</c:v>
                </c:pt>
                <c:pt idx="19">
                  <c:v>2.4851858349998821</c:v>
                </c:pt>
                <c:pt idx="20">
                  <c:v>1.8470084416527328</c:v>
                </c:pt>
                <c:pt idx="21" formatCode="0.0">
                  <c:v>1.2795382556099355</c:v>
                </c:pt>
                <c:pt idx="22">
                  <c:v>0.56536293911035784</c:v>
                </c:pt>
                <c:pt idx="23">
                  <c:v>1.320061169655034</c:v>
                </c:pt>
              </c:numCache>
            </c:numRef>
          </c:val>
          <c:smooth val="0"/>
          <c:extLst>
            <c:ext xmlns:c16="http://schemas.microsoft.com/office/drawing/2014/chart" uri="{C3380CC4-5D6E-409C-BE32-E72D297353CC}">
              <c16:uniqueId val="{00000000-4992-4E6A-8AE2-24907B4BC4EF}"/>
            </c:ext>
          </c:extLst>
        </c:ser>
        <c:dLbls>
          <c:showLegendKey val="0"/>
          <c:showVal val="0"/>
          <c:showCatName val="0"/>
          <c:showSerName val="0"/>
          <c:showPercent val="0"/>
          <c:showBubbleSize val="0"/>
        </c:dLbls>
        <c:smooth val="0"/>
        <c:axId val="397415248"/>
        <c:axId val="397413680"/>
      </c:lineChart>
      <c:catAx>
        <c:axId val="39741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3680"/>
        <c:crossesAt val="-8"/>
        <c:auto val="1"/>
        <c:lblAlgn val="ctr"/>
        <c:lblOffset val="100"/>
        <c:tickLblSkip val="1"/>
        <c:tickMarkSkip val="1"/>
        <c:noMultiLvlLbl val="0"/>
      </c:catAx>
      <c:valAx>
        <c:axId val="397413680"/>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52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BUDGET SURPLUS OR DEFICIT BEFORE BORROWING AS A PERCENTAGE OF GDP</a:t>
            </a:r>
          </a:p>
        </c:rich>
      </c:tx>
      <c:layout>
        <c:manualLayout>
          <c:xMode val="edge"/>
          <c:yMode val="edge"/>
          <c:x val="4.8215959358378158E-3"/>
          <c:y val="3.4161455411741079E-2"/>
        </c:manualLayout>
      </c:layout>
      <c:overlay val="0"/>
      <c:spPr>
        <a:noFill/>
        <a:ln w="25400">
          <a:noFill/>
        </a:ln>
      </c:spPr>
    </c:title>
    <c:autoTitleDeleted val="0"/>
    <c:plotArea>
      <c:layout>
        <c:manualLayout>
          <c:layoutTarget val="inner"/>
          <c:xMode val="edge"/>
          <c:yMode val="edge"/>
          <c:x val="6.3645130183220835E-2"/>
          <c:y val="0.18633568628640537"/>
          <c:w val="0.92285438765670202"/>
          <c:h val="0.68633644448825148"/>
        </c:manualLayout>
      </c:layout>
      <c:lineChart>
        <c:grouping val="standard"/>
        <c:varyColors val="0"/>
        <c:ser>
          <c:idx val="0"/>
          <c:order val="0"/>
          <c:tx>
            <c:strRef>
              <c:f>'B deficit '!$D$8</c:f>
              <c:strCache>
                <c:ptCount val="1"/>
                <c:pt idx="0">
                  <c:v>Budget Deficit</c:v>
                </c:pt>
              </c:strCache>
            </c:strRef>
          </c:tx>
          <c:spPr>
            <a:ln w="25400">
              <a:solidFill>
                <a:srgbClr val="FF6600"/>
              </a:solidFill>
              <a:prstDash val="solid"/>
            </a:ln>
          </c:spPr>
          <c:marker>
            <c:symbol val="none"/>
          </c:marker>
          <c:cat>
            <c:strRef>
              <c:f>'B deficit '!$E$7:$AB$7</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strCache>
            </c:strRef>
          </c:cat>
          <c:val>
            <c:numRef>
              <c:f>'B deficit '!$E$8:$AB$8</c:f>
              <c:numCache>
                <c:formatCode>General</c:formatCode>
                <c:ptCount val="24"/>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formatCode="0.0">
                  <c:v>-5</c:v>
                </c:pt>
                <c:pt idx="20" formatCode="#\ ##0.0">
                  <c:v>-4.4000000000000004</c:v>
                </c:pt>
                <c:pt idx="21" formatCode="#\ ##0.0">
                  <c:v>-4.3</c:v>
                </c:pt>
                <c:pt idx="22" formatCode="#\ ##0.0">
                  <c:v>-4.0999999999999996</c:v>
                </c:pt>
                <c:pt idx="23" formatCode="#\ ##0.0">
                  <c:v>-3.8</c:v>
                </c:pt>
              </c:numCache>
            </c:numRef>
          </c:val>
          <c:smooth val="0"/>
          <c:extLst>
            <c:ext xmlns:c16="http://schemas.microsoft.com/office/drawing/2014/chart" uri="{C3380CC4-5D6E-409C-BE32-E72D297353CC}">
              <c16:uniqueId val="{00000000-381D-4112-8AF3-06DF9BB87B7E}"/>
            </c:ext>
          </c:extLst>
        </c:ser>
        <c:dLbls>
          <c:showLegendKey val="0"/>
          <c:showVal val="0"/>
          <c:showCatName val="0"/>
          <c:showSerName val="0"/>
          <c:showPercent val="0"/>
          <c:showBubbleSize val="0"/>
        </c:dLbls>
        <c:smooth val="0"/>
        <c:axId val="399509248"/>
        <c:axId val="399512776"/>
      </c:lineChart>
      <c:catAx>
        <c:axId val="3995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2776"/>
        <c:crossesAt val="-10.5"/>
        <c:auto val="1"/>
        <c:lblAlgn val="ctr"/>
        <c:lblOffset val="100"/>
        <c:tickLblSkip val="1"/>
        <c:tickMarkSkip val="1"/>
        <c:noMultiLvlLbl val="0"/>
      </c:catAx>
      <c:valAx>
        <c:axId val="39951277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9248"/>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87558185354028E-2"/>
          <c:y val="2.1594126521586376E-2"/>
          <c:w val="0.9432842986253348"/>
          <c:h val="0.63302962925812623"/>
        </c:manualLayout>
      </c:layout>
      <c:lineChart>
        <c:grouping val="standard"/>
        <c:varyColors val="0"/>
        <c:ser>
          <c:idx val="0"/>
          <c:order val="0"/>
          <c:tx>
            <c:strRef>
              <c:f>'Serious robberies'!$D$59</c:f>
              <c:strCache>
                <c:ptCount val="1"/>
                <c:pt idx="0">
                  <c:v>Carjacking</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robberies'!$E$59:$R$59</c:f>
              <c:numCache>
                <c:formatCode>0.0</c:formatCode>
                <c:ptCount val="14"/>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numCache>
            </c:numRef>
          </c:val>
          <c:smooth val="0"/>
          <c:extLst>
            <c:ext xmlns:c16="http://schemas.microsoft.com/office/drawing/2014/chart" uri="{C3380CC4-5D6E-409C-BE32-E72D297353CC}">
              <c16:uniqueId val="{00000000-0642-4D1E-AA74-8DBF9C021B5E}"/>
            </c:ext>
          </c:extLst>
        </c:ser>
        <c:ser>
          <c:idx val="1"/>
          <c:order val="1"/>
          <c:tx>
            <c:strRef>
              <c:f>'Serious robberies'!$D$60</c:f>
              <c:strCache>
                <c:ptCount val="1"/>
                <c:pt idx="0">
                  <c:v>Truck jacking</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robberies'!$E$60:$R$60</c:f>
              <c:numCache>
                <c:formatCode>0.0</c:formatCode>
                <c:ptCount val="14"/>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numCache>
            </c:numRef>
          </c:val>
          <c:smooth val="0"/>
          <c:extLst>
            <c:ext xmlns:c16="http://schemas.microsoft.com/office/drawing/2014/chart" uri="{C3380CC4-5D6E-409C-BE32-E72D297353CC}">
              <c16:uniqueId val="{00000001-0642-4D1E-AA74-8DBF9C021B5E}"/>
            </c:ext>
          </c:extLst>
        </c:ser>
        <c:ser>
          <c:idx val="2"/>
          <c:order val="2"/>
          <c:tx>
            <c:strRef>
              <c:f>'Serious robberies'!$D$61</c:f>
              <c:strCache>
                <c:ptCount val="1"/>
                <c:pt idx="0">
                  <c:v>Robbery of cash in transit</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robberies'!$E$61:$R$61</c:f>
              <c:numCache>
                <c:formatCode>0.0</c:formatCode>
                <c:ptCount val="14"/>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numCache>
            </c:numRef>
          </c:val>
          <c:smooth val="0"/>
          <c:extLst>
            <c:ext xmlns:c16="http://schemas.microsoft.com/office/drawing/2014/chart" uri="{C3380CC4-5D6E-409C-BE32-E72D297353CC}">
              <c16:uniqueId val="{00000002-0642-4D1E-AA74-8DBF9C021B5E}"/>
            </c:ext>
          </c:extLst>
        </c:ser>
        <c:ser>
          <c:idx val="3"/>
          <c:order val="3"/>
          <c:tx>
            <c:strRef>
              <c:f>'Serious robberies'!$D$62</c:f>
              <c:strCache>
                <c:ptCount val="1"/>
                <c:pt idx="0">
                  <c:v>Common Robberies</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robberies'!$E$62:$R$62</c:f>
              <c:numCache>
                <c:formatCode>0.0</c:formatCode>
                <c:ptCount val="14"/>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numCache>
            </c:numRef>
          </c:val>
          <c:smooth val="0"/>
          <c:extLst>
            <c:ext xmlns:c16="http://schemas.microsoft.com/office/drawing/2014/chart" uri="{C3380CC4-5D6E-409C-BE32-E72D297353CC}">
              <c16:uniqueId val="{00000003-0642-4D1E-AA74-8DBF9C021B5E}"/>
            </c:ext>
          </c:extLst>
        </c:ser>
        <c:ser>
          <c:idx val="4"/>
          <c:order val="4"/>
          <c:tx>
            <c:strRef>
              <c:f>'Serious robberies'!$D$63</c:f>
              <c:strCache>
                <c:ptCount val="1"/>
                <c:pt idx="0">
                  <c:v>Bank robbery</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robberies'!$E$63:$R$63</c:f>
              <c:numCache>
                <c:formatCode>0.0</c:formatCode>
                <c:ptCount val="14"/>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numCache>
            </c:numRef>
          </c:val>
          <c:smooth val="0"/>
          <c:extLst>
            <c:ext xmlns:c16="http://schemas.microsoft.com/office/drawing/2014/chart" uri="{C3380CC4-5D6E-409C-BE32-E72D297353CC}">
              <c16:uniqueId val="{00000004-0642-4D1E-AA74-8DBF9C021B5E}"/>
            </c:ext>
          </c:extLst>
        </c:ser>
        <c:ser>
          <c:idx val="5"/>
          <c:order val="5"/>
          <c:tx>
            <c:strRef>
              <c:f>'Serious robberies'!$D$64</c:f>
              <c:strCache>
                <c:ptCount val="1"/>
                <c:pt idx="0">
                  <c:v>Robbery at residential premises</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robberies'!$E$64:$R$64</c:f>
              <c:numCache>
                <c:formatCode>0.0</c:formatCode>
                <c:ptCount val="14"/>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numCache>
            </c:numRef>
          </c:val>
          <c:smooth val="0"/>
          <c:extLst>
            <c:ext xmlns:c16="http://schemas.microsoft.com/office/drawing/2014/chart" uri="{C3380CC4-5D6E-409C-BE32-E72D297353CC}">
              <c16:uniqueId val="{00000005-0642-4D1E-AA74-8DBF9C021B5E}"/>
            </c:ext>
          </c:extLst>
        </c:ser>
        <c:ser>
          <c:idx val="6"/>
          <c:order val="6"/>
          <c:tx>
            <c:strRef>
              <c:f>'Serious robberies'!$D$65</c:f>
              <c:strCache>
                <c:ptCount val="1"/>
                <c:pt idx="0">
                  <c:v>Robbery at non-residential premises</c:v>
                </c:pt>
              </c:strCache>
            </c:strRef>
          </c:tx>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robberies'!$E$65:$R$65</c:f>
              <c:numCache>
                <c:formatCode>0.0</c:formatCode>
                <c:ptCount val="14"/>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numCache>
            </c:numRef>
          </c:val>
          <c:smooth val="0"/>
          <c:extLst>
            <c:ext xmlns:c16="http://schemas.microsoft.com/office/drawing/2014/chart" uri="{C3380CC4-5D6E-409C-BE32-E72D297353CC}">
              <c16:uniqueId val="{00000006-0642-4D1E-AA74-8DBF9C021B5E}"/>
            </c:ext>
          </c:extLst>
        </c:ser>
        <c:dLbls>
          <c:showLegendKey val="0"/>
          <c:showVal val="0"/>
          <c:showCatName val="0"/>
          <c:showSerName val="0"/>
          <c:showPercent val="0"/>
          <c:showBubbleSize val="0"/>
        </c:dLbls>
        <c:smooth val="0"/>
        <c:axId val="339097440"/>
        <c:axId val="339098000"/>
      </c:lineChart>
      <c:catAx>
        <c:axId val="339097440"/>
        <c:scaling>
          <c:orientation val="minMax"/>
        </c:scaling>
        <c:delete val="0"/>
        <c:axPos val="b"/>
        <c:numFmt formatCode="General" sourceLinked="0"/>
        <c:majorTickMark val="out"/>
        <c:minorTickMark val="out"/>
        <c:tickLblPos val="nextTo"/>
        <c:txPr>
          <a:bodyPr/>
          <a:lstStyle/>
          <a:p>
            <a:pPr>
              <a:defRPr sz="900"/>
            </a:pPr>
            <a:endParaRPr lang="en-US"/>
          </a:p>
        </c:txPr>
        <c:crossAx val="339098000"/>
        <c:crosses val="autoZero"/>
        <c:auto val="1"/>
        <c:lblAlgn val="ctr"/>
        <c:lblOffset val="100"/>
        <c:noMultiLvlLbl val="0"/>
      </c:catAx>
      <c:valAx>
        <c:axId val="339098000"/>
        <c:scaling>
          <c:orientation val="minMax"/>
        </c:scaling>
        <c:delete val="0"/>
        <c:axPos val="l"/>
        <c:majorGridlines/>
        <c:numFmt formatCode="0" sourceLinked="0"/>
        <c:majorTickMark val="out"/>
        <c:minorTickMark val="none"/>
        <c:tickLblPos val="nextTo"/>
        <c:crossAx val="339097440"/>
        <c:crosses val="autoZero"/>
        <c:crossBetween val="between"/>
      </c:valAx>
    </c:plotArea>
    <c:legend>
      <c:legendPos val="b"/>
      <c:layout>
        <c:manualLayout>
          <c:xMode val="edge"/>
          <c:yMode val="edge"/>
          <c:x val="2.2662914952224864E-2"/>
          <c:y val="0.79860318887304438"/>
          <c:w val="0.94533980492027569"/>
          <c:h val="0.1404749726166119"/>
        </c:manualLayout>
      </c:layout>
      <c:overlay val="0"/>
      <c:txPr>
        <a:bodyPr/>
        <a:lstStyle/>
        <a:p>
          <a:pPr>
            <a:defRPr sz="10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61990042658869E-2"/>
          <c:y val="1.8242327552193231E-2"/>
          <c:w val="0.9432842986253348"/>
          <c:h val="0.63302962925812623"/>
        </c:manualLayout>
      </c:layout>
      <c:lineChart>
        <c:grouping val="standard"/>
        <c:varyColors val="0"/>
        <c:ser>
          <c:idx val="0"/>
          <c:order val="0"/>
          <c:tx>
            <c:strRef>
              <c:f>'Serious robberies'!$D$59</c:f>
              <c:strCache>
                <c:ptCount val="1"/>
                <c:pt idx="0">
                  <c:v>Carjacking</c:v>
                </c:pt>
              </c:strCache>
            </c:strRef>
          </c:tx>
          <c:spPr>
            <a:ln w="25400">
              <a:solidFill>
                <a:srgbClr val="FF6600"/>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robberies'!$E$59:$R$59</c:f>
              <c:numCache>
                <c:formatCode>0.0</c:formatCode>
                <c:ptCount val="14"/>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numCache>
            </c:numRef>
          </c:val>
          <c:smooth val="0"/>
          <c:extLst>
            <c:ext xmlns:c16="http://schemas.microsoft.com/office/drawing/2014/chart" uri="{C3380CC4-5D6E-409C-BE32-E72D297353CC}">
              <c16:uniqueId val="{00000000-1061-43CF-9E80-715D3E95DD4C}"/>
            </c:ext>
          </c:extLst>
        </c:ser>
        <c:ser>
          <c:idx val="1"/>
          <c:order val="1"/>
          <c:tx>
            <c:strRef>
              <c:f>'Serious robberies'!$D$60</c:f>
              <c:strCache>
                <c:ptCount val="1"/>
                <c:pt idx="0">
                  <c:v>Truck jacking</c:v>
                </c:pt>
              </c:strCache>
            </c:strRef>
          </c:tx>
          <c:spPr>
            <a:ln w="25400">
              <a:solidFill>
                <a:srgbClr val="3D96AE"/>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robberies'!$E$60:$R$60</c:f>
              <c:numCache>
                <c:formatCode>0.0</c:formatCode>
                <c:ptCount val="14"/>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numCache>
            </c:numRef>
          </c:val>
          <c:smooth val="0"/>
          <c:extLst>
            <c:ext xmlns:c16="http://schemas.microsoft.com/office/drawing/2014/chart" uri="{C3380CC4-5D6E-409C-BE32-E72D297353CC}">
              <c16:uniqueId val="{00000001-1061-43CF-9E80-715D3E95DD4C}"/>
            </c:ext>
          </c:extLst>
        </c:ser>
        <c:ser>
          <c:idx val="2"/>
          <c:order val="2"/>
          <c:tx>
            <c:strRef>
              <c:f>'Serious robberies'!$D$61</c:f>
              <c:strCache>
                <c:ptCount val="1"/>
                <c:pt idx="0">
                  <c:v>Robbery of cash in transit</c:v>
                </c:pt>
              </c:strCache>
            </c:strRef>
          </c:tx>
          <c:spPr>
            <a:ln w="25400">
              <a:solidFill>
                <a:srgbClr val="BE4B48"/>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robberies'!$E$61:$R$61</c:f>
              <c:numCache>
                <c:formatCode>0.0</c:formatCode>
                <c:ptCount val="14"/>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numCache>
            </c:numRef>
          </c:val>
          <c:smooth val="0"/>
          <c:extLst>
            <c:ext xmlns:c16="http://schemas.microsoft.com/office/drawing/2014/chart" uri="{C3380CC4-5D6E-409C-BE32-E72D297353CC}">
              <c16:uniqueId val="{00000002-1061-43CF-9E80-715D3E95DD4C}"/>
            </c:ext>
          </c:extLst>
        </c:ser>
        <c:ser>
          <c:idx val="3"/>
          <c:order val="3"/>
          <c:tx>
            <c:strRef>
              <c:f>'Serious robberies'!$D$62</c:f>
              <c:strCache>
                <c:ptCount val="1"/>
                <c:pt idx="0">
                  <c:v>Common Robberies</c:v>
                </c:pt>
              </c:strCache>
            </c:strRef>
          </c:tx>
          <c:spPr>
            <a:ln w="25400">
              <a:solidFill>
                <a:srgbClr val="000AFF"/>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robberies'!$E$62:$R$62</c:f>
              <c:numCache>
                <c:formatCode>0.0</c:formatCode>
                <c:ptCount val="14"/>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numCache>
            </c:numRef>
          </c:val>
          <c:smooth val="0"/>
          <c:extLst>
            <c:ext xmlns:c16="http://schemas.microsoft.com/office/drawing/2014/chart" uri="{C3380CC4-5D6E-409C-BE32-E72D297353CC}">
              <c16:uniqueId val="{00000003-1061-43CF-9E80-715D3E95DD4C}"/>
            </c:ext>
          </c:extLst>
        </c:ser>
        <c:ser>
          <c:idx val="4"/>
          <c:order val="4"/>
          <c:tx>
            <c:strRef>
              <c:f>'Serious robberies'!$D$63</c:f>
              <c:strCache>
                <c:ptCount val="1"/>
                <c:pt idx="0">
                  <c:v>Bank robbery</c:v>
                </c:pt>
              </c:strCache>
            </c:strRef>
          </c:tx>
          <c:spPr>
            <a:ln w="25400">
              <a:solidFill>
                <a:srgbClr val="FFC000"/>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robberies'!$E$63:$R$63</c:f>
              <c:numCache>
                <c:formatCode>0.0</c:formatCode>
                <c:ptCount val="14"/>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numCache>
            </c:numRef>
          </c:val>
          <c:smooth val="0"/>
          <c:extLst>
            <c:ext xmlns:c16="http://schemas.microsoft.com/office/drawing/2014/chart" uri="{C3380CC4-5D6E-409C-BE32-E72D297353CC}">
              <c16:uniqueId val="{00000004-1061-43CF-9E80-715D3E95DD4C}"/>
            </c:ext>
          </c:extLst>
        </c:ser>
        <c:ser>
          <c:idx val="5"/>
          <c:order val="5"/>
          <c:tx>
            <c:strRef>
              <c:f>'Serious robberies'!$D$64</c:f>
              <c:strCache>
                <c:ptCount val="1"/>
                <c:pt idx="0">
                  <c:v>Robbery at residential premises</c:v>
                </c:pt>
              </c:strCache>
            </c:strRef>
          </c:tx>
          <c:spPr>
            <a:ln w="25400">
              <a:solidFill>
                <a:srgbClr val="F30DE3"/>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robberies'!$E$64:$R$64</c:f>
              <c:numCache>
                <c:formatCode>0.0</c:formatCode>
                <c:ptCount val="14"/>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numCache>
            </c:numRef>
          </c:val>
          <c:smooth val="0"/>
          <c:extLst>
            <c:ext xmlns:c16="http://schemas.microsoft.com/office/drawing/2014/chart" uri="{C3380CC4-5D6E-409C-BE32-E72D297353CC}">
              <c16:uniqueId val="{00000005-1061-43CF-9E80-715D3E95DD4C}"/>
            </c:ext>
          </c:extLst>
        </c:ser>
        <c:ser>
          <c:idx val="6"/>
          <c:order val="6"/>
          <c:tx>
            <c:strRef>
              <c:f>'Serious robberies'!$D$65</c:f>
              <c:strCache>
                <c:ptCount val="1"/>
                <c:pt idx="0">
                  <c:v>Robbery at non-residential premises</c:v>
                </c:pt>
              </c:strCache>
            </c:strRef>
          </c:tx>
          <c:spPr>
            <a:ln w="25400">
              <a:solidFill>
                <a:srgbClr val="00B050"/>
              </a:solidFill>
            </a:ln>
          </c:spPr>
          <c:marker>
            <c:symbol val="none"/>
          </c:marker>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robberies'!$E$65:$R$65</c:f>
              <c:numCache>
                <c:formatCode>0.0</c:formatCode>
                <c:ptCount val="14"/>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numCache>
            </c:numRef>
          </c:val>
          <c:smooth val="0"/>
          <c:extLst>
            <c:ext xmlns:c16="http://schemas.microsoft.com/office/drawing/2014/chart" uri="{C3380CC4-5D6E-409C-BE32-E72D297353CC}">
              <c16:uniqueId val="{00000006-1061-43CF-9E80-715D3E95DD4C}"/>
            </c:ext>
          </c:extLst>
        </c:ser>
        <c:dLbls>
          <c:showLegendKey val="0"/>
          <c:showVal val="0"/>
          <c:showCatName val="0"/>
          <c:showSerName val="0"/>
          <c:showPercent val="0"/>
          <c:showBubbleSize val="0"/>
        </c:dLbls>
        <c:smooth val="0"/>
        <c:axId val="282612064"/>
        <c:axId val="282612624"/>
      </c:lineChart>
      <c:catAx>
        <c:axId val="282612064"/>
        <c:scaling>
          <c:orientation val="minMax"/>
        </c:scaling>
        <c:delete val="0"/>
        <c:axPos val="b"/>
        <c:numFmt formatCode="General" sourceLinked="0"/>
        <c:majorTickMark val="out"/>
        <c:minorTickMark val="out"/>
        <c:tickLblPos val="nextTo"/>
        <c:crossAx val="282612624"/>
        <c:crosses val="autoZero"/>
        <c:auto val="1"/>
        <c:lblAlgn val="ctr"/>
        <c:lblOffset val="100"/>
        <c:noMultiLvlLbl val="0"/>
      </c:catAx>
      <c:valAx>
        <c:axId val="282612624"/>
        <c:scaling>
          <c:orientation val="minMax"/>
        </c:scaling>
        <c:delete val="0"/>
        <c:axPos val="l"/>
        <c:majorGridlines/>
        <c:numFmt formatCode="0.0" sourceLinked="1"/>
        <c:majorTickMark val="out"/>
        <c:minorTickMark val="none"/>
        <c:tickLblPos val="nextTo"/>
        <c:crossAx val="282612064"/>
        <c:crosses val="autoZero"/>
        <c:crossBetween val="between"/>
      </c:valAx>
    </c:plotArea>
    <c:legend>
      <c:legendPos val="b"/>
      <c:layout>
        <c:manualLayout>
          <c:xMode val="edge"/>
          <c:yMode val="edge"/>
          <c:x val="4.5955525745019259E-2"/>
          <c:y val="0.76579745000494182"/>
          <c:w val="0.91589734310409032"/>
          <c:h val="0.21328204790300795"/>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barChart>
        <c:barDir val="col"/>
        <c:grouping val="stacked"/>
        <c:varyColors val="0"/>
        <c:ser>
          <c:idx val="0"/>
          <c:order val="0"/>
          <c:tx>
            <c:strRef>
              <c:f>'Serious robberies'!$D$59</c:f>
              <c:strCache>
                <c:ptCount val="1"/>
                <c:pt idx="0">
                  <c:v>Carjacking</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robberies'!$E$59:$R$59</c:f>
              <c:numCache>
                <c:formatCode>0.0</c:formatCode>
                <c:ptCount val="14"/>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numCache>
            </c:numRef>
          </c:val>
          <c:extLst>
            <c:ext xmlns:c16="http://schemas.microsoft.com/office/drawing/2014/chart" uri="{C3380CC4-5D6E-409C-BE32-E72D297353CC}">
              <c16:uniqueId val="{00000000-4BE0-4822-B02B-1F856508AE34}"/>
            </c:ext>
          </c:extLst>
        </c:ser>
        <c:ser>
          <c:idx val="1"/>
          <c:order val="1"/>
          <c:tx>
            <c:strRef>
              <c:f>'Serious robberies'!$D$60</c:f>
              <c:strCache>
                <c:ptCount val="1"/>
                <c:pt idx="0">
                  <c:v>Truck jacking</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robberies'!$E$60:$R$60</c:f>
              <c:numCache>
                <c:formatCode>0.0</c:formatCode>
                <c:ptCount val="14"/>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numCache>
            </c:numRef>
          </c:val>
          <c:extLst>
            <c:ext xmlns:c16="http://schemas.microsoft.com/office/drawing/2014/chart" uri="{C3380CC4-5D6E-409C-BE32-E72D297353CC}">
              <c16:uniqueId val="{00000001-4BE0-4822-B02B-1F856508AE34}"/>
            </c:ext>
          </c:extLst>
        </c:ser>
        <c:ser>
          <c:idx val="2"/>
          <c:order val="2"/>
          <c:tx>
            <c:strRef>
              <c:f>'Serious robberies'!$D$61</c:f>
              <c:strCache>
                <c:ptCount val="1"/>
                <c:pt idx="0">
                  <c:v>Robbery of cash in transit</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robberies'!$E$61:$R$61</c:f>
              <c:numCache>
                <c:formatCode>0.0</c:formatCode>
                <c:ptCount val="14"/>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numCache>
            </c:numRef>
          </c:val>
          <c:extLst>
            <c:ext xmlns:c16="http://schemas.microsoft.com/office/drawing/2014/chart" uri="{C3380CC4-5D6E-409C-BE32-E72D297353CC}">
              <c16:uniqueId val="{00000002-4BE0-4822-B02B-1F856508AE34}"/>
            </c:ext>
          </c:extLst>
        </c:ser>
        <c:ser>
          <c:idx val="3"/>
          <c:order val="3"/>
          <c:tx>
            <c:strRef>
              <c:f>'Serious robberies'!$D$62</c:f>
              <c:strCache>
                <c:ptCount val="1"/>
                <c:pt idx="0">
                  <c:v>Common Robberies</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robberies'!$E$62:$R$62</c:f>
              <c:numCache>
                <c:formatCode>0.0</c:formatCode>
                <c:ptCount val="14"/>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numCache>
            </c:numRef>
          </c:val>
          <c:extLst>
            <c:ext xmlns:c16="http://schemas.microsoft.com/office/drawing/2014/chart" uri="{C3380CC4-5D6E-409C-BE32-E72D297353CC}">
              <c16:uniqueId val="{00000003-4BE0-4822-B02B-1F856508AE34}"/>
            </c:ext>
          </c:extLst>
        </c:ser>
        <c:ser>
          <c:idx val="4"/>
          <c:order val="4"/>
          <c:tx>
            <c:strRef>
              <c:f>'Serious robberies'!$D$63</c:f>
              <c:strCache>
                <c:ptCount val="1"/>
                <c:pt idx="0">
                  <c:v>Bank robbery</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robberies'!$E$63:$R$63</c:f>
              <c:numCache>
                <c:formatCode>0.0</c:formatCode>
                <c:ptCount val="14"/>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numCache>
            </c:numRef>
          </c:val>
          <c:extLst>
            <c:ext xmlns:c16="http://schemas.microsoft.com/office/drawing/2014/chart" uri="{C3380CC4-5D6E-409C-BE32-E72D297353CC}">
              <c16:uniqueId val="{00000004-4BE0-4822-B02B-1F856508AE34}"/>
            </c:ext>
          </c:extLst>
        </c:ser>
        <c:ser>
          <c:idx val="5"/>
          <c:order val="5"/>
          <c:tx>
            <c:strRef>
              <c:f>'Serious robberies'!$D$64</c:f>
              <c:strCache>
                <c:ptCount val="1"/>
                <c:pt idx="0">
                  <c:v>Robbery at residential premises</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robberies'!$E$64:$R$64</c:f>
              <c:numCache>
                <c:formatCode>0.0</c:formatCode>
                <c:ptCount val="14"/>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numCache>
            </c:numRef>
          </c:val>
          <c:extLst>
            <c:ext xmlns:c16="http://schemas.microsoft.com/office/drawing/2014/chart" uri="{C3380CC4-5D6E-409C-BE32-E72D297353CC}">
              <c16:uniqueId val="{00000005-4BE0-4822-B02B-1F856508AE34}"/>
            </c:ext>
          </c:extLst>
        </c:ser>
        <c:ser>
          <c:idx val="6"/>
          <c:order val="6"/>
          <c:tx>
            <c:strRef>
              <c:f>'Serious robberies'!$D$65</c:f>
              <c:strCache>
                <c:ptCount val="1"/>
                <c:pt idx="0">
                  <c:v>Robbery at non-residential premises</c:v>
                </c:pt>
              </c:strCache>
            </c:strRef>
          </c:tx>
          <c:invertIfNegative val="0"/>
          <c:cat>
            <c:multiLvlStrRef>
              <c:f>'Serious robberies'!$E$57:$R$58</c:f>
              <c:multiLvlStrCache>
                <c:ptCount val="14"/>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lvl>
                <c:lvl>
                  <c:pt idx="0">
                    <c:v>Selected aggravated robberies - reported cases</c:v>
                  </c:pt>
                </c:lvl>
              </c:multiLvlStrCache>
            </c:multiLvlStrRef>
          </c:cat>
          <c:val>
            <c:numRef>
              <c:f>'Serious robberies'!$E$65:$R$65</c:f>
              <c:numCache>
                <c:formatCode>0.0</c:formatCode>
                <c:ptCount val="14"/>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numCache>
            </c:numRef>
          </c:val>
          <c:extLst>
            <c:ext xmlns:c16="http://schemas.microsoft.com/office/drawing/2014/chart" uri="{C3380CC4-5D6E-409C-BE32-E72D297353CC}">
              <c16:uniqueId val="{00000006-4BE0-4822-B02B-1F856508AE34}"/>
            </c:ext>
          </c:extLst>
        </c:ser>
        <c:dLbls>
          <c:showLegendKey val="0"/>
          <c:showVal val="0"/>
          <c:showCatName val="0"/>
          <c:showSerName val="0"/>
          <c:showPercent val="0"/>
          <c:showBubbleSize val="0"/>
        </c:dLbls>
        <c:gapWidth val="150"/>
        <c:overlap val="100"/>
        <c:axId val="282618784"/>
        <c:axId val="282619344"/>
      </c:barChart>
      <c:catAx>
        <c:axId val="282618784"/>
        <c:scaling>
          <c:orientation val="minMax"/>
        </c:scaling>
        <c:delete val="0"/>
        <c:axPos val="b"/>
        <c:numFmt formatCode="General" sourceLinked="0"/>
        <c:majorTickMark val="out"/>
        <c:minorTickMark val="out"/>
        <c:tickLblPos val="nextTo"/>
        <c:txPr>
          <a:bodyPr/>
          <a:lstStyle/>
          <a:p>
            <a:pPr>
              <a:defRPr sz="1000"/>
            </a:pPr>
            <a:endParaRPr lang="en-US"/>
          </a:p>
        </c:txPr>
        <c:crossAx val="282619344"/>
        <c:crosses val="autoZero"/>
        <c:auto val="1"/>
        <c:lblAlgn val="ctr"/>
        <c:lblOffset val="100"/>
        <c:noMultiLvlLbl val="0"/>
      </c:catAx>
      <c:valAx>
        <c:axId val="282619344"/>
        <c:scaling>
          <c:orientation val="minMax"/>
        </c:scaling>
        <c:delete val="0"/>
        <c:axPos val="l"/>
        <c:majorGridlines>
          <c:spPr>
            <a:ln w="3175">
              <a:prstDash val="sysDash"/>
            </a:ln>
          </c:spPr>
        </c:majorGridlines>
        <c:numFmt formatCode="0.0" sourceLinked="1"/>
        <c:majorTickMark val="out"/>
        <c:minorTickMark val="none"/>
        <c:tickLblPos val="nextTo"/>
        <c:crossAx val="282618784"/>
        <c:crosses val="autoZero"/>
        <c:crossBetween val="between"/>
      </c:valAx>
    </c:plotArea>
    <c:legend>
      <c:legendPos val="b"/>
      <c:layout>
        <c:manualLayout>
          <c:xMode val="edge"/>
          <c:yMode val="edge"/>
          <c:x val="2.2662914952224864E-2"/>
          <c:y val="0.81500729704045616"/>
          <c:w val="0.96062325186856601"/>
          <c:h val="0.16344097882161282"/>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66"/>
          <c:y val="3.8610038610038609E-2"/>
        </c:manualLayout>
      </c:layout>
      <c:overlay val="0"/>
      <c:spPr>
        <a:noFill/>
        <a:ln w="25400">
          <a:noFill/>
        </a:ln>
      </c:spPr>
    </c:title>
    <c:autoTitleDeleted val="0"/>
    <c:plotArea>
      <c:layout/>
      <c:lineChart>
        <c:grouping val="standard"/>
        <c:varyColors val="0"/>
        <c:ser>
          <c:idx val="0"/>
          <c:order val="0"/>
          <c:tx>
            <c:strRef>
              <c:f>'[16]Contact Crime'!$A$171</c:f>
              <c:strCache>
                <c:ptCount val="1"/>
                <c:pt idx="0">
                  <c:v>Murder</c:v>
                </c:pt>
              </c:strCache>
            </c:strRef>
          </c:tx>
          <c:spPr>
            <a:ln w="25400">
              <a:solidFill>
                <a:srgbClr val="000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CFE9-4FD8-BD8F-06FC8F85FDC2}"/>
            </c:ext>
          </c:extLst>
        </c:ser>
        <c:ser>
          <c:idx val="1"/>
          <c:order val="1"/>
          <c:tx>
            <c:strRef>
              <c:f>'[16]Contact Crime'!$A$172</c:f>
              <c:strCache>
                <c:ptCount val="1"/>
                <c:pt idx="0">
                  <c:v>Attempted Murder</c:v>
                </c:pt>
              </c:strCache>
            </c:strRef>
          </c:tx>
          <c:spPr>
            <a:ln w="25400">
              <a:solidFill>
                <a:srgbClr val="FF00FF"/>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CFE9-4FD8-BD8F-06FC8F85FDC2}"/>
            </c:ext>
          </c:extLst>
        </c:ser>
        <c:ser>
          <c:idx val="2"/>
          <c:order val="2"/>
          <c:tx>
            <c:strRef>
              <c:f>'[16]Contact Crime'!$A$173</c:f>
              <c:strCache>
                <c:ptCount val="1"/>
                <c:pt idx="0">
                  <c:v>Common Assault</c:v>
                </c:pt>
              </c:strCache>
            </c:strRef>
          </c:tx>
          <c:spPr>
            <a:ln w="25400">
              <a:solidFill>
                <a:srgbClr val="FFFF0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CFE9-4FD8-BD8F-06FC8F85FDC2}"/>
            </c:ext>
          </c:extLst>
        </c:ser>
        <c:ser>
          <c:idx val="3"/>
          <c:order val="3"/>
          <c:tx>
            <c:strRef>
              <c:f>'[16]Contact Crime'!$A$174</c:f>
              <c:strCache>
                <c:ptCount val="1"/>
                <c:pt idx="0">
                  <c:v>Assault GBH</c:v>
                </c:pt>
              </c:strCache>
            </c:strRef>
          </c:tx>
          <c:spPr>
            <a:ln w="25400">
              <a:solidFill>
                <a:srgbClr val="00FFFF"/>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CFE9-4FD8-BD8F-06FC8F85FDC2}"/>
            </c:ext>
          </c:extLst>
        </c:ser>
        <c:ser>
          <c:idx val="4"/>
          <c:order val="4"/>
          <c:tx>
            <c:strRef>
              <c:f>'[16]Contact Crime'!$A$175</c:f>
              <c:strCache>
                <c:ptCount val="1"/>
                <c:pt idx="0">
                  <c:v>Rape</c:v>
                </c:pt>
              </c:strCache>
            </c:strRef>
          </c:tx>
          <c:spPr>
            <a:ln w="25400">
              <a:solidFill>
                <a:srgbClr val="800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CFE9-4FD8-BD8F-06FC8F85FDC2}"/>
            </c:ext>
          </c:extLst>
        </c:ser>
        <c:ser>
          <c:idx val="5"/>
          <c:order val="5"/>
          <c:tx>
            <c:strRef>
              <c:f>'[16]Contact Crime'!$A$176</c:f>
              <c:strCache>
                <c:ptCount val="1"/>
                <c:pt idx="0">
                  <c:v>Aggravated Robbery</c:v>
                </c:pt>
              </c:strCache>
            </c:strRef>
          </c:tx>
          <c:spPr>
            <a:ln w="25400">
              <a:solidFill>
                <a:srgbClr val="80000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CFE9-4FD8-BD8F-06FC8F85FDC2}"/>
            </c:ext>
          </c:extLst>
        </c:ser>
        <c:ser>
          <c:idx val="6"/>
          <c:order val="6"/>
          <c:tx>
            <c:strRef>
              <c:f>'[16]Contact Crime'!$A$177</c:f>
              <c:strCache>
                <c:ptCount val="1"/>
                <c:pt idx="0">
                  <c:v>Common Robbery</c:v>
                </c:pt>
              </c:strCache>
            </c:strRef>
          </c:tx>
          <c:spPr>
            <a:ln w="25400">
              <a:solidFill>
                <a:srgbClr val="008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CFE9-4FD8-BD8F-06FC8F85FDC2}"/>
            </c:ext>
          </c:extLst>
        </c:ser>
        <c:dLbls>
          <c:showLegendKey val="0"/>
          <c:showVal val="0"/>
          <c:showCatName val="0"/>
          <c:showSerName val="0"/>
          <c:showPercent val="0"/>
          <c:showBubbleSize val="0"/>
        </c:dLbls>
        <c:smooth val="0"/>
        <c:axId val="338463360"/>
        <c:axId val="338463920"/>
      </c:lineChart>
      <c:catAx>
        <c:axId val="338463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63920"/>
        <c:crosses val="autoZero"/>
        <c:auto val="1"/>
        <c:lblAlgn val="ctr"/>
        <c:lblOffset val="100"/>
        <c:tickLblSkip val="1"/>
        <c:tickMarkSkip val="1"/>
        <c:noMultiLvlLbl val="0"/>
      </c:catAx>
      <c:valAx>
        <c:axId val="33846392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6336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paperSize="9" orientation="landscape" horizontalDpi="-4"/>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'Drug-Related Crime'!$B$53</c:f>
              <c:strCache>
                <c:ptCount val="1"/>
                <c:pt idx="0">
                  <c:v>Reported cases</c:v>
                </c:pt>
              </c:strCache>
            </c:strRef>
          </c:tx>
          <c:spPr>
            <a:solidFill>
              <a:schemeClr val="accent1"/>
            </a:solidFill>
            <a:ln>
              <a:noFill/>
            </a:ln>
            <a:effectLst/>
          </c:spPr>
          <c:invertIfNegative val="0"/>
          <c:cat>
            <c:strRef>
              <c:f>'Drug-Related Crime'!$C$52:$N$52</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'Drug-Related Crime'!$C$53:$N$53</c:f>
              <c:numCache>
                <c:formatCode>_ * #\ ##0_ ;_ * \-#\ ##0_ ;_ * "-"??_ ;_ @_ </c:formatCode>
                <c:ptCount val="12"/>
                <c:pt idx="0">
                  <c:v>104689</c:v>
                </c:pt>
                <c:pt idx="1">
                  <c:v>109134</c:v>
                </c:pt>
                <c:pt idx="2">
                  <c:v>117172</c:v>
                </c:pt>
                <c:pt idx="3">
                  <c:v>134480</c:v>
                </c:pt>
                <c:pt idx="4">
                  <c:v>150673</c:v>
                </c:pt>
                <c:pt idx="5">
                  <c:v>176307</c:v>
                </c:pt>
                <c:pt idx="6">
                  <c:v>206825</c:v>
                </c:pt>
                <c:pt idx="7">
                  <c:v>260732</c:v>
                </c:pt>
                <c:pt idx="8">
                  <c:v>266902</c:v>
                </c:pt>
                <c:pt idx="9">
                  <c:v>259165</c:v>
                </c:pt>
                <c:pt idx="10">
                  <c:v>292689</c:v>
                </c:pt>
                <c:pt idx="11">
                  <c:v>323547</c:v>
                </c:pt>
              </c:numCache>
            </c:numRef>
          </c:val>
          <c:extLst>
            <c:ext xmlns:c16="http://schemas.microsoft.com/office/drawing/2014/chart" uri="{C3380CC4-5D6E-409C-BE32-E72D297353CC}">
              <c16:uniqueId val="{00000000-D358-4C27-99F9-F7A53F4B52E6}"/>
            </c:ext>
          </c:extLst>
        </c:ser>
        <c:dLbls>
          <c:showLegendKey val="0"/>
          <c:showVal val="0"/>
          <c:showCatName val="0"/>
          <c:showSerName val="0"/>
          <c:showPercent val="0"/>
          <c:showBubbleSize val="0"/>
        </c:dLbls>
        <c:gapWidth val="219"/>
        <c:axId val="338467280"/>
        <c:axId val="338467840"/>
      </c:barChart>
      <c:lineChart>
        <c:grouping val="standard"/>
        <c:varyColors val="0"/>
        <c:ser>
          <c:idx val="1"/>
          <c:order val="1"/>
          <c:tx>
            <c:strRef>
              <c:f>'Drug-Related Crime'!$B$54</c:f>
              <c:strCache>
                <c:ptCount val="1"/>
                <c:pt idx="0">
                  <c:v>Drug-related crime reported per 100 000 population</c:v>
                </c:pt>
              </c:strCache>
            </c:strRef>
          </c:tx>
          <c:spPr>
            <a:ln w="28575" cap="rnd">
              <a:solidFill>
                <a:schemeClr val="accent2"/>
              </a:solidFill>
              <a:round/>
            </a:ln>
            <a:effectLst/>
          </c:spPr>
          <c:marker>
            <c:symbol val="none"/>
          </c:marker>
          <c:cat>
            <c:strRef>
              <c:f>'Drug-Related Crime'!$C$52:$N$52</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'Drug-Related Crime'!$C$54:$N$54</c:f>
              <c:numCache>
                <c:formatCode>General</c:formatCode>
                <c:ptCount val="12"/>
                <c:pt idx="0">
                  <c:v>220.9</c:v>
                </c:pt>
                <c:pt idx="1">
                  <c:v>228.1</c:v>
                </c:pt>
                <c:pt idx="2">
                  <c:v>240.7</c:v>
                </c:pt>
                <c:pt idx="3">
                  <c:v>273.39999999999998</c:v>
                </c:pt>
                <c:pt idx="4">
                  <c:v>301.39999999999998</c:v>
                </c:pt>
                <c:pt idx="5">
                  <c:v>348.5</c:v>
                </c:pt>
                <c:pt idx="6">
                  <c:v>395.6</c:v>
                </c:pt>
                <c:pt idx="7">
                  <c:v>492.2</c:v>
                </c:pt>
                <c:pt idx="8">
                  <c:v>494.2</c:v>
                </c:pt>
                <c:pt idx="9">
                  <c:v>471.6</c:v>
                </c:pt>
                <c:pt idx="10">
                  <c:v>523.5</c:v>
                </c:pt>
                <c:pt idx="11">
                  <c:v>570.09345020424973</c:v>
                </c:pt>
              </c:numCache>
            </c:numRef>
          </c:val>
          <c:smooth val="0"/>
          <c:extLst>
            <c:ext xmlns:c16="http://schemas.microsoft.com/office/drawing/2014/chart" uri="{C3380CC4-5D6E-409C-BE32-E72D297353CC}">
              <c16:uniqueId val="{00000001-D358-4C27-99F9-F7A53F4B52E6}"/>
            </c:ext>
          </c:extLst>
        </c:ser>
        <c:dLbls>
          <c:showLegendKey val="0"/>
          <c:showVal val="0"/>
          <c:showCatName val="0"/>
          <c:showSerName val="0"/>
          <c:showPercent val="0"/>
          <c:showBubbleSize val="0"/>
        </c:dLbls>
        <c:marker val="1"/>
        <c:smooth val="0"/>
        <c:axId val="338468960"/>
        <c:axId val="338468400"/>
      </c:lineChart>
      <c:catAx>
        <c:axId val="3384672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7840"/>
        <c:crosses val="autoZero"/>
        <c:auto val="1"/>
        <c:lblAlgn val="ctr"/>
        <c:lblOffset val="100"/>
        <c:noMultiLvlLbl val="0"/>
      </c:catAx>
      <c:valAx>
        <c:axId val="338467840"/>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7280"/>
        <c:crosses val="autoZero"/>
        <c:crossBetween val="between"/>
        <c:dispUnits>
          <c:builtInUnit val="thousands"/>
          <c:dispUnitsLbl>
            <c:layout>
              <c:manualLayout>
                <c:xMode val="edge"/>
                <c:yMode val="edge"/>
                <c:x val="2.2756657055223419E-2"/>
                <c:y val="0.31071779744346117"/>
              </c:manualLayout>
            </c:layout>
            <c:tx>
              <c:rich>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r>
                    <a:rPr lang="en-ZA">
                      <a:solidFill>
                        <a:schemeClr val="tx1"/>
                      </a:solidFill>
                    </a:rPr>
                    <a:t>Reported cases (thousands)</a:t>
                  </a:r>
                </a:p>
                <a:p>
                  <a:pPr algn="ctr" rtl="0">
                    <a:defRPr>
                      <a:solidFill>
                        <a:schemeClr val="tx1"/>
                      </a:solidFill>
                    </a:defRPr>
                  </a:pPr>
                  <a:endParaRPr lang="en-ZA">
                    <a:solidFill>
                      <a:schemeClr val="tx1"/>
                    </a:solidFill>
                  </a:endParaRPr>
                </a:p>
              </c:rich>
            </c:tx>
            <c:spPr>
              <a:noFill/>
              <a:ln>
                <a:noFill/>
              </a:ln>
              <a:effectLst/>
            </c:spPr>
            <c:txPr>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endParaRPr lang="en-US"/>
              </a:p>
            </c:txPr>
          </c:dispUnitsLbl>
        </c:dispUnits>
      </c:valAx>
      <c:valAx>
        <c:axId val="338468400"/>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r>
                  <a:rPr lang="en-ZA" sz="900">
                    <a:solidFill>
                      <a:schemeClr val="tx1"/>
                    </a:solidFill>
                  </a:rPr>
                  <a:t>Number per 100 000 of population</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Narrow" panose="020B0606020202030204" pitchFamily="34" charset="0"/>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38468960"/>
        <c:crosses val="max"/>
        <c:crossBetween val="between"/>
      </c:valAx>
      <c:catAx>
        <c:axId val="338468960"/>
        <c:scaling>
          <c:orientation val="minMax"/>
        </c:scaling>
        <c:delete val="1"/>
        <c:axPos val="b"/>
        <c:numFmt formatCode="General" sourceLinked="1"/>
        <c:majorTickMark val="out"/>
        <c:minorTickMark val="none"/>
        <c:tickLblPos val="nextTo"/>
        <c:crossAx val="33846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78"/>
          <c:y val="3.8610038610038609E-2"/>
        </c:manualLayout>
      </c:layout>
      <c:overlay val="0"/>
      <c:spPr>
        <a:noFill/>
        <a:ln w="25400">
          <a:noFill/>
        </a:ln>
      </c:spPr>
    </c:title>
    <c:autoTitleDeleted val="0"/>
    <c:plotArea>
      <c:layout/>
      <c:lineChart>
        <c:grouping val="standard"/>
        <c:varyColors val="0"/>
        <c:ser>
          <c:idx val="0"/>
          <c:order val="0"/>
          <c:tx>
            <c:strRef>
              <c:f>'[16]Contact Crime'!$A$171</c:f>
              <c:strCache>
                <c:ptCount val="1"/>
                <c:pt idx="0">
                  <c:v>Murder</c:v>
                </c:pt>
              </c:strCache>
            </c:strRef>
          </c:tx>
          <c:spPr>
            <a:ln w="25400">
              <a:solidFill>
                <a:srgbClr val="000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D8A6-4E18-A511-ABC0678F4957}"/>
            </c:ext>
          </c:extLst>
        </c:ser>
        <c:ser>
          <c:idx val="1"/>
          <c:order val="1"/>
          <c:tx>
            <c:strRef>
              <c:f>'[16]Contact Crime'!$A$172</c:f>
              <c:strCache>
                <c:ptCount val="1"/>
                <c:pt idx="0">
                  <c:v>Attempted Murder</c:v>
                </c:pt>
              </c:strCache>
            </c:strRef>
          </c:tx>
          <c:spPr>
            <a:ln w="25400">
              <a:solidFill>
                <a:srgbClr val="FF00FF"/>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D8A6-4E18-A511-ABC0678F4957}"/>
            </c:ext>
          </c:extLst>
        </c:ser>
        <c:ser>
          <c:idx val="2"/>
          <c:order val="2"/>
          <c:tx>
            <c:strRef>
              <c:f>'[16]Contact Crime'!$A$173</c:f>
              <c:strCache>
                <c:ptCount val="1"/>
                <c:pt idx="0">
                  <c:v>Common Assault</c:v>
                </c:pt>
              </c:strCache>
            </c:strRef>
          </c:tx>
          <c:spPr>
            <a:ln w="25400">
              <a:solidFill>
                <a:srgbClr val="FFFF0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D8A6-4E18-A511-ABC0678F4957}"/>
            </c:ext>
          </c:extLst>
        </c:ser>
        <c:ser>
          <c:idx val="3"/>
          <c:order val="3"/>
          <c:tx>
            <c:strRef>
              <c:f>'[16]Contact Crime'!$A$174</c:f>
              <c:strCache>
                <c:ptCount val="1"/>
                <c:pt idx="0">
                  <c:v>Assault GBH</c:v>
                </c:pt>
              </c:strCache>
            </c:strRef>
          </c:tx>
          <c:spPr>
            <a:ln w="25400">
              <a:solidFill>
                <a:srgbClr val="00FFFF"/>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D8A6-4E18-A511-ABC0678F4957}"/>
            </c:ext>
          </c:extLst>
        </c:ser>
        <c:ser>
          <c:idx val="4"/>
          <c:order val="4"/>
          <c:tx>
            <c:strRef>
              <c:f>'[16]Contact Crime'!$A$175</c:f>
              <c:strCache>
                <c:ptCount val="1"/>
                <c:pt idx="0">
                  <c:v>Rape</c:v>
                </c:pt>
              </c:strCache>
            </c:strRef>
          </c:tx>
          <c:spPr>
            <a:ln w="25400">
              <a:solidFill>
                <a:srgbClr val="800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D8A6-4E18-A511-ABC0678F4957}"/>
            </c:ext>
          </c:extLst>
        </c:ser>
        <c:ser>
          <c:idx val="5"/>
          <c:order val="5"/>
          <c:tx>
            <c:strRef>
              <c:f>'[16]Contact Crime'!$A$176</c:f>
              <c:strCache>
                <c:ptCount val="1"/>
                <c:pt idx="0">
                  <c:v>Aggravated Robbery</c:v>
                </c:pt>
              </c:strCache>
            </c:strRef>
          </c:tx>
          <c:spPr>
            <a:ln w="25400">
              <a:solidFill>
                <a:srgbClr val="80000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D8A6-4E18-A511-ABC0678F4957}"/>
            </c:ext>
          </c:extLst>
        </c:ser>
        <c:ser>
          <c:idx val="6"/>
          <c:order val="6"/>
          <c:tx>
            <c:strRef>
              <c:f>'[16]Contact Crime'!$A$177</c:f>
              <c:strCache>
                <c:ptCount val="1"/>
                <c:pt idx="0">
                  <c:v>Common Robbery</c:v>
                </c:pt>
              </c:strCache>
            </c:strRef>
          </c:tx>
          <c:spPr>
            <a:ln w="25400">
              <a:solidFill>
                <a:srgbClr val="008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D8A6-4E18-A511-ABC0678F4957}"/>
            </c:ext>
          </c:extLst>
        </c:ser>
        <c:dLbls>
          <c:showLegendKey val="0"/>
          <c:showVal val="0"/>
          <c:showCatName val="0"/>
          <c:showSerName val="0"/>
          <c:showPercent val="0"/>
          <c:showBubbleSize val="0"/>
        </c:dLbls>
        <c:smooth val="0"/>
        <c:axId val="338475120"/>
        <c:axId val="338475680"/>
      </c:lineChart>
      <c:catAx>
        <c:axId val="33847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75680"/>
        <c:crosses val="autoZero"/>
        <c:auto val="1"/>
        <c:lblAlgn val="ctr"/>
        <c:lblOffset val="100"/>
        <c:tickLblSkip val="1"/>
        <c:tickMarkSkip val="1"/>
        <c:noMultiLvlLbl val="0"/>
      </c:catAx>
      <c:valAx>
        <c:axId val="33847568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847512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4"/>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'Sexual offences'!$B$53</c:f>
              <c:strCache>
                <c:ptCount val="1"/>
                <c:pt idx="0">
                  <c:v>Reported cases</c:v>
                </c:pt>
              </c:strCache>
            </c:strRef>
          </c:tx>
          <c:spPr>
            <a:solidFill>
              <a:schemeClr val="accent1"/>
            </a:solidFill>
            <a:ln>
              <a:noFill/>
            </a:ln>
            <a:effectLst/>
          </c:spPr>
          <c:invertIfNegative val="0"/>
          <c:cat>
            <c:strRef>
              <c:f>'Sexual offences'!$C$52:$N$52</c:f>
              <c:strCache>
                <c:ptCount val="12"/>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strCache>
            </c:strRef>
          </c:cat>
          <c:val>
            <c:numRef>
              <c:f>'Sexual offences'!$C$53:$N$53</c:f>
              <c:numCache>
                <c:formatCode>_ * #\ ##0_ ;_ * \-#\ ##0_ ;_ * "-"??_ ;_ @_ </c:formatCode>
                <c:ptCount val="12"/>
                <c:pt idx="0">
                  <c:v>65201</c:v>
                </c:pt>
                <c:pt idx="1">
                  <c:v>63818</c:v>
                </c:pt>
                <c:pt idx="2">
                  <c:v>70514</c:v>
                </c:pt>
                <c:pt idx="3">
                  <c:v>68332</c:v>
                </c:pt>
                <c:pt idx="4">
                  <c:v>66196</c:v>
                </c:pt>
                <c:pt idx="5">
                  <c:v>64514</c:v>
                </c:pt>
                <c:pt idx="6">
                  <c:v>66387</c:v>
                </c:pt>
                <c:pt idx="7">
                  <c:v>62649</c:v>
                </c:pt>
                <c:pt idx="8">
                  <c:v>53617</c:v>
                </c:pt>
                <c:pt idx="9">
                  <c:v>51895</c:v>
                </c:pt>
                <c:pt idx="10">
                  <c:v>49660</c:v>
                </c:pt>
                <c:pt idx="11">
                  <c:v>50108</c:v>
                </c:pt>
              </c:numCache>
            </c:numRef>
          </c:val>
          <c:extLst>
            <c:ext xmlns:c16="http://schemas.microsoft.com/office/drawing/2014/chart" uri="{C3380CC4-5D6E-409C-BE32-E72D297353CC}">
              <c16:uniqueId val="{00000000-B142-470E-9F39-4F8507316105}"/>
            </c:ext>
          </c:extLst>
        </c:ser>
        <c:dLbls>
          <c:showLegendKey val="0"/>
          <c:showVal val="0"/>
          <c:showCatName val="0"/>
          <c:showSerName val="0"/>
          <c:showPercent val="0"/>
          <c:showBubbleSize val="0"/>
        </c:dLbls>
        <c:gapWidth val="219"/>
        <c:axId val="280363504"/>
        <c:axId val="280364064"/>
      </c:barChart>
      <c:lineChart>
        <c:grouping val="standard"/>
        <c:varyColors val="0"/>
        <c:ser>
          <c:idx val="1"/>
          <c:order val="1"/>
          <c:tx>
            <c:strRef>
              <c:f>'Sexual offences'!$B$54</c:f>
              <c:strCache>
                <c:ptCount val="1"/>
                <c:pt idx="0">
                  <c:v>Sexual offences reported per 100 000 population</c:v>
                </c:pt>
              </c:strCache>
            </c:strRef>
          </c:tx>
          <c:spPr>
            <a:ln w="28575" cap="rnd">
              <a:solidFill>
                <a:schemeClr val="accent2"/>
              </a:solidFill>
              <a:round/>
            </a:ln>
            <a:effectLst/>
          </c:spPr>
          <c:marker>
            <c:symbol val="none"/>
          </c:marker>
          <c:cat>
            <c:strRef>
              <c:f>'Sexual offences'!$C$52:$M$52</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'Sexual offences'!$C$54:$N$54</c:f>
              <c:numCache>
                <c:formatCode>0.0</c:formatCode>
                <c:ptCount val="12"/>
                <c:pt idx="0">
                  <c:v>134.82571521464288</c:v>
                </c:pt>
                <c:pt idx="1">
                  <c:v>130.26683024641071</c:v>
                </c:pt>
                <c:pt idx="2">
                  <c:v>142.03350564921692</c:v>
                </c:pt>
                <c:pt idx="3">
                  <c:v>135.77990292035815</c:v>
                </c:pt>
                <c:pt idx="4">
                  <c:v>129.72048694851287</c:v>
                </c:pt>
                <c:pt idx="5">
                  <c:v>124.64173839102422</c:v>
                </c:pt>
                <c:pt idx="6">
                  <c:v>126.40841556659892</c:v>
                </c:pt>
                <c:pt idx="7">
                  <c:v>117.53037073875666</c:v>
                </c:pt>
                <c:pt idx="8">
                  <c:v>99.070023437985171</c:v>
                </c:pt>
                <c:pt idx="9">
                  <c:v>94.414143546077824</c:v>
                </c:pt>
                <c:pt idx="10" formatCode="General">
                  <c:v>88.8</c:v>
                </c:pt>
                <c:pt idx="11">
                  <c:v>88.29085914205524</c:v>
                </c:pt>
              </c:numCache>
            </c:numRef>
          </c:val>
          <c:smooth val="0"/>
          <c:extLst>
            <c:ext xmlns:c16="http://schemas.microsoft.com/office/drawing/2014/chart" uri="{C3380CC4-5D6E-409C-BE32-E72D297353CC}">
              <c16:uniqueId val="{00000001-B142-470E-9F39-4F8507316105}"/>
            </c:ext>
          </c:extLst>
        </c:ser>
        <c:dLbls>
          <c:showLegendKey val="0"/>
          <c:showVal val="0"/>
          <c:showCatName val="0"/>
          <c:showSerName val="0"/>
          <c:showPercent val="0"/>
          <c:showBubbleSize val="0"/>
        </c:dLbls>
        <c:marker val="1"/>
        <c:smooth val="0"/>
        <c:axId val="280365184"/>
        <c:axId val="280364624"/>
      </c:lineChart>
      <c:catAx>
        <c:axId val="2803635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80364064"/>
        <c:crosses val="autoZero"/>
        <c:auto val="1"/>
        <c:lblAlgn val="ctr"/>
        <c:lblOffset val="100"/>
        <c:noMultiLvlLbl val="0"/>
      </c:catAx>
      <c:valAx>
        <c:axId val="280364064"/>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280363504"/>
        <c:crosses val="autoZero"/>
        <c:crossBetween val="between"/>
        <c:dispUnits>
          <c:builtInUnit val="thousands"/>
          <c:dispUnitsLbl>
            <c:layout>
              <c:manualLayout>
                <c:xMode val="edge"/>
                <c:yMode val="edge"/>
                <c:x val="2.307579491494861E-2"/>
                <c:y val="0.16606425702811245"/>
              </c:manualLayout>
            </c:layout>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1000" b="0" i="0" u="none" strike="noStrike" baseline="0">
                      <a:effectLst/>
                    </a:rPr>
                    <a:t>Reported cases (thousands)</a:t>
                  </a:r>
                  <a:endParaRPr lang="en-ZA">
                    <a:solidFill>
                      <a:schemeClr val="tx1"/>
                    </a:solidFill>
                  </a:endParaRPr>
                </a:p>
              </c:rich>
            </c:tx>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ispUnitsLbl>
        </c:dispUnits>
      </c:valAx>
      <c:valAx>
        <c:axId val="2803646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800" b="0" i="0" baseline="0">
                    <a:solidFill>
                      <a:schemeClr val="tx1"/>
                    </a:solidFill>
                    <a:effectLst/>
                    <a:latin typeface="Arial Narrow" panose="020B0606020202030204" pitchFamily="34" charset="0"/>
                  </a:rPr>
                  <a:t>Number per 100 000 of population</a:t>
                </a:r>
                <a:endParaRPr lang="en-ZA" sz="800">
                  <a:solidFill>
                    <a:schemeClr val="tx1"/>
                  </a:solidFill>
                  <a:effectLst/>
                  <a:latin typeface="Arial Narrow" panose="020B060602020203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80365184"/>
        <c:crosses val="max"/>
        <c:crossBetween val="between"/>
      </c:valAx>
      <c:catAx>
        <c:axId val="280365184"/>
        <c:scaling>
          <c:orientation val="minMax"/>
        </c:scaling>
        <c:delete val="1"/>
        <c:axPos val="b"/>
        <c:numFmt formatCode="General" sourceLinked="1"/>
        <c:majorTickMark val="out"/>
        <c:minorTickMark val="none"/>
        <c:tickLblPos val="nextTo"/>
        <c:crossAx val="28036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09213303000918E-2"/>
          <c:y val="5.8217319591153047E-2"/>
          <c:w val="0.81338121398778374"/>
          <c:h val="0.60503093849020173"/>
        </c:manualLayout>
      </c:layout>
      <c:barChart>
        <c:barDir val="col"/>
        <c:grouping val="clustered"/>
        <c:varyColors val="0"/>
        <c:ser>
          <c:idx val="1"/>
          <c:order val="0"/>
          <c:tx>
            <c:strRef>
              <c:f>Detainees!$D$9</c:f>
              <c:strCache>
                <c:ptCount val="1"/>
                <c:pt idx="0">
                  <c:v>Sentenced offenders</c:v>
                </c:pt>
              </c:strCache>
            </c:strRef>
          </c:tx>
          <c:spPr>
            <a:solidFill>
              <a:srgbClr val="FCD5B5"/>
            </a:solidFill>
            <a:ln w="12700">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pt idx="22">
                  <c:v>117755</c:v>
                </c:pt>
                <c:pt idx="23">
                  <c:v>117878</c:v>
                </c:pt>
              </c:numCache>
            </c:numRef>
          </c:val>
          <c:extLst>
            <c:ext xmlns:c16="http://schemas.microsoft.com/office/drawing/2014/chart" uri="{C3380CC4-5D6E-409C-BE32-E72D297353CC}">
              <c16:uniqueId val="{00000000-A700-49DC-BBBE-AAE748820F92}"/>
            </c:ext>
          </c:extLst>
        </c:ser>
        <c:ser>
          <c:idx val="0"/>
          <c:order val="1"/>
          <c:tx>
            <c:strRef>
              <c:f>Detainees!$D$10</c:f>
              <c:strCache>
                <c:ptCount val="1"/>
                <c:pt idx="0">
                  <c:v>Remand detainees</c:v>
                </c:pt>
              </c:strCache>
            </c:strRef>
          </c:tx>
          <c:spPr>
            <a:solidFill>
              <a:srgbClr val="F8A662"/>
            </a:solidFill>
            <a:ln w="28575">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pt idx="22">
                  <c:v>42525</c:v>
                </c:pt>
                <c:pt idx="23">
                  <c:v>42705</c:v>
                </c:pt>
              </c:numCache>
            </c:numRef>
          </c:val>
          <c:extLst>
            <c:ext xmlns:c16="http://schemas.microsoft.com/office/drawing/2014/chart" uri="{C3380CC4-5D6E-409C-BE32-E72D297353CC}">
              <c16:uniqueId val="{00000001-A700-49DC-BBBE-AAE748820F92}"/>
            </c:ext>
          </c:extLst>
        </c:ser>
        <c:dLbls>
          <c:showLegendKey val="0"/>
          <c:showVal val="0"/>
          <c:showCatName val="0"/>
          <c:showSerName val="0"/>
          <c:showPercent val="0"/>
          <c:showBubbleSize val="0"/>
        </c:dLbls>
        <c:gapWidth val="150"/>
        <c:axId val="110497152"/>
        <c:axId val="110507136"/>
      </c:barChart>
      <c:lineChart>
        <c:grouping val="standard"/>
        <c:varyColors val="0"/>
        <c:ser>
          <c:idx val="4"/>
          <c:order val="4"/>
          <c:tx>
            <c:strRef>
              <c:f>Detainees!$D$29</c:f>
              <c:strCache>
                <c:ptCount val="1"/>
                <c:pt idx="0">
                  <c:v>More than  20 Years </c:v>
                </c:pt>
              </c:strCache>
            </c:strRef>
          </c:tx>
          <c:spPr>
            <a:ln>
              <a:solidFill>
                <a:srgbClr val="FF660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Detainees!$E$29:$AB$29</c:f>
              <c:numCache>
                <c:formatCode>###\ ###\ ###</c:formatCode>
                <c:ptCount val="24"/>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pt idx="22">
                  <c:v>11097</c:v>
                </c:pt>
                <c:pt idx="23">
                  <c:v>11433</c:v>
                </c:pt>
              </c:numCache>
            </c:numRef>
          </c:val>
          <c:smooth val="0"/>
          <c:extLst>
            <c:ext xmlns:c16="http://schemas.microsoft.com/office/drawing/2014/chart" uri="{C3380CC4-5D6E-409C-BE32-E72D297353CC}">
              <c16:uniqueId val="{00000002-A700-49DC-BBBE-AAE748820F92}"/>
            </c:ext>
          </c:extLst>
        </c:ser>
        <c:dLbls>
          <c:showLegendKey val="0"/>
          <c:showVal val="0"/>
          <c:showCatName val="0"/>
          <c:showSerName val="0"/>
          <c:showPercent val="0"/>
          <c:showBubbleSize val="0"/>
        </c:dLbls>
        <c:marker val="1"/>
        <c:smooth val="0"/>
        <c:axId val="110497152"/>
        <c:axId val="110507136"/>
      </c:lineChart>
      <c:lineChart>
        <c:grouping val="standard"/>
        <c:varyColors val="0"/>
        <c:ser>
          <c:idx val="2"/>
          <c:order val="2"/>
          <c:tx>
            <c:strRef>
              <c:f>Detainees!$D$27</c:f>
              <c:strCache>
                <c:ptCount val="1"/>
                <c:pt idx="0">
                  <c:v>Between  10 and 15 Years </c:v>
                </c:pt>
              </c:strCache>
            </c:strRef>
          </c:tx>
          <c:spPr>
            <a:ln>
              <a:solidFill>
                <a:srgbClr val="BE4B48"/>
              </a:solidFill>
            </a:ln>
          </c:spPr>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Detainees!$E$27:$AB$27</c:f>
              <c:numCache>
                <c:formatCode>###\ ###\ ###</c:formatCode>
                <c:ptCount val="24"/>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pt idx="22">
                  <c:v>22470</c:v>
                </c:pt>
                <c:pt idx="23">
                  <c:v>21973</c:v>
                </c:pt>
              </c:numCache>
            </c:numRef>
          </c:val>
          <c:smooth val="0"/>
          <c:extLst>
            <c:ext xmlns:c16="http://schemas.microsoft.com/office/drawing/2014/chart" uri="{C3380CC4-5D6E-409C-BE32-E72D297353CC}">
              <c16:uniqueId val="{00000003-A700-49DC-BBBE-AAE748820F92}"/>
            </c:ext>
          </c:extLst>
        </c:ser>
        <c:ser>
          <c:idx val="3"/>
          <c:order val="3"/>
          <c:tx>
            <c:strRef>
              <c:f>Detainees!$D$28</c:f>
              <c:strCache>
                <c:ptCount val="1"/>
                <c:pt idx="0">
                  <c:v>Between  15 and 20 Years </c:v>
                </c:pt>
              </c:strCache>
            </c:strRef>
          </c:tx>
          <c:spPr>
            <a:ln>
              <a:solidFill>
                <a:srgbClr val="FFC000"/>
              </a:solidFill>
            </a:ln>
          </c:spPr>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Detainees!$E$28:$AB$28</c:f>
              <c:numCache>
                <c:formatCode>###\ ###\ ###</c:formatCode>
                <c:ptCount val="24"/>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pt idx="22">
                  <c:v>14015</c:v>
                </c:pt>
                <c:pt idx="23">
                  <c:v>13120</c:v>
                </c:pt>
              </c:numCache>
            </c:numRef>
          </c:val>
          <c:smooth val="0"/>
          <c:extLst>
            <c:ext xmlns:c16="http://schemas.microsoft.com/office/drawing/2014/chart" uri="{C3380CC4-5D6E-409C-BE32-E72D297353CC}">
              <c16:uniqueId val="{00000004-A700-49DC-BBBE-AAE748820F92}"/>
            </c:ext>
          </c:extLst>
        </c:ser>
        <c:ser>
          <c:idx val="5"/>
          <c:order val="5"/>
          <c:tx>
            <c:strRef>
              <c:f>Detainees!$D$30</c:f>
              <c:strCache>
                <c:ptCount val="1"/>
                <c:pt idx="0">
                  <c:v>Life Sentence</c:v>
                </c:pt>
              </c:strCache>
            </c:strRef>
          </c:tx>
          <c:spPr>
            <a:ln>
              <a:solidFill>
                <a:srgbClr val="00B050"/>
              </a:solidFill>
            </a:ln>
          </c:spPr>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Detainees!$E$30:$AB$30</c:f>
              <c:numCache>
                <c:formatCode>###\ ###\ ###</c:formatCode>
                <c:ptCount val="24"/>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pt idx="22">
                  <c:v>15678</c:v>
                </c:pt>
                <c:pt idx="23">
                  <c:v>15539</c:v>
                </c:pt>
              </c:numCache>
            </c:numRef>
          </c:val>
          <c:smooth val="0"/>
          <c:extLst>
            <c:ext xmlns:c16="http://schemas.microsoft.com/office/drawing/2014/chart" uri="{C3380CC4-5D6E-409C-BE32-E72D297353CC}">
              <c16:uniqueId val="{00000005-A700-49DC-BBBE-AAE748820F92}"/>
            </c:ext>
          </c:extLst>
        </c:ser>
        <c:dLbls>
          <c:showLegendKey val="0"/>
          <c:showVal val="0"/>
          <c:showCatName val="0"/>
          <c:showSerName val="0"/>
          <c:showPercent val="0"/>
          <c:showBubbleSize val="0"/>
        </c:dLbls>
        <c:marker val="1"/>
        <c:smooth val="0"/>
        <c:axId val="110510848"/>
        <c:axId val="110509056"/>
      </c:lineChart>
      <c:catAx>
        <c:axId val="11049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0507136"/>
        <c:crosses val="autoZero"/>
        <c:auto val="0"/>
        <c:lblAlgn val="ctr"/>
        <c:lblOffset val="100"/>
        <c:tickLblSkip val="1"/>
        <c:tickMarkSkip val="1"/>
        <c:noMultiLvlLbl val="0"/>
      </c:catAx>
      <c:valAx>
        <c:axId val="1105071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0497152"/>
        <c:crosses val="autoZero"/>
        <c:crossBetween val="between"/>
        <c:majorUnit val="20500"/>
      </c:valAx>
      <c:valAx>
        <c:axId val="110509056"/>
        <c:scaling>
          <c:orientation val="minMax"/>
        </c:scaling>
        <c:delete val="0"/>
        <c:axPos val="r"/>
        <c:numFmt formatCode="General" sourceLinked="1"/>
        <c:majorTickMark val="out"/>
        <c:minorTickMark val="none"/>
        <c:tickLblPos val="nextTo"/>
        <c:crossAx val="110510848"/>
        <c:crosses val="max"/>
        <c:crossBetween val="between"/>
      </c:valAx>
      <c:catAx>
        <c:axId val="110510848"/>
        <c:scaling>
          <c:orientation val="minMax"/>
        </c:scaling>
        <c:delete val="1"/>
        <c:axPos val="b"/>
        <c:numFmt formatCode="General" sourceLinked="1"/>
        <c:majorTickMark val="out"/>
        <c:minorTickMark val="none"/>
        <c:tickLblPos val="nextTo"/>
        <c:crossAx val="110509056"/>
        <c:crosses val="autoZero"/>
        <c:auto val="0"/>
        <c:lblAlgn val="ctr"/>
        <c:lblOffset val="100"/>
        <c:noMultiLvlLbl val="0"/>
      </c:catAx>
      <c:spPr>
        <a:solidFill>
          <a:srgbClr val="FFFFFF"/>
        </a:solidFill>
        <a:ln w="25400">
          <a:noFill/>
        </a:ln>
      </c:spPr>
    </c:plotArea>
    <c:legend>
      <c:legendPos val="b"/>
      <c:layout>
        <c:manualLayout>
          <c:xMode val="edge"/>
          <c:yMode val="edge"/>
          <c:x val="0.16396874653582566"/>
          <c:y val="0.80908486769274368"/>
          <c:w val="0.78197201997682941"/>
          <c:h val="4.881767953944433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7952036054925E-2"/>
          <c:y val="7.856771789536672E-2"/>
          <c:w val="0.81338121398778374"/>
          <c:h val="0.51956109652960047"/>
        </c:manualLayout>
      </c:layout>
      <c:barChart>
        <c:barDir val="col"/>
        <c:grouping val="clustered"/>
        <c:varyColors val="0"/>
        <c:ser>
          <c:idx val="1"/>
          <c:order val="0"/>
          <c:tx>
            <c:strRef>
              <c:f>Detainees!$D$9</c:f>
              <c:strCache>
                <c:ptCount val="1"/>
                <c:pt idx="0">
                  <c:v>Sentenced offenders</c:v>
                </c:pt>
              </c:strCache>
            </c:strRef>
          </c:tx>
          <c:spPr>
            <a:solidFill>
              <a:srgbClr val="FF6600"/>
            </a:solidFill>
            <a:ln w="12700">
              <a:solidFill>
                <a:srgbClr val="000000"/>
              </a:solid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pt idx="22">
                  <c:v>117755</c:v>
                </c:pt>
                <c:pt idx="23">
                  <c:v>117878</c:v>
                </c:pt>
              </c:numCache>
            </c:numRef>
          </c:val>
          <c:extLst>
            <c:ext xmlns:c16="http://schemas.microsoft.com/office/drawing/2014/chart" uri="{C3380CC4-5D6E-409C-BE32-E72D297353CC}">
              <c16:uniqueId val="{00000000-8936-4A2B-BB0F-CB73DA4AC7D1}"/>
            </c:ext>
          </c:extLst>
        </c:ser>
        <c:ser>
          <c:idx val="0"/>
          <c:order val="1"/>
          <c:tx>
            <c:strRef>
              <c:f>Detainees!$D$10</c:f>
              <c:strCache>
                <c:ptCount val="1"/>
                <c:pt idx="0">
                  <c:v>Remand detainees</c:v>
                </c:pt>
              </c:strCache>
            </c:strRef>
          </c:tx>
          <c:spPr>
            <a:solidFill>
              <a:srgbClr val="FFCC99"/>
            </a:solidFill>
            <a:ln w="28575">
              <a:solidFill>
                <a:srgbClr val="FFC000"/>
              </a:solid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pt idx="22">
                  <c:v>42525</c:v>
                </c:pt>
                <c:pt idx="23">
                  <c:v>42705</c:v>
                </c:pt>
              </c:numCache>
            </c:numRef>
          </c:val>
          <c:extLst>
            <c:ext xmlns:c16="http://schemas.microsoft.com/office/drawing/2014/chart" uri="{C3380CC4-5D6E-409C-BE32-E72D297353CC}">
              <c16:uniqueId val="{00000001-8936-4A2B-BB0F-CB73DA4AC7D1}"/>
            </c:ext>
          </c:extLst>
        </c:ser>
        <c:dLbls>
          <c:showLegendKey val="0"/>
          <c:showVal val="0"/>
          <c:showCatName val="0"/>
          <c:showSerName val="0"/>
          <c:showPercent val="0"/>
          <c:showBubbleSize val="0"/>
        </c:dLbls>
        <c:gapWidth val="150"/>
        <c:axId val="111829376"/>
        <c:axId val="111830912"/>
      </c:barChart>
      <c:lineChart>
        <c:grouping val="standard"/>
        <c:varyColors val="0"/>
        <c:ser>
          <c:idx val="4"/>
          <c:order val="4"/>
          <c:tx>
            <c:strRef>
              <c:f>Detainees!$D$29</c:f>
              <c:strCache>
                <c:ptCount val="1"/>
                <c:pt idx="0">
                  <c:v>More than  20 Years </c:v>
                </c:pt>
              </c:strCache>
            </c:strRef>
          </c:tx>
          <c:marker>
            <c:symbol val="none"/>
          </c:marker>
          <c:cat>
            <c:strRef>
              <c:f>Detainees!$E$8:$Z$8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Detainees!$E$29:$AB$29</c:f>
              <c:numCache>
                <c:formatCode>###\ ###\ ###</c:formatCode>
                <c:ptCount val="24"/>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pt idx="22">
                  <c:v>11097</c:v>
                </c:pt>
                <c:pt idx="23">
                  <c:v>11433</c:v>
                </c:pt>
              </c:numCache>
            </c:numRef>
          </c:val>
          <c:smooth val="0"/>
          <c:extLst>
            <c:ext xmlns:c16="http://schemas.microsoft.com/office/drawing/2014/chart" uri="{C3380CC4-5D6E-409C-BE32-E72D297353CC}">
              <c16:uniqueId val="{00000002-8936-4A2B-BB0F-CB73DA4AC7D1}"/>
            </c:ext>
          </c:extLst>
        </c:ser>
        <c:dLbls>
          <c:showLegendKey val="0"/>
          <c:showVal val="0"/>
          <c:showCatName val="0"/>
          <c:showSerName val="0"/>
          <c:showPercent val="0"/>
          <c:showBubbleSize val="0"/>
        </c:dLbls>
        <c:marker val="1"/>
        <c:smooth val="0"/>
        <c:axId val="111829376"/>
        <c:axId val="111830912"/>
      </c:lineChart>
      <c:lineChart>
        <c:grouping val="standard"/>
        <c:varyColors val="0"/>
        <c:ser>
          <c:idx val="2"/>
          <c:order val="2"/>
          <c:tx>
            <c:strRef>
              <c:f>Detainees!$D$27</c:f>
              <c:strCache>
                <c:ptCount val="1"/>
                <c:pt idx="0">
                  <c:v>Between  10 and 15 Years </c:v>
                </c:pt>
              </c:strCache>
            </c:strRef>
          </c:tx>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Detainees!$E$27:$AB$27</c:f>
              <c:numCache>
                <c:formatCode>###\ ###\ ###</c:formatCode>
                <c:ptCount val="24"/>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pt idx="22">
                  <c:v>22470</c:v>
                </c:pt>
                <c:pt idx="23">
                  <c:v>21973</c:v>
                </c:pt>
              </c:numCache>
            </c:numRef>
          </c:val>
          <c:smooth val="0"/>
          <c:extLst>
            <c:ext xmlns:c16="http://schemas.microsoft.com/office/drawing/2014/chart" uri="{C3380CC4-5D6E-409C-BE32-E72D297353CC}">
              <c16:uniqueId val="{00000003-8936-4A2B-BB0F-CB73DA4AC7D1}"/>
            </c:ext>
          </c:extLst>
        </c:ser>
        <c:ser>
          <c:idx val="3"/>
          <c:order val="3"/>
          <c:tx>
            <c:strRef>
              <c:f>Detainees!$D$28</c:f>
              <c:strCache>
                <c:ptCount val="1"/>
                <c:pt idx="0">
                  <c:v>Between  15 and 20 Years </c:v>
                </c:pt>
              </c:strCache>
            </c:strRef>
          </c:tx>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Detainees!$E$28:$AB$28</c:f>
              <c:numCache>
                <c:formatCode>###\ ###\ ###</c:formatCode>
                <c:ptCount val="24"/>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pt idx="22">
                  <c:v>14015</c:v>
                </c:pt>
                <c:pt idx="23">
                  <c:v>13120</c:v>
                </c:pt>
              </c:numCache>
            </c:numRef>
          </c:val>
          <c:smooth val="0"/>
          <c:extLst>
            <c:ext xmlns:c16="http://schemas.microsoft.com/office/drawing/2014/chart" uri="{C3380CC4-5D6E-409C-BE32-E72D297353CC}">
              <c16:uniqueId val="{00000004-8936-4A2B-BB0F-CB73DA4AC7D1}"/>
            </c:ext>
          </c:extLst>
        </c:ser>
        <c:ser>
          <c:idx val="5"/>
          <c:order val="5"/>
          <c:tx>
            <c:strRef>
              <c:f>Detainees!$D$30</c:f>
              <c:strCache>
                <c:ptCount val="1"/>
                <c:pt idx="0">
                  <c:v>Life Sentence</c:v>
                </c:pt>
              </c:strCache>
            </c:strRef>
          </c:tx>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Detainees!$E$30:$AB$30</c:f>
              <c:numCache>
                <c:formatCode>###\ ###\ ###</c:formatCode>
                <c:ptCount val="24"/>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pt idx="22">
                  <c:v>15678</c:v>
                </c:pt>
                <c:pt idx="23">
                  <c:v>15539</c:v>
                </c:pt>
              </c:numCache>
            </c:numRef>
          </c:val>
          <c:smooth val="0"/>
          <c:extLst>
            <c:ext xmlns:c16="http://schemas.microsoft.com/office/drawing/2014/chart" uri="{C3380CC4-5D6E-409C-BE32-E72D297353CC}">
              <c16:uniqueId val="{00000005-8936-4A2B-BB0F-CB73DA4AC7D1}"/>
            </c:ext>
          </c:extLst>
        </c:ser>
        <c:dLbls>
          <c:showLegendKey val="0"/>
          <c:showVal val="0"/>
          <c:showCatName val="0"/>
          <c:showSerName val="0"/>
          <c:showPercent val="0"/>
          <c:showBubbleSize val="0"/>
        </c:dLbls>
        <c:marker val="1"/>
        <c:smooth val="0"/>
        <c:axId val="111842816"/>
        <c:axId val="111841280"/>
      </c:lineChart>
      <c:catAx>
        <c:axId val="111829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11830912"/>
        <c:crosses val="autoZero"/>
        <c:auto val="0"/>
        <c:lblAlgn val="ctr"/>
        <c:lblOffset val="100"/>
        <c:tickLblSkip val="1"/>
        <c:tickMarkSkip val="1"/>
        <c:noMultiLvlLbl val="0"/>
      </c:catAx>
      <c:valAx>
        <c:axId val="111830912"/>
        <c:scaling>
          <c:orientation val="minMax"/>
        </c:scaling>
        <c:delete val="0"/>
        <c:axPos val="l"/>
        <c:majorGridlines>
          <c:spPr>
            <a:ln w="3175">
              <a:solidFill>
                <a:srgbClr val="969696"/>
              </a:solidFill>
              <a:prstDash val="sysDash"/>
            </a:ln>
          </c:spPr>
        </c:majorGridlines>
        <c:title>
          <c:tx>
            <c:rich>
              <a:bodyPr/>
              <a:lstStyle/>
              <a:p>
                <a:pPr>
                  <a:defRPr/>
                </a:pPr>
                <a:r>
                  <a:rPr lang="en-ZA"/>
                  <a:t>detainees</a:t>
                </a:r>
              </a:p>
            </c:rich>
          </c:tx>
          <c:layout>
            <c:manualLayout>
              <c:xMode val="edge"/>
              <c:yMode val="edge"/>
              <c:x val="3.0771893755541669E-3"/>
              <c:y val="0.19622619287973617"/>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a:pPr>
            <a:endParaRPr lang="en-US"/>
          </a:p>
        </c:txPr>
        <c:crossAx val="111829376"/>
        <c:crosses val="autoZero"/>
        <c:crossBetween val="between"/>
        <c:majorUnit val="20500"/>
      </c:valAx>
      <c:valAx>
        <c:axId val="111841280"/>
        <c:scaling>
          <c:orientation val="minMax"/>
        </c:scaling>
        <c:delete val="0"/>
        <c:axPos val="r"/>
        <c:numFmt formatCode="General" sourceLinked="1"/>
        <c:majorTickMark val="out"/>
        <c:minorTickMark val="none"/>
        <c:tickLblPos val="nextTo"/>
        <c:crossAx val="111842816"/>
        <c:crosses val="max"/>
        <c:crossBetween val="between"/>
      </c:valAx>
      <c:catAx>
        <c:axId val="111842816"/>
        <c:scaling>
          <c:orientation val="minMax"/>
        </c:scaling>
        <c:delete val="1"/>
        <c:axPos val="b"/>
        <c:numFmt formatCode="General" sourceLinked="1"/>
        <c:majorTickMark val="out"/>
        <c:minorTickMark val="none"/>
        <c:tickLblPos val="nextTo"/>
        <c:crossAx val="111841280"/>
        <c:crosses val="autoZero"/>
        <c:auto val="0"/>
        <c:lblAlgn val="ctr"/>
        <c:lblOffset val="100"/>
        <c:noMultiLvlLbl val="0"/>
      </c:catAx>
      <c:spPr>
        <a:solidFill>
          <a:srgbClr val="FFFFFF"/>
        </a:solidFill>
        <a:ln w="25400">
          <a:noFill/>
        </a:ln>
      </c:spPr>
    </c:plotArea>
    <c:legend>
      <c:legendPos val="b"/>
      <c:layout>
        <c:manualLayout>
          <c:xMode val="edge"/>
          <c:yMode val="edge"/>
          <c:x val="0"/>
          <c:y val="0.7948584058571625"/>
          <c:w val="1"/>
          <c:h val="0.1556553828207371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950656352978"/>
          <c:y val="5.8217341962050265E-2"/>
          <c:w val="0.81338121398778374"/>
          <c:h val="0.60503093849020173"/>
        </c:manualLayout>
      </c:layout>
      <c:barChart>
        <c:barDir val="col"/>
        <c:grouping val="clustered"/>
        <c:varyColors val="0"/>
        <c:ser>
          <c:idx val="1"/>
          <c:order val="0"/>
          <c:tx>
            <c:strRef>
              <c:f>Detainees!$D$9</c:f>
              <c:strCache>
                <c:ptCount val="1"/>
                <c:pt idx="0">
                  <c:v>Sentenced offenders</c:v>
                </c:pt>
              </c:strCache>
            </c:strRef>
          </c:tx>
          <c:spPr>
            <a:solidFill>
              <a:srgbClr val="FCD5B5"/>
            </a:solidFill>
            <a:ln w="12700">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pt idx="22">
                  <c:v>117755</c:v>
                </c:pt>
                <c:pt idx="23">
                  <c:v>117878</c:v>
                </c:pt>
              </c:numCache>
            </c:numRef>
          </c:val>
          <c:extLst>
            <c:ext xmlns:c16="http://schemas.microsoft.com/office/drawing/2014/chart" uri="{C3380CC4-5D6E-409C-BE32-E72D297353CC}">
              <c16:uniqueId val="{00000000-3D0E-455C-89B3-36B7C18E7AD7}"/>
            </c:ext>
          </c:extLst>
        </c:ser>
        <c:ser>
          <c:idx val="0"/>
          <c:order val="1"/>
          <c:tx>
            <c:strRef>
              <c:f>Detainees!$D$10</c:f>
              <c:strCache>
                <c:ptCount val="1"/>
                <c:pt idx="0">
                  <c:v>Remand detainees</c:v>
                </c:pt>
              </c:strCache>
            </c:strRef>
          </c:tx>
          <c:spPr>
            <a:solidFill>
              <a:srgbClr val="F8A662"/>
            </a:solidFill>
            <a:ln w="28575">
              <a:noFill/>
              <a:prstDash val="solid"/>
            </a:ln>
          </c:spPr>
          <c:invertIfNegative val="0"/>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pt idx="22">
                  <c:v>42525</c:v>
                </c:pt>
                <c:pt idx="23">
                  <c:v>42705</c:v>
                </c:pt>
              </c:numCache>
            </c:numRef>
          </c:val>
          <c:extLst>
            <c:ext xmlns:c16="http://schemas.microsoft.com/office/drawing/2014/chart" uri="{C3380CC4-5D6E-409C-BE32-E72D297353CC}">
              <c16:uniqueId val="{00000001-3D0E-455C-89B3-36B7C18E7AD7}"/>
            </c:ext>
          </c:extLst>
        </c:ser>
        <c:dLbls>
          <c:showLegendKey val="0"/>
          <c:showVal val="0"/>
          <c:showCatName val="0"/>
          <c:showSerName val="0"/>
          <c:showPercent val="0"/>
          <c:showBubbleSize val="0"/>
        </c:dLbls>
        <c:gapWidth val="150"/>
        <c:axId val="111973504"/>
        <c:axId val="111975040"/>
      </c:barChart>
      <c:lineChart>
        <c:grouping val="standard"/>
        <c:varyColors val="0"/>
        <c:ser>
          <c:idx val="4"/>
          <c:order val="4"/>
          <c:tx>
            <c:strRef>
              <c:f>Detainees!$D$29</c:f>
              <c:strCache>
                <c:ptCount val="1"/>
                <c:pt idx="0">
                  <c:v>More than  20 Years </c:v>
                </c:pt>
              </c:strCache>
            </c:strRef>
          </c:tx>
          <c:spPr>
            <a:ln>
              <a:solidFill>
                <a:srgbClr val="FF6600"/>
              </a:solidFill>
            </a:ln>
          </c:spPr>
          <c:marker>
            <c:symbol val="none"/>
          </c:marker>
          <c:cat>
            <c:strRef>
              <c:f>Detainees!$E$8:$Y$8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Detainees!$E$29:$AB$29</c:f>
              <c:numCache>
                <c:formatCode>###\ ###\ ###</c:formatCode>
                <c:ptCount val="24"/>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pt idx="22">
                  <c:v>11097</c:v>
                </c:pt>
                <c:pt idx="23">
                  <c:v>11433</c:v>
                </c:pt>
              </c:numCache>
            </c:numRef>
          </c:val>
          <c:smooth val="0"/>
          <c:extLst>
            <c:ext xmlns:c16="http://schemas.microsoft.com/office/drawing/2014/chart" uri="{C3380CC4-5D6E-409C-BE32-E72D297353CC}">
              <c16:uniqueId val="{00000002-3D0E-455C-89B3-36B7C18E7AD7}"/>
            </c:ext>
          </c:extLst>
        </c:ser>
        <c:dLbls>
          <c:showLegendKey val="0"/>
          <c:showVal val="0"/>
          <c:showCatName val="0"/>
          <c:showSerName val="0"/>
          <c:showPercent val="0"/>
          <c:showBubbleSize val="0"/>
        </c:dLbls>
        <c:marker val="1"/>
        <c:smooth val="0"/>
        <c:axId val="111973504"/>
        <c:axId val="111975040"/>
      </c:lineChart>
      <c:lineChart>
        <c:grouping val="standard"/>
        <c:varyColors val="0"/>
        <c:ser>
          <c:idx val="2"/>
          <c:order val="2"/>
          <c:tx>
            <c:strRef>
              <c:f>Detainees!$D$27</c:f>
              <c:strCache>
                <c:ptCount val="1"/>
                <c:pt idx="0">
                  <c:v>Between  10 and 15 Years </c:v>
                </c:pt>
              </c:strCache>
            </c:strRef>
          </c:tx>
          <c:spPr>
            <a:ln>
              <a:solidFill>
                <a:srgbClr val="BE4B48"/>
              </a:solidFill>
            </a:ln>
          </c:spPr>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Detainees!$E$27:$AB$27</c:f>
              <c:numCache>
                <c:formatCode>###\ ###\ ###</c:formatCode>
                <c:ptCount val="24"/>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pt idx="22">
                  <c:v>22470</c:v>
                </c:pt>
                <c:pt idx="23">
                  <c:v>21973</c:v>
                </c:pt>
              </c:numCache>
            </c:numRef>
          </c:val>
          <c:smooth val="0"/>
          <c:extLst>
            <c:ext xmlns:c16="http://schemas.microsoft.com/office/drawing/2014/chart" uri="{C3380CC4-5D6E-409C-BE32-E72D297353CC}">
              <c16:uniqueId val="{00000003-3D0E-455C-89B3-36B7C18E7AD7}"/>
            </c:ext>
          </c:extLst>
        </c:ser>
        <c:ser>
          <c:idx val="3"/>
          <c:order val="3"/>
          <c:tx>
            <c:strRef>
              <c:f>Detainees!$D$28</c:f>
              <c:strCache>
                <c:ptCount val="1"/>
                <c:pt idx="0">
                  <c:v>Between  15 and 20 Years </c:v>
                </c:pt>
              </c:strCache>
            </c:strRef>
          </c:tx>
          <c:spPr>
            <a:ln>
              <a:solidFill>
                <a:srgbClr val="FFC000"/>
              </a:solidFill>
            </a:ln>
          </c:spPr>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Detainees!$E$28:$AB$28</c:f>
              <c:numCache>
                <c:formatCode>###\ ###\ ###</c:formatCode>
                <c:ptCount val="24"/>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pt idx="22">
                  <c:v>14015</c:v>
                </c:pt>
                <c:pt idx="23">
                  <c:v>13120</c:v>
                </c:pt>
              </c:numCache>
            </c:numRef>
          </c:val>
          <c:smooth val="0"/>
          <c:extLst>
            <c:ext xmlns:c16="http://schemas.microsoft.com/office/drawing/2014/chart" uri="{C3380CC4-5D6E-409C-BE32-E72D297353CC}">
              <c16:uniqueId val="{00000004-3D0E-455C-89B3-36B7C18E7AD7}"/>
            </c:ext>
          </c:extLst>
        </c:ser>
        <c:ser>
          <c:idx val="5"/>
          <c:order val="5"/>
          <c:tx>
            <c:strRef>
              <c:f>Detainees!$D$30</c:f>
              <c:strCache>
                <c:ptCount val="1"/>
                <c:pt idx="0">
                  <c:v>Life Sentence</c:v>
                </c:pt>
              </c:strCache>
            </c:strRef>
          </c:tx>
          <c:spPr>
            <a:ln>
              <a:solidFill>
                <a:srgbClr val="00B050"/>
              </a:solidFill>
            </a:ln>
          </c:spPr>
          <c:marker>
            <c:symbol val="none"/>
          </c:marker>
          <c:cat>
            <c:strRef>
              <c:f>Detainees!$E$8:$AB$8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Detainees!$E$30:$AB$30</c:f>
              <c:numCache>
                <c:formatCode>###\ ###\ ###</c:formatCode>
                <c:ptCount val="24"/>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pt idx="22">
                  <c:v>15678</c:v>
                </c:pt>
                <c:pt idx="23">
                  <c:v>15539</c:v>
                </c:pt>
              </c:numCache>
            </c:numRef>
          </c:val>
          <c:smooth val="0"/>
          <c:extLst>
            <c:ext xmlns:c16="http://schemas.microsoft.com/office/drawing/2014/chart" uri="{C3380CC4-5D6E-409C-BE32-E72D297353CC}">
              <c16:uniqueId val="{00000005-3D0E-455C-89B3-36B7C18E7AD7}"/>
            </c:ext>
          </c:extLst>
        </c:ser>
        <c:dLbls>
          <c:showLegendKey val="0"/>
          <c:showVal val="0"/>
          <c:showCatName val="0"/>
          <c:showSerName val="0"/>
          <c:showPercent val="0"/>
          <c:showBubbleSize val="0"/>
        </c:dLbls>
        <c:marker val="1"/>
        <c:smooth val="0"/>
        <c:axId val="111978752"/>
        <c:axId val="111977216"/>
      </c:lineChart>
      <c:catAx>
        <c:axId val="11197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1975040"/>
        <c:crosses val="autoZero"/>
        <c:auto val="0"/>
        <c:lblAlgn val="ctr"/>
        <c:lblOffset val="100"/>
        <c:tickLblSkip val="1"/>
        <c:tickMarkSkip val="1"/>
        <c:noMultiLvlLbl val="0"/>
      </c:catAx>
      <c:valAx>
        <c:axId val="11197504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1973504"/>
        <c:crosses val="autoZero"/>
        <c:crossBetween val="between"/>
        <c:majorUnit val="20500"/>
      </c:valAx>
      <c:valAx>
        <c:axId val="111977216"/>
        <c:scaling>
          <c:orientation val="minMax"/>
        </c:scaling>
        <c:delete val="0"/>
        <c:axPos val="r"/>
        <c:numFmt formatCode="General" sourceLinked="1"/>
        <c:majorTickMark val="out"/>
        <c:minorTickMark val="none"/>
        <c:tickLblPos val="nextTo"/>
        <c:crossAx val="111978752"/>
        <c:crosses val="max"/>
        <c:crossBetween val="between"/>
      </c:valAx>
      <c:catAx>
        <c:axId val="111978752"/>
        <c:scaling>
          <c:orientation val="minMax"/>
        </c:scaling>
        <c:delete val="1"/>
        <c:axPos val="b"/>
        <c:numFmt formatCode="General" sourceLinked="1"/>
        <c:majorTickMark val="out"/>
        <c:minorTickMark val="none"/>
        <c:tickLblPos val="nextTo"/>
        <c:crossAx val="111977216"/>
        <c:crosses val="autoZero"/>
        <c:auto val="0"/>
        <c:lblAlgn val="ctr"/>
        <c:lblOffset val="100"/>
        <c:noMultiLvlLbl val="0"/>
      </c:catAx>
      <c:spPr>
        <a:solidFill>
          <a:srgbClr val="FFFFFF"/>
        </a:solidFill>
        <a:ln w="25400">
          <a:noFill/>
        </a:ln>
      </c:spPr>
    </c:plotArea>
    <c:legend>
      <c:legendPos val="b"/>
      <c:layout>
        <c:manualLayout>
          <c:xMode val="edge"/>
          <c:yMode val="edge"/>
          <c:x val="0.1637163564708774"/>
          <c:y val="0.7948584058571625"/>
          <c:w val="0.78535772224430211"/>
          <c:h val="4.8817809690887087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40605092374356E-2"/>
          <c:y val="0.10601425624318385"/>
          <c:w val="0.88782143524360413"/>
          <c:h val="0.68131647903285542"/>
        </c:manualLayout>
      </c:layout>
      <c:lineChart>
        <c:grouping val="standard"/>
        <c:varyColors val="0"/>
        <c:ser>
          <c:idx val="0"/>
          <c:order val="0"/>
          <c:tx>
            <c:strRef>
              <c:f>'B deficit '!$D$8</c:f>
              <c:strCache>
                <c:ptCount val="1"/>
                <c:pt idx="0">
                  <c:v>Budget Deficit</c:v>
                </c:pt>
              </c:strCache>
            </c:strRef>
          </c:tx>
          <c:spPr>
            <a:ln w="15875">
              <a:solidFill>
                <a:srgbClr val="FF6600"/>
              </a:solidFill>
              <a:prstDash val="solid"/>
            </a:ln>
          </c:spPr>
          <c:marker>
            <c:symbol val="none"/>
          </c:marker>
          <c:cat>
            <c:strRef>
              <c:f>'B deficit '!$E$7:$AB$7</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strCache>
            </c:strRef>
          </c:cat>
          <c:val>
            <c:numRef>
              <c:f>'B deficit '!$E$8:$AB$8</c:f>
              <c:numCache>
                <c:formatCode>General</c:formatCode>
                <c:ptCount val="24"/>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formatCode="0.0">
                  <c:v>-5</c:v>
                </c:pt>
                <c:pt idx="20" formatCode="#\ ##0.0">
                  <c:v>-4.4000000000000004</c:v>
                </c:pt>
                <c:pt idx="21" formatCode="#\ ##0.0">
                  <c:v>-4.3</c:v>
                </c:pt>
                <c:pt idx="22" formatCode="#\ ##0.0">
                  <c:v>-4.0999999999999996</c:v>
                </c:pt>
                <c:pt idx="23" formatCode="#\ ##0.0">
                  <c:v>-3.8</c:v>
                </c:pt>
              </c:numCache>
            </c:numRef>
          </c:val>
          <c:smooth val="0"/>
          <c:extLst>
            <c:ext xmlns:c16="http://schemas.microsoft.com/office/drawing/2014/chart" uri="{C3380CC4-5D6E-409C-BE32-E72D297353CC}">
              <c16:uniqueId val="{00000000-9B25-4726-8BBD-8408BBE3C4F5}"/>
            </c:ext>
          </c:extLst>
        </c:ser>
        <c:dLbls>
          <c:showLegendKey val="0"/>
          <c:showVal val="0"/>
          <c:showCatName val="0"/>
          <c:showSerName val="0"/>
          <c:showPercent val="0"/>
          <c:showBubbleSize val="0"/>
        </c:dLbls>
        <c:smooth val="0"/>
        <c:axId val="399511600"/>
        <c:axId val="399510816"/>
      </c:lineChart>
      <c:catAx>
        <c:axId val="3995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10816"/>
        <c:crossesAt val="-10.5"/>
        <c:auto val="1"/>
        <c:lblAlgn val="ctr"/>
        <c:lblOffset val="100"/>
        <c:tickLblSkip val="1"/>
        <c:tickMarkSkip val="1"/>
        <c:noMultiLvlLbl val="0"/>
      </c:catAx>
      <c:valAx>
        <c:axId val="399510816"/>
        <c:scaling>
          <c:orientation val="minMax"/>
        </c:scaling>
        <c:delete val="0"/>
        <c:axPos val="l"/>
        <c:majorGridlines>
          <c:spPr>
            <a:ln w="3175">
              <a:solidFill>
                <a:srgbClr val="969696"/>
              </a:solidFill>
              <a:prstDash val="sysDash"/>
            </a:ln>
          </c:spPr>
        </c:majorGridlines>
        <c:title>
          <c:tx>
            <c:rich>
              <a:bodyPr/>
              <a:lstStyle/>
              <a:p>
                <a:pPr>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1600"/>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Number of offenders who benefitted from rehabilitation</a:t>
            </a:r>
          </a:p>
        </c:rich>
      </c:tx>
      <c:overlay val="0"/>
    </c:title>
    <c:autoTitleDeleted val="0"/>
    <c:plotArea>
      <c:layout/>
      <c:lineChart>
        <c:grouping val="standard"/>
        <c:varyColors val="0"/>
        <c:ser>
          <c:idx val="2"/>
          <c:order val="0"/>
          <c:tx>
            <c:strRef>
              <c:f>Rehabilitation!$D$18</c:f>
              <c:strCache>
                <c:ptCount val="1"/>
                <c:pt idx="0">
                  <c:v>Total</c:v>
                </c:pt>
              </c:strCache>
            </c:strRef>
          </c:tx>
          <c:spPr>
            <a:ln w="25400">
              <a:solidFill>
                <a:srgbClr val="FF6600"/>
              </a:solidFill>
            </a:ln>
          </c:spPr>
          <c:marker>
            <c:symbol val="none"/>
          </c:marker>
          <c:cat>
            <c:strRef>
              <c:f>Rehabilitation!$E$8:$X$8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Rehabilitation!$E$18:$X$18</c:f>
              <c:numCache>
                <c:formatCode>###\ ###\ ###</c:formatCode>
                <c:ptCount val="20"/>
                <c:pt idx="0">
                  <c:v>74069</c:v>
                </c:pt>
                <c:pt idx="1">
                  <c:v>229947</c:v>
                </c:pt>
                <c:pt idx="2">
                  <c:v>232370</c:v>
                </c:pt>
                <c:pt idx="3">
                  <c:v>255978</c:v>
                </c:pt>
                <c:pt idx="4">
                  <c:v>68283</c:v>
                </c:pt>
                <c:pt idx="5">
                  <c:v>199567</c:v>
                </c:pt>
                <c:pt idx="6">
                  <c:v>184610</c:v>
                </c:pt>
                <c:pt idx="7">
                  <c:v>218252</c:v>
                </c:pt>
                <c:pt idx="8">
                  <c:v>300775</c:v>
                </c:pt>
                <c:pt idx="9">
                  <c:v>281022</c:v>
                </c:pt>
                <c:pt idx="10">
                  <c:v>318834</c:v>
                </c:pt>
                <c:pt idx="11">
                  <c:v>295816</c:v>
                </c:pt>
                <c:pt idx="12">
                  <c:v>404693</c:v>
                </c:pt>
                <c:pt idx="13">
                  <c:v>379753</c:v>
                </c:pt>
                <c:pt idx="14">
                  <c:v>353064</c:v>
                </c:pt>
                <c:pt idx="15">
                  <c:v>484189</c:v>
                </c:pt>
                <c:pt idx="16">
                  <c:v>274190</c:v>
                </c:pt>
                <c:pt idx="17">
                  <c:v>231416</c:v>
                </c:pt>
                <c:pt idx="18">
                  <c:v>294194</c:v>
                </c:pt>
                <c:pt idx="19">
                  <c:v>310098</c:v>
                </c:pt>
              </c:numCache>
            </c:numRef>
          </c:val>
          <c:smooth val="0"/>
          <c:extLst>
            <c:ext xmlns:c16="http://schemas.microsoft.com/office/drawing/2014/chart" uri="{C3380CC4-5D6E-409C-BE32-E72D297353CC}">
              <c16:uniqueId val="{00000000-4A25-4C1D-A213-5C216B8151AB}"/>
            </c:ext>
          </c:extLst>
        </c:ser>
        <c:dLbls>
          <c:showLegendKey val="0"/>
          <c:showVal val="0"/>
          <c:showCatName val="0"/>
          <c:showSerName val="0"/>
          <c:showPercent val="0"/>
          <c:showBubbleSize val="0"/>
        </c:dLbls>
        <c:smooth val="0"/>
        <c:axId val="111138304"/>
        <c:axId val="111139840"/>
      </c:lineChart>
      <c:catAx>
        <c:axId val="111138304"/>
        <c:scaling>
          <c:orientation val="minMax"/>
        </c:scaling>
        <c:delete val="0"/>
        <c:axPos val="b"/>
        <c:numFmt formatCode="General" sourceLinked="0"/>
        <c:majorTickMark val="out"/>
        <c:minorTickMark val="none"/>
        <c:tickLblPos val="nextTo"/>
        <c:crossAx val="111139840"/>
        <c:crosses val="autoZero"/>
        <c:auto val="1"/>
        <c:lblAlgn val="ctr"/>
        <c:lblOffset val="100"/>
        <c:noMultiLvlLbl val="0"/>
      </c:catAx>
      <c:valAx>
        <c:axId val="111139840"/>
        <c:scaling>
          <c:orientation val="minMax"/>
          <c:max val="500000"/>
        </c:scaling>
        <c:delete val="0"/>
        <c:axPos val="l"/>
        <c:majorGridlines>
          <c:spPr>
            <a:ln>
              <a:prstDash val="sysDash"/>
            </a:ln>
          </c:spPr>
        </c:majorGridlines>
        <c:numFmt formatCode="###\,###\,###" sourceLinked="0"/>
        <c:majorTickMark val="out"/>
        <c:minorTickMark val="none"/>
        <c:tickLblPos val="nextTo"/>
        <c:crossAx val="111138304"/>
        <c:crosses val="autoZero"/>
        <c:crossBetween val="between"/>
      </c:valAx>
    </c:plotArea>
    <c:legend>
      <c:legendPos val="b"/>
      <c:layout>
        <c:manualLayout>
          <c:xMode val="edge"/>
          <c:yMode val="edge"/>
          <c:x val="0.27663798638809661"/>
          <c:y val="0.91717993912178297"/>
          <c:w val="0.25498686833788448"/>
          <c:h val="6.0322873026698434E-2"/>
        </c:manualLayout>
      </c:layout>
      <c:overlay val="0"/>
    </c:legend>
    <c:plotVisOnly val="1"/>
    <c:dispBlanksAs val="gap"/>
    <c:showDLblsOverMax val="0"/>
  </c:chart>
  <c:txPr>
    <a:bodyPr/>
    <a:lstStyle/>
    <a:p>
      <a:pPr>
        <a:defRPr sz="900">
          <a:latin typeface="Arial Narrow"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646611316566003"/>
          <c:y val="0.15183844488551676"/>
          <c:w val="0.86075258125172305"/>
          <c:h val="0.54926121940806394"/>
        </c:manualLayout>
      </c:layout>
      <c:lineChart>
        <c:grouping val="standard"/>
        <c:varyColors val="0"/>
        <c:ser>
          <c:idx val="1"/>
          <c:order val="0"/>
          <c:tx>
            <c:strRef>
              <c:f>Rehabilitation!$D$9</c:f>
              <c:strCache>
                <c:ptCount val="1"/>
                <c:pt idx="0">
                  <c:v>Correctional Programmes</c:v>
                </c:pt>
              </c:strCache>
            </c:strRef>
          </c:tx>
          <c:spPr>
            <a:ln w="28575">
              <a:solidFill>
                <a:srgbClr val="FF0000"/>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Rehabilitation!$E$9:$AA$9</c:f>
              <c:numCache>
                <c:formatCode>General</c:formatCode>
                <c:ptCount val="23"/>
                <c:pt idx="12" formatCode="#\ ##0">
                  <c:v>24657</c:v>
                </c:pt>
                <c:pt idx="13" formatCode="#\ ##0">
                  <c:v>60543</c:v>
                </c:pt>
                <c:pt idx="14" formatCode="#\ ##0">
                  <c:v>44481</c:v>
                </c:pt>
                <c:pt idx="15" formatCode="#\ ##0">
                  <c:v>116097</c:v>
                </c:pt>
                <c:pt idx="16" formatCode="#\ ##0">
                  <c:v>116716</c:v>
                </c:pt>
                <c:pt idx="17" formatCode="#\ ##0">
                  <c:v>77087</c:v>
                </c:pt>
                <c:pt idx="18" formatCode="#\ ##0">
                  <c:v>61049</c:v>
                </c:pt>
                <c:pt idx="19" formatCode="#\ ##0">
                  <c:v>68624</c:v>
                </c:pt>
                <c:pt idx="20" formatCode="#\ ##0">
                  <c:v>75595</c:v>
                </c:pt>
                <c:pt idx="21" formatCode="#\ ##0">
                  <c:v>80960</c:v>
                </c:pt>
                <c:pt idx="22" formatCode="#\ ##0">
                  <c:v>86518</c:v>
                </c:pt>
              </c:numCache>
            </c:numRef>
          </c:val>
          <c:smooth val="0"/>
          <c:extLst>
            <c:ext xmlns:c16="http://schemas.microsoft.com/office/drawing/2014/chart" uri="{C3380CC4-5D6E-409C-BE32-E72D297353CC}">
              <c16:uniqueId val="{00000000-05A5-4601-AD38-64469651DA33}"/>
            </c:ext>
          </c:extLst>
        </c:ser>
        <c:ser>
          <c:idx val="2"/>
          <c:order val="1"/>
          <c:tx>
            <c:strRef>
              <c:f>Rehabilitation!$D$10</c:f>
              <c:strCache>
                <c:ptCount val="1"/>
                <c:pt idx="0">
                  <c:v>Development Programmes</c:v>
                </c:pt>
              </c:strCache>
            </c:strRef>
          </c:tx>
          <c:spPr>
            <a:ln w="28575">
              <a:solidFill>
                <a:srgbClr val="C0504D"/>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Rehabilitation!$E$10:$AA$10</c:f>
              <c:numCache>
                <c:formatCode>#\ ##0</c:formatCode>
                <c:ptCount val="23"/>
                <c:pt idx="2">
                  <c:v>13013</c:v>
                </c:pt>
                <c:pt idx="3">
                  <c:v>9076</c:v>
                </c:pt>
                <c:pt idx="4">
                  <c:v>19603</c:v>
                </c:pt>
                <c:pt idx="5">
                  <c:v>22998</c:v>
                </c:pt>
                <c:pt idx="6">
                  <c:v>29114</c:v>
                </c:pt>
                <c:pt idx="7">
                  <c:v>41392</c:v>
                </c:pt>
                <c:pt idx="8">
                  <c:v>40938</c:v>
                </c:pt>
                <c:pt idx="9">
                  <c:v>41546</c:v>
                </c:pt>
                <c:pt idx="10">
                  <c:v>35162</c:v>
                </c:pt>
                <c:pt idx="11">
                  <c:v>44663</c:v>
                </c:pt>
                <c:pt idx="12">
                  <c:v>43593</c:v>
                </c:pt>
                <c:pt idx="13">
                  <c:v>25238</c:v>
                </c:pt>
                <c:pt idx="14">
                  <c:v>101620</c:v>
                </c:pt>
                <c:pt idx="15">
                  <c:v>34875</c:v>
                </c:pt>
                <c:pt idx="16">
                  <c:v>33807</c:v>
                </c:pt>
                <c:pt idx="17">
                  <c:v>30657</c:v>
                </c:pt>
                <c:pt idx="18">
                  <c:v>29965</c:v>
                </c:pt>
                <c:pt idx="19">
                  <c:v>28033</c:v>
                </c:pt>
                <c:pt idx="20">
                  <c:v>26499</c:v>
                </c:pt>
                <c:pt idx="21">
                  <c:v>24171</c:v>
                </c:pt>
                <c:pt idx="22">
                  <c:v>25573</c:v>
                </c:pt>
              </c:numCache>
            </c:numRef>
          </c:val>
          <c:smooth val="0"/>
          <c:extLst>
            <c:ext xmlns:c16="http://schemas.microsoft.com/office/drawing/2014/chart" uri="{C3380CC4-5D6E-409C-BE32-E72D297353CC}">
              <c16:uniqueId val="{00000001-05A5-4601-AD38-64469651DA33}"/>
            </c:ext>
          </c:extLst>
        </c:ser>
        <c:ser>
          <c:idx val="3"/>
          <c:order val="2"/>
          <c:tx>
            <c:strRef>
              <c:f>Rehabilitation!$D$15</c:f>
              <c:strCache>
                <c:ptCount val="1"/>
                <c:pt idx="0">
                  <c:v>Psychological Services</c:v>
                </c:pt>
              </c:strCache>
            </c:strRef>
          </c:tx>
          <c:spPr>
            <a:ln w="28575">
              <a:solidFill>
                <a:srgbClr val="FFC000"/>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Rehabilitation!$E$15:$AA$15</c:f>
              <c:numCache>
                <c:formatCode>###\ ###\ ###</c:formatCode>
                <c:ptCount val="23"/>
                <c:pt idx="12">
                  <c:v>157444</c:v>
                </c:pt>
                <c:pt idx="13">
                  <c:v>9073</c:v>
                </c:pt>
                <c:pt idx="17">
                  <c:v>20865</c:v>
                </c:pt>
                <c:pt idx="18">
                  <c:v>21120</c:v>
                </c:pt>
                <c:pt idx="19">
                  <c:v>23565</c:v>
                </c:pt>
                <c:pt idx="20">
                  <c:v>32523</c:v>
                </c:pt>
                <c:pt idx="21">
                  <c:v>36014</c:v>
                </c:pt>
                <c:pt idx="22">
                  <c:v>39407</c:v>
                </c:pt>
              </c:numCache>
            </c:numRef>
          </c:val>
          <c:smooth val="0"/>
          <c:extLst>
            <c:ext xmlns:c16="http://schemas.microsoft.com/office/drawing/2014/chart" uri="{C3380CC4-5D6E-409C-BE32-E72D297353CC}">
              <c16:uniqueId val="{00000002-05A5-4601-AD38-64469651DA33}"/>
            </c:ext>
          </c:extLst>
        </c:ser>
        <c:ser>
          <c:idx val="4"/>
          <c:order val="3"/>
          <c:tx>
            <c:strRef>
              <c:f>Rehabilitation!$D$16</c:f>
              <c:strCache>
                <c:ptCount val="1"/>
                <c:pt idx="0">
                  <c:v>Social work</c:v>
                </c:pt>
              </c:strCache>
            </c:strRef>
          </c:tx>
          <c:spPr>
            <a:ln w="28575">
              <a:solidFill>
                <a:srgbClr val="00B050"/>
              </a:solidFill>
            </a:ln>
          </c:spPr>
          <c:marker>
            <c:symbol val="none"/>
          </c:marker>
          <c:trendline>
            <c:spPr>
              <a:ln w="28575"/>
            </c:spPr>
            <c:trendlineType val="linear"/>
            <c:dispRSqr val="0"/>
            <c:dispEq val="0"/>
          </c:trendline>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Rehabilitation!$E$16:$AA$16</c:f>
              <c:numCache>
                <c:formatCode>###\ ###\ ###</c:formatCode>
                <c:ptCount val="23"/>
                <c:pt idx="0">
                  <c:v>10010</c:v>
                </c:pt>
                <c:pt idx="1">
                  <c:v>153672</c:v>
                </c:pt>
                <c:pt idx="2">
                  <c:v>106324</c:v>
                </c:pt>
                <c:pt idx="3">
                  <c:v>125164</c:v>
                </c:pt>
                <c:pt idx="4">
                  <c:v>48680</c:v>
                </c:pt>
                <c:pt idx="5">
                  <c:v>23783</c:v>
                </c:pt>
                <c:pt idx="6">
                  <c:v>31122</c:v>
                </c:pt>
                <c:pt idx="7">
                  <c:v>8851</c:v>
                </c:pt>
                <c:pt idx="8">
                  <c:v>103380</c:v>
                </c:pt>
                <c:pt idx="9">
                  <c:v>77858</c:v>
                </c:pt>
                <c:pt idx="10">
                  <c:v>118057</c:v>
                </c:pt>
                <c:pt idx="11">
                  <c:v>86571</c:v>
                </c:pt>
                <c:pt idx="12">
                  <c:v>13034</c:v>
                </c:pt>
                <c:pt idx="13">
                  <c:v>116115</c:v>
                </c:pt>
                <c:pt idx="14">
                  <c:v>28187</c:v>
                </c:pt>
                <c:pt idx="15">
                  <c:v>134358</c:v>
                </c:pt>
                <c:pt idx="16">
                  <c:v>40469</c:v>
                </c:pt>
                <c:pt idx="17">
                  <c:v>104073</c:v>
                </c:pt>
                <c:pt idx="18">
                  <c:v>152406</c:v>
                </c:pt>
                <c:pt idx="19">
                  <c:v>152707</c:v>
                </c:pt>
                <c:pt idx="20" formatCode="#\ ##0">
                  <c:v>91013</c:v>
                </c:pt>
                <c:pt idx="21" formatCode="#\ ##0">
                  <c:v>109690</c:v>
                </c:pt>
                <c:pt idx="22" formatCode="#\ ##0">
                  <c:v>108960</c:v>
                </c:pt>
              </c:numCache>
            </c:numRef>
          </c:val>
          <c:smooth val="0"/>
          <c:extLst>
            <c:ext xmlns:c16="http://schemas.microsoft.com/office/drawing/2014/chart" uri="{C3380CC4-5D6E-409C-BE32-E72D297353CC}">
              <c16:uniqueId val="{00000003-05A5-4601-AD38-64469651DA33}"/>
            </c:ext>
          </c:extLst>
        </c:ser>
        <c:ser>
          <c:idx val="5"/>
          <c:order val="4"/>
          <c:tx>
            <c:strRef>
              <c:f>Rehabilitation!$D$17</c:f>
              <c:strCache>
                <c:ptCount val="1"/>
                <c:pt idx="0">
                  <c:v>Spiritual care</c:v>
                </c:pt>
              </c:strCache>
            </c:strRef>
          </c:tx>
          <c:spPr>
            <a:ln w="28575">
              <a:solidFill>
                <a:srgbClr val="3D96AE"/>
              </a:solidFill>
            </a:ln>
          </c:spPr>
          <c:marker>
            <c:symbol val="none"/>
          </c:marker>
          <c:cat>
            <c:strRef>
              <c:f>Rehabilitation!$E$8:$AA$8</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Rehabilitation!$E$17:$AA$17</c:f>
              <c:numCache>
                <c:formatCode>###\ ###\ ###</c:formatCode>
                <c:ptCount val="23"/>
                <c:pt idx="0">
                  <c:v>64059</c:v>
                </c:pt>
                <c:pt idx="1">
                  <c:v>76275</c:v>
                </c:pt>
                <c:pt idx="2">
                  <c:v>113033</c:v>
                </c:pt>
                <c:pt idx="3">
                  <c:v>121738</c:v>
                </c:pt>
                <c:pt idx="4">
                  <c:v>0</c:v>
                </c:pt>
                <c:pt idx="5">
                  <c:v>152786</c:v>
                </c:pt>
                <c:pt idx="6">
                  <c:v>124374</c:v>
                </c:pt>
                <c:pt idx="7">
                  <c:v>168009</c:v>
                </c:pt>
                <c:pt idx="8">
                  <c:v>156457</c:v>
                </c:pt>
                <c:pt idx="9">
                  <c:v>161618</c:v>
                </c:pt>
                <c:pt idx="10">
                  <c:v>165615</c:v>
                </c:pt>
                <c:pt idx="11">
                  <c:v>164582</c:v>
                </c:pt>
                <c:pt idx="12">
                  <c:v>165965</c:v>
                </c:pt>
                <c:pt idx="13">
                  <c:v>168784</c:v>
                </c:pt>
                <c:pt idx="14">
                  <c:v>178776</c:v>
                </c:pt>
                <c:pt idx="15">
                  <c:v>198859</c:v>
                </c:pt>
                <c:pt idx="16">
                  <c:v>83198</c:v>
                </c:pt>
                <c:pt idx="17">
                  <c:v>106478</c:v>
                </c:pt>
                <c:pt idx="18">
                  <c:v>120668</c:v>
                </c:pt>
                <c:pt idx="19">
                  <c:v>133826</c:v>
                </c:pt>
                <c:pt idx="20">
                  <c:v>134760</c:v>
                </c:pt>
                <c:pt idx="21">
                  <c:v>132364</c:v>
                </c:pt>
                <c:pt idx="22">
                  <c:v>143480</c:v>
                </c:pt>
              </c:numCache>
            </c:numRef>
          </c:val>
          <c:smooth val="0"/>
          <c:extLst>
            <c:ext xmlns:c16="http://schemas.microsoft.com/office/drawing/2014/chart" uri="{C3380CC4-5D6E-409C-BE32-E72D297353CC}">
              <c16:uniqueId val="{00000004-05A5-4601-AD38-64469651DA33}"/>
            </c:ext>
          </c:extLst>
        </c:ser>
        <c:dLbls>
          <c:showLegendKey val="0"/>
          <c:showVal val="0"/>
          <c:showCatName val="0"/>
          <c:showSerName val="0"/>
          <c:showPercent val="0"/>
          <c:showBubbleSize val="0"/>
        </c:dLbls>
        <c:smooth val="0"/>
        <c:axId val="111919872"/>
        <c:axId val="111921408"/>
      </c:lineChart>
      <c:catAx>
        <c:axId val="111919872"/>
        <c:scaling>
          <c:orientation val="minMax"/>
        </c:scaling>
        <c:delete val="0"/>
        <c:axPos val="b"/>
        <c:numFmt formatCode="General" sourceLinked="0"/>
        <c:majorTickMark val="out"/>
        <c:minorTickMark val="none"/>
        <c:tickLblPos val="nextTo"/>
        <c:spPr>
          <a:ln w="3175">
            <a:solidFill>
              <a:schemeClr val="tx1"/>
            </a:solidFill>
          </a:ln>
        </c:spPr>
        <c:txPr>
          <a:bodyPr rot="-5400000" vert="horz"/>
          <a:lstStyle/>
          <a:p>
            <a:pPr>
              <a:defRPr/>
            </a:pPr>
            <a:endParaRPr lang="en-US"/>
          </a:p>
        </c:txPr>
        <c:crossAx val="111921408"/>
        <c:crosses val="autoZero"/>
        <c:auto val="1"/>
        <c:lblAlgn val="ctr"/>
        <c:lblOffset val="100"/>
        <c:noMultiLvlLbl val="0"/>
      </c:catAx>
      <c:valAx>
        <c:axId val="111921408"/>
        <c:scaling>
          <c:orientation val="minMax"/>
        </c:scaling>
        <c:delete val="0"/>
        <c:axPos val="l"/>
        <c:majorGridlines>
          <c:spPr>
            <a:ln w="3175">
              <a:prstDash val="sysDash"/>
            </a:ln>
          </c:spPr>
        </c:majorGridlines>
        <c:title>
          <c:tx>
            <c:rich>
              <a:bodyPr/>
              <a:lstStyle/>
              <a:p>
                <a:pPr>
                  <a:defRPr b="0"/>
                </a:pPr>
                <a:r>
                  <a:rPr lang="en-ZA"/>
                  <a:t>Number</a:t>
                </a:r>
              </a:p>
            </c:rich>
          </c:tx>
          <c:layout>
            <c:manualLayout>
              <c:xMode val="edge"/>
              <c:yMode val="edge"/>
              <c:x val="5.6381811247952981E-2"/>
              <c:y val="0.26305744324249608"/>
            </c:manualLayout>
          </c:layout>
          <c:overlay val="0"/>
        </c:title>
        <c:numFmt formatCode="#\,##0" sourceLinked="0"/>
        <c:majorTickMark val="out"/>
        <c:minorTickMark val="none"/>
        <c:tickLblPos val="nextTo"/>
        <c:spPr>
          <a:ln w="3175">
            <a:solidFill>
              <a:schemeClr val="tx1"/>
            </a:solidFill>
          </a:ln>
        </c:spPr>
        <c:crossAx val="111919872"/>
        <c:crosses val="autoZero"/>
        <c:crossBetween val="between"/>
      </c:valAx>
    </c:plotArea>
    <c:legend>
      <c:legendPos val="b"/>
      <c:layout>
        <c:manualLayout>
          <c:xMode val="edge"/>
          <c:yMode val="edge"/>
          <c:x val="0.2364899939874496"/>
          <c:y val="0.16023124516130655"/>
          <c:w val="0.51166619557170734"/>
          <c:h val="0.11103370542417076"/>
        </c:manualLayout>
      </c:layout>
      <c:overlay val="0"/>
      <c:txPr>
        <a:bodyPr/>
        <a:lstStyle/>
        <a:p>
          <a:pPr>
            <a:defRPr sz="800"/>
          </a:pPr>
          <a:endParaRPr lang="en-US"/>
        </a:p>
      </c:txPr>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58244522191884E-2"/>
          <c:y val="4.7311827956989246E-2"/>
          <c:w val="0.88651065288983499"/>
          <c:h val="0.86089577512488358"/>
        </c:manualLayout>
      </c:layout>
      <c:barChart>
        <c:barDir val="col"/>
        <c:grouping val="clustered"/>
        <c:varyColors val="0"/>
        <c:ser>
          <c:idx val="0"/>
          <c:order val="0"/>
          <c:tx>
            <c:strRef>
              <c:f>Parolees!$D$9</c:f>
              <c:strCache>
                <c:ptCount val="1"/>
                <c:pt idx="0">
                  <c:v>Parolee Caseload</c:v>
                </c:pt>
              </c:strCache>
            </c:strRef>
          </c:tx>
          <c:invertIfNegative val="0"/>
          <c:cat>
            <c:strRef>
              <c:f>Parolees!$F$8:$AB$8</c:f>
              <c:strCache>
                <c:ptCount val="20"/>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strCache>
            </c:strRef>
          </c:cat>
          <c:val>
            <c:numRef>
              <c:f>Parolees!$F$9:$AB$9</c:f>
              <c:numCache>
                <c:formatCode>###\ ###\ ###</c:formatCode>
                <c:ptCount val="20"/>
                <c:pt idx="0">
                  <c:v>17433</c:v>
                </c:pt>
                <c:pt idx="1">
                  <c:v>21159</c:v>
                </c:pt>
                <c:pt idx="2">
                  <c:v>22724</c:v>
                </c:pt>
                <c:pt idx="3">
                  <c:v>22280</c:v>
                </c:pt>
                <c:pt idx="4">
                  <c:v>21659</c:v>
                </c:pt>
                <c:pt idx="5">
                  <c:v>24954</c:v>
                </c:pt>
                <c:pt idx="6">
                  <c:v>31562</c:v>
                </c:pt>
                <c:pt idx="7">
                  <c:v>24387</c:v>
                </c:pt>
                <c:pt idx="8">
                  <c:v>25899</c:v>
                </c:pt>
                <c:pt idx="9">
                  <c:v>30914</c:v>
                </c:pt>
                <c:pt idx="10">
                  <c:v>34299</c:v>
                </c:pt>
                <c:pt idx="11">
                  <c:v>36862</c:v>
                </c:pt>
                <c:pt idx="12">
                  <c:v>42059</c:v>
                </c:pt>
                <c:pt idx="13">
                  <c:v>47095</c:v>
                </c:pt>
                <c:pt idx="14">
                  <c:v>46259</c:v>
                </c:pt>
                <c:pt idx="15">
                  <c:v>49282</c:v>
                </c:pt>
                <c:pt idx="16">
                  <c:v>50855</c:v>
                </c:pt>
                <c:pt idx="17">
                  <c:v>51937</c:v>
                </c:pt>
                <c:pt idx="18">
                  <c:v>61698</c:v>
                </c:pt>
                <c:pt idx="19">
                  <c:v>53615</c:v>
                </c:pt>
              </c:numCache>
            </c:numRef>
          </c:val>
          <c:extLst>
            <c:ext xmlns:c16="http://schemas.microsoft.com/office/drawing/2014/chart" uri="{C3380CC4-5D6E-409C-BE32-E72D297353CC}">
              <c16:uniqueId val="{00000000-46E4-4C53-92D2-9592B1B35C47}"/>
            </c:ext>
          </c:extLst>
        </c:ser>
        <c:ser>
          <c:idx val="1"/>
          <c:order val="1"/>
          <c:tx>
            <c:strRef>
              <c:f>Parolees!$D$10</c:f>
              <c:strCache>
                <c:ptCount val="1"/>
                <c:pt idx="0">
                  <c:v>Parolee without Violations</c:v>
                </c:pt>
              </c:strCache>
            </c:strRef>
          </c:tx>
          <c:invertIfNegative val="0"/>
          <c:cat>
            <c:strRef>
              <c:f>Parolees!$F$8:$AB$8</c:f>
              <c:strCache>
                <c:ptCount val="20"/>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strCache>
            </c:strRef>
          </c:cat>
          <c:val>
            <c:numRef>
              <c:f>Parolees!$F$10:$AB$10</c:f>
              <c:numCache>
                <c:formatCode>###\ ###\ ###</c:formatCode>
                <c:ptCount val="20"/>
                <c:pt idx="0">
                  <c:v>5563.4944444444445</c:v>
                </c:pt>
                <c:pt idx="1">
                  <c:v>8364.9544770031989</c:v>
                </c:pt>
                <c:pt idx="2">
                  <c:v>10483.174880671688</c:v>
                </c:pt>
                <c:pt idx="3">
                  <c:v>10822.799212482736</c:v>
                </c:pt>
                <c:pt idx="4">
                  <c:v>10149.243128224562</c:v>
                </c:pt>
                <c:pt idx="5">
                  <c:v>11879.074162506331</c:v>
                </c:pt>
                <c:pt idx="6">
                  <c:v>21471.488074729146</c:v>
                </c:pt>
                <c:pt idx="7">
                  <c:v>17046.486689916452</c:v>
                </c:pt>
                <c:pt idx="8">
                  <c:v>17411.108003719331</c:v>
                </c:pt>
                <c:pt idx="9">
                  <c:v>21238.989963391057</c:v>
                </c:pt>
                <c:pt idx="10">
                  <c:v>23309.261182664286</c:v>
                </c:pt>
                <c:pt idx="11">
                  <c:v>25721.7098783314</c:v>
                </c:pt>
                <c:pt idx="12">
                  <c:v>28106.833916934149</c:v>
                </c:pt>
                <c:pt idx="13">
                  <c:v>35819</c:v>
                </c:pt>
                <c:pt idx="14">
                  <c:v>39269</c:v>
                </c:pt>
                <c:pt idx="15">
                  <c:v>46380</c:v>
                </c:pt>
                <c:pt idx="16">
                  <c:v>49928</c:v>
                </c:pt>
                <c:pt idx="17">
                  <c:v>51307</c:v>
                </c:pt>
                <c:pt idx="18">
                  <c:v>59230</c:v>
                </c:pt>
                <c:pt idx="19">
                  <c:v>54225</c:v>
                </c:pt>
              </c:numCache>
            </c:numRef>
          </c:val>
          <c:extLst>
            <c:ext xmlns:c16="http://schemas.microsoft.com/office/drawing/2014/chart" uri="{C3380CC4-5D6E-409C-BE32-E72D297353CC}">
              <c16:uniqueId val="{00000001-46E4-4C53-92D2-9592B1B35C47}"/>
            </c:ext>
          </c:extLst>
        </c:ser>
        <c:dLbls>
          <c:showLegendKey val="0"/>
          <c:showVal val="0"/>
          <c:showCatName val="0"/>
          <c:showSerName val="0"/>
          <c:showPercent val="0"/>
          <c:showBubbleSize val="0"/>
        </c:dLbls>
        <c:gapWidth val="150"/>
        <c:axId val="111178496"/>
        <c:axId val="111180032"/>
      </c:barChart>
      <c:catAx>
        <c:axId val="111178496"/>
        <c:scaling>
          <c:orientation val="minMax"/>
        </c:scaling>
        <c:delete val="0"/>
        <c:axPos val="b"/>
        <c:numFmt formatCode="General" sourceLinked="0"/>
        <c:majorTickMark val="out"/>
        <c:minorTickMark val="none"/>
        <c:tickLblPos val="nextTo"/>
        <c:crossAx val="111180032"/>
        <c:crosses val="autoZero"/>
        <c:auto val="1"/>
        <c:lblAlgn val="ctr"/>
        <c:lblOffset val="100"/>
        <c:noMultiLvlLbl val="0"/>
      </c:catAx>
      <c:valAx>
        <c:axId val="111180032"/>
        <c:scaling>
          <c:orientation val="minMax"/>
        </c:scaling>
        <c:delete val="0"/>
        <c:axPos val="l"/>
        <c:majorGridlines/>
        <c:numFmt formatCode="###\ ###\ ###" sourceLinked="1"/>
        <c:majorTickMark val="out"/>
        <c:minorTickMark val="none"/>
        <c:tickLblPos val="nextTo"/>
        <c:crossAx val="111178496"/>
        <c:crosses val="autoZero"/>
        <c:crossBetween val="between"/>
      </c:valAx>
    </c:plotArea>
    <c:legend>
      <c:legendPos val="r"/>
      <c:layout>
        <c:manualLayout>
          <c:xMode val="edge"/>
          <c:yMode val="edge"/>
          <c:x val="0.32774052766203798"/>
          <c:y val="6.0492453865845425E-2"/>
          <c:w val="0.19562183571168132"/>
          <c:h val="0.24739856314999489"/>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Arial"/>
                <a:ea typeface="Arial"/>
                <a:cs typeface="Arial"/>
              </a:defRPr>
            </a:pPr>
            <a:r>
              <a:rPr lang="en-ZA"/>
              <a:t>ROAD ACCIDENTS AND FATALITIES</a:t>
            </a:r>
          </a:p>
        </c:rich>
      </c:tx>
      <c:layout>
        <c:manualLayout>
          <c:xMode val="edge"/>
          <c:yMode val="edge"/>
          <c:x val="3.4716343754210802E-2"/>
          <c:y val="2.9801324503311452E-2"/>
        </c:manualLayout>
      </c:layout>
      <c:overlay val="0"/>
      <c:spPr>
        <a:noFill/>
        <a:ln w="25400">
          <a:noFill/>
        </a:ln>
        <a:effectLst/>
      </c:spPr>
      <c:txPr>
        <a:bodyPr rot="0" spcFirstLastPara="1" vertOverflow="ellipsis" vert="horz" wrap="square" anchor="ctr" anchorCtr="1"/>
        <a:lstStyle/>
        <a:p>
          <a:pPr>
            <a:defRPr sz="800" b="1" i="0" u="none" strike="noStrike" kern="1200" baseline="0">
              <a:solidFill>
                <a:srgbClr val="000000"/>
              </a:solidFill>
              <a:latin typeface="Arial"/>
              <a:ea typeface="Arial"/>
              <a:cs typeface="Arial"/>
            </a:defRPr>
          </a:pPr>
          <a:endParaRPr lang="en-US"/>
        </a:p>
      </c:txPr>
    </c:title>
    <c:autoTitleDeleted val="0"/>
    <c:plotArea>
      <c:layout>
        <c:manualLayout>
          <c:layoutTarget val="inner"/>
          <c:xMode val="edge"/>
          <c:yMode val="edge"/>
          <c:x val="5.0804403048264182E-2"/>
          <c:y val="0.14238410596026491"/>
          <c:w val="0.92718035563082135"/>
          <c:h val="0.55960264900662249"/>
        </c:manualLayout>
      </c:layout>
      <c:lineChart>
        <c:grouping val="standard"/>
        <c:varyColors val="0"/>
        <c:ser>
          <c:idx val="0"/>
          <c:order val="0"/>
          <c:tx>
            <c:strRef>
              <c:f>'Road Accidents'!$D$10</c:f>
              <c:strCache>
                <c:ptCount val="1"/>
                <c:pt idx="0">
                  <c:v>Fatal road accidents (per 10 000 motorised vehicles)</c:v>
                </c:pt>
              </c:strCache>
            </c:strRef>
          </c:tx>
          <c:spPr>
            <a:ln w="28575" cap="rnd" cmpd="sng" algn="ctr">
              <a:solidFill>
                <a:schemeClr val="accent2">
                  <a:shade val="76000"/>
                  <a:shade val="95000"/>
                  <a:satMod val="105000"/>
                </a:schemeClr>
              </a:solidFill>
              <a:prstDash val="solid"/>
              <a:round/>
            </a:ln>
            <a:effectLst/>
          </c:spPr>
          <c:marker>
            <c:symbol val="none"/>
          </c:marker>
          <c:cat>
            <c:numRef>
              <c:f>'Road Accidents'!$F$8:$AB$8</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'Road Accidents'!$F$10:$AB$10</c:f>
              <c:numCache>
                <c:formatCode>0.00</c:formatCode>
                <c:ptCount val="23"/>
                <c:pt idx="0">
                  <c:v>15.670650390715078</c:v>
                </c:pt>
                <c:pt idx="1">
                  <c:v>13.640405807845433</c:v>
                </c:pt>
                <c:pt idx="2">
                  <c:v>13.435928074043851</c:v>
                </c:pt>
                <c:pt idx="3">
                  <c:v>12.442247939554619</c:v>
                </c:pt>
                <c:pt idx="4">
                  <c:v>12.399280125695126</c:v>
                </c:pt>
                <c:pt idx="5">
                  <c:v>11.070540676322352</c:v>
                </c:pt>
                <c:pt idx="6">
                  <c:v>14.389547715033988</c:v>
                </c:pt>
                <c:pt idx="7">
                  <c:v>16.078908375453878</c:v>
                </c:pt>
                <c:pt idx="8">
                  <c:v>16.105346052508132</c:v>
                </c:pt>
                <c:pt idx="9">
                  <c:v>16.200419054301495</c:v>
                </c:pt>
                <c:pt idx="10">
                  <c:v>17.001266837751331</c:v>
                </c:pt>
                <c:pt idx="11">
                  <c:v>16.853117356539293</c:v>
                </c:pt>
                <c:pt idx="12">
                  <c:v>15.216541803651122</c:v>
                </c:pt>
                <c:pt idx="13">
                  <c:v>13.103889344718821</c:v>
                </c:pt>
                <c:pt idx="14">
                  <c:v>12.804881824338889</c:v>
                </c:pt>
                <c:pt idx="15">
                  <c:v>12.444594596689546</c:v>
                </c:pt>
                <c:pt idx="16">
                  <c:v>12.498350463743012</c:v>
                </c:pt>
                <c:pt idx="17">
                  <c:v>11.744860165868198</c:v>
                </c:pt>
                <c:pt idx="18">
                  <c:v>10.456750233271899</c:v>
                </c:pt>
                <c:pt idx="19">
                  <c:v>10.285014549272654</c:v>
                </c:pt>
                <c:pt idx="20">
                  <c:v>10.197223017437368</c:v>
                </c:pt>
                <c:pt idx="21">
                  <c:v>10.928734142115196</c:v>
                </c:pt>
                <c:pt idx="22">
                  <c:v>10.485973097065665</c:v>
                </c:pt>
              </c:numCache>
            </c:numRef>
          </c:val>
          <c:smooth val="0"/>
          <c:extLst>
            <c:ext xmlns:c16="http://schemas.microsoft.com/office/drawing/2014/chart" uri="{C3380CC4-5D6E-409C-BE32-E72D297353CC}">
              <c16:uniqueId val="{00000000-B60F-4F3A-A19A-396BB0CD4BCB}"/>
            </c:ext>
          </c:extLst>
        </c:ser>
        <c:ser>
          <c:idx val="1"/>
          <c:order val="1"/>
          <c:tx>
            <c:strRef>
              <c:f>'Road Accidents'!$D$11</c:f>
              <c:strCache>
                <c:ptCount val="1"/>
                <c:pt idx="0">
                  <c:v>Fatalities (per 10 000 motorised vehicles)</c:v>
                </c:pt>
              </c:strCache>
            </c:strRef>
          </c:tx>
          <c:spPr>
            <a:ln w="28575" cap="rnd" cmpd="sng" algn="ctr">
              <a:solidFill>
                <a:schemeClr val="accent2">
                  <a:tint val="77000"/>
                  <a:shade val="95000"/>
                  <a:satMod val="105000"/>
                </a:schemeClr>
              </a:solidFill>
              <a:prstDash val="solid"/>
              <a:round/>
            </a:ln>
            <a:effectLst/>
          </c:spPr>
          <c:marker>
            <c:symbol val="none"/>
          </c:marker>
          <c:cat>
            <c:numRef>
              <c:f>'Road Accidents'!$F$8:$AB$8</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'Road Accidents'!$F$11:$AB$11</c:f>
              <c:numCache>
                <c:formatCode>0.00</c:formatCode>
                <c:ptCount val="23"/>
                <c:pt idx="0">
                  <c:v>19.282326383584142</c:v>
                </c:pt>
                <c:pt idx="1">
                  <c:v>17.112193171421886</c:v>
                </c:pt>
                <c:pt idx="2">
                  <c:v>16.714708467979325</c:v>
                </c:pt>
                <c:pt idx="3">
                  <c:v>15.540813266650316</c:v>
                </c:pt>
                <c:pt idx="4">
                  <c:v>17.771400812134271</c:v>
                </c:pt>
                <c:pt idx="5">
                  <c:v>14.07892985546969</c:v>
                </c:pt>
                <c:pt idx="6">
                  <c:v>18.311820447907127</c:v>
                </c:pt>
                <c:pt idx="7">
                  <c:v>19.666189665470291</c:v>
                </c:pt>
                <c:pt idx="8">
                  <c:v>19.509829668850344</c:v>
                </c:pt>
                <c:pt idx="9">
                  <c:v>19.507857967925364</c:v>
                </c:pt>
                <c:pt idx="10">
                  <c:v>20.475962882567707</c:v>
                </c:pt>
                <c:pt idx="11">
                  <c:v>20.862387140232475</c:v>
                </c:pt>
                <c:pt idx="12">
                  <c:v>18.902132835348745</c:v>
                </c:pt>
                <c:pt idx="13">
                  <c:v>16.697302035917513</c:v>
                </c:pt>
                <c:pt idx="14">
                  <c:v>16.238151695449741</c:v>
                </c:pt>
                <c:pt idx="15">
                  <c:v>16.038908621570812</c:v>
                </c:pt>
                <c:pt idx="16">
                  <c:v>15.532773634758637</c:v>
                </c:pt>
                <c:pt idx="17">
                  <c:v>14.474307035061035</c:v>
                </c:pt>
                <c:pt idx="18">
                  <c:v>12.17794982919099</c:v>
                </c:pt>
                <c:pt idx="19">
                  <c:v>12.601548645207028</c:v>
                </c:pt>
                <c:pt idx="20">
                  <c:v>12.436903301395391</c:v>
                </c:pt>
                <c:pt idx="21">
                  <c:v>13.170453761022861</c:v>
                </c:pt>
                <c:pt idx="22">
                  <c:v>12.881692927670944</c:v>
                </c:pt>
              </c:numCache>
            </c:numRef>
          </c:val>
          <c:smooth val="0"/>
          <c:extLst>
            <c:ext xmlns:c16="http://schemas.microsoft.com/office/drawing/2014/chart" uri="{C3380CC4-5D6E-409C-BE32-E72D297353CC}">
              <c16:uniqueId val="{00000001-B60F-4F3A-A19A-396BB0CD4BCB}"/>
            </c:ext>
          </c:extLst>
        </c:ser>
        <c:dLbls>
          <c:showLegendKey val="0"/>
          <c:showVal val="0"/>
          <c:showCatName val="0"/>
          <c:showSerName val="0"/>
          <c:showPercent val="0"/>
          <c:showBubbleSize val="0"/>
        </c:dLbls>
        <c:smooth val="0"/>
        <c:axId val="338703712"/>
        <c:axId val="338704272"/>
      </c:lineChart>
      <c:catAx>
        <c:axId val="338703712"/>
        <c:scaling>
          <c:orientation val="minMax"/>
        </c:scaling>
        <c:delete val="0"/>
        <c:axPos val="b"/>
        <c:title>
          <c:tx>
            <c:rich>
              <a:bodyPr rot="0" spcFirstLastPara="1" vertOverflow="ellipsis" vert="horz" wrap="square" anchor="ctr" anchorCtr="1"/>
              <a:lstStyle/>
              <a:p>
                <a:pPr>
                  <a:defRPr sz="850" b="0" i="0" u="none" strike="noStrike" kern="1200" baseline="0">
                    <a:solidFill>
                      <a:srgbClr val="000000"/>
                    </a:solidFill>
                    <a:latin typeface="Arial"/>
                    <a:ea typeface="Arial"/>
                    <a:cs typeface="Arial"/>
                  </a:defRPr>
                </a:pPr>
                <a:r>
                  <a:rPr lang="en-ZA"/>
                  <a:t>Years</a:t>
                </a:r>
              </a:p>
            </c:rich>
          </c:tx>
          <c:layout>
            <c:manualLayout>
              <c:xMode val="edge"/>
              <c:yMode val="edge"/>
              <c:x val="0.49957667439076198"/>
              <c:y val="0.7913907284768212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rgbClr val="000000"/>
                  </a:solidFill>
                  <a:latin typeface="Arial"/>
                  <a:ea typeface="Arial"/>
                  <a:cs typeface="Arial"/>
                </a:defRPr>
              </a:pPr>
              <a:endParaRPr lang="en-US"/>
            </a:p>
          </c:txPr>
        </c:title>
        <c:numFmt formatCode="General" sourceLinked="1"/>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Arial"/>
                <a:ea typeface="Arial"/>
                <a:cs typeface="Arial"/>
              </a:defRPr>
            </a:pPr>
            <a:endParaRPr lang="en-US"/>
          </a:p>
        </c:txPr>
        <c:crossAx val="338704272"/>
        <c:crosses val="autoZero"/>
        <c:auto val="1"/>
        <c:lblAlgn val="ctr"/>
        <c:lblOffset val="100"/>
        <c:tickLblSkip val="1"/>
        <c:tickMarkSkip val="1"/>
        <c:noMultiLvlLbl val="0"/>
      </c:catAx>
      <c:valAx>
        <c:axId val="338704272"/>
        <c:scaling>
          <c:orientation val="minMax"/>
          <c:min val="5"/>
        </c:scaling>
        <c:delete val="0"/>
        <c:axPos val="l"/>
        <c:majorGridlines>
          <c:spPr>
            <a:ln w="3175" cap="flat" cmpd="sng" algn="ctr">
              <a:solidFill>
                <a:srgbClr val="C0C0C0"/>
              </a:solidFill>
              <a:prstDash val="sysDash"/>
              <a:round/>
            </a:ln>
            <a:effectLst/>
          </c:spPr>
        </c:majorGridlines>
        <c:title>
          <c:tx>
            <c:rich>
              <a:bodyPr rot="-5400000" spcFirstLastPara="1" vertOverflow="ellipsis" vert="horz" wrap="square" anchor="ctr" anchorCtr="1"/>
              <a:lstStyle/>
              <a:p>
                <a:pPr>
                  <a:defRPr sz="850" b="0" i="0" u="none" strike="noStrike" kern="1200" baseline="0">
                    <a:solidFill>
                      <a:srgbClr val="000000"/>
                    </a:solidFill>
                    <a:latin typeface="Arial"/>
                    <a:ea typeface="Arial"/>
                    <a:cs typeface="Arial"/>
                  </a:defRPr>
                </a:pPr>
                <a:r>
                  <a:rPr lang="en-ZA"/>
                  <a:t>rate</a:t>
                </a:r>
              </a:p>
            </c:rich>
          </c:tx>
          <c:layout>
            <c:manualLayout>
              <c:xMode val="edge"/>
              <c:yMode val="edge"/>
              <c:x val="1.4394664875133556E-2"/>
              <c:y val="0.38410596026490629"/>
            </c:manualLayout>
          </c:layout>
          <c:overlay val="0"/>
          <c:spPr>
            <a:noFill/>
            <a:ln w="25400">
              <a:noFill/>
            </a:ln>
            <a:effectLst/>
          </c:spPr>
          <c:txPr>
            <a:bodyPr rot="-5400000" spcFirstLastPara="1" vertOverflow="ellipsis" vert="horz" wrap="square" anchor="ctr" anchorCtr="1"/>
            <a:lstStyle/>
            <a:p>
              <a:pPr>
                <a:defRPr sz="850" b="0" i="0" u="none" strike="noStrike" kern="1200" baseline="0">
                  <a:solidFill>
                    <a:srgbClr val="000000"/>
                  </a:solidFill>
                  <a:latin typeface="Arial"/>
                  <a:ea typeface="Arial"/>
                  <a:cs typeface="Arial"/>
                </a:defRPr>
              </a:pPr>
              <a:endParaRPr lang="en-US"/>
            </a:p>
          </c:txPr>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Arial"/>
                <a:ea typeface="Arial"/>
                <a:cs typeface="Arial"/>
              </a:defRPr>
            </a:pPr>
            <a:endParaRPr lang="en-US"/>
          </a:p>
        </c:txPr>
        <c:crossAx val="338703712"/>
        <c:crosses val="autoZero"/>
        <c:crossBetween val="midCat"/>
        <c:majorUnit val="2.5"/>
        <c:minorUnit val="0.5"/>
      </c:valAx>
      <c:spPr>
        <a:solidFill>
          <a:srgbClr val="FFFFFF"/>
        </a:solidFill>
        <a:ln w="12700">
          <a:solidFill>
            <a:srgbClr val="808080"/>
          </a:solidFill>
          <a:prstDash val="solid"/>
        </a:ln>
        <a:effectLst/>
      </c:spPr>
    </c:plotArea>
    <c:legend>
      <c:legendPos val="r"/>
      <c:layout>
        <c:manualLayout>
          <c:xMode val="edge"/>
          <c:yMode val="edge"/>
          <c:x val="0.26670426334085617"/>
          <c:y val="0.84931847703798025"/>
          <c:w val="0.61931537361043865"/>
          <c:h val="9.3151058771908227E-2"/>
        </c:manualLayout>
      </c:layout>
      <c:overlay val="0"/>
      <c:spPr>
        <a:solidFill>
          <a:srgbClr val="FFFFFF"/>
        </a:solidFill>
        <a:ln w="25400">
          <a:noFill/>
        </a:ln>
        <a:effectLst/>
      </c:spPr>
      <c:txPr>
        <a:bodyPr rot="0" spcFirstLastPara="1" vertOverflow="ellipsis" vert="horz" wrap="square" anchor="ctr" anchorCtr="1"/>
        <a:lstStyle/>
        <a:p>
          <a:pPr>
            <a:defRPr sz="8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6"/>
          <c:order val="0"/>
          <c:tx>
            <c:strRef>
              <c:f>'Peace Operations'!$D$32</c:f>
              <c:strCache>
                <c:ptCount val="1"/>
                <c:pt idx="0">
                  <c:v>Total number of personnel deployed</c:v>
                </c:pt>
              </c:strCache>
            </c:strRef>
          </c:tx>
          <c:invertIfNegative val="0"/>
          <c:cat>
            <c:numRef>
              <c:f>'Peace Operations'!$E$9:$T$9</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'Peace Operations'!$E$32:$T$32</c:f>
              <c:numCache>
                <c:formatCode>General</c:formatCode>
                <c:ptCount val="16"/>
                <c:pt idx="0">
                  <c:v>118</c:v>
                </c:pt>
                <c:pt idx="1">
                  <c:v>870</c:v>
                </c:pt>
                <c:pt idx="2">
                  <c:v>925</c:v>
                </c:pt>
                <c:pt idx="3" formatCode="#,##0">
                  <c:v>7966</c:v>
                </c:pt>
                <c:pt idx="4" formatCode="#,##0">
                  <c:v>2894</c:v>
                </c:pt>
                <c:pt idx="5" formatCode="#,##0">
                  <c:v>2846</c:v>
                </c:pt>
                <c:pt idx="6" formatCode="#,##0">
                  <c:v>3071</c:v>
                </c:pt>
                <c:pt idx="7" formatCode="#,##0">
                  <c:v>2632</c:v>
                </c:pt>
                <c:pt idx="8" formatCode="#,##0">
                  <c:v>3054</c:v>
                </c:pt>
                <c:pt idx="9" formatCode="#,##0">
                  <c:v>2242</c:v>
                </c:pt>
                <c:pt idx="10" formatCode="#,##0">
                  <c:v>2207</c:v>
                </c:pt>
                <c:pt idx="11" formatCode="#,##0">
                  <c:v>2141</c:v>
                </c:pt>
                <c:pt idx="12" formatCode="#,##0">
                  <c:v>1201</c:v>
                </c:pt>
                <c:pt idx="13" formatCode="#,##0">
                  <c:v>2253</c:v>
                </c:pt>
                <c:pt idx="14" formatCode="#,##0">
                  <c:v>2236</c:v>
                </c:pt>
                <c:pt idx="15" formatCode="#,##0">
                  <c:v>2218</c:v>
                </c:pt>
              </c:numCache>
            </c:numRef>
          </c:val>
          <c:extLst>
            <c:ext xmlns:c16="http://schemas.microsoft.com/office/drawing/2014/chart" uri="{C3380CC4-5D6E-409C-BE32-E72D297353CC}">
              <c16:uniqueId val="{00000000-84A8-490C-938F-D800FC713EF3}"/>
            </c:ext>
          </c:extLst>
        </c:ser>
        <c:dLbls>
          <c:showLegendKey val="0"/>
          <c:showVal val="0"/>
          <c:showCatName val="0"/>
          <c:showSerName val="0"/>
          <c:showPercent val="0"/>
          <c:showBubbleSize val="0"/>
        </c:dLbls>
        <c:gapWidth val="150"/>
        <c:axId val="332470288"/>
        <c:axId val="332470672"/>
      </c:barChart>
      <c:catAx>
        <c:axId val="332470288"/>
        <c:scaling>
          <c:orientation val="minMax"/>
        </c:scaling>
        <c:delete val="0"/>
        <c:axPos val="b"/>
        <c:numFmt formatCode="General" sourceLinked="1"/>
        <c:majorTickMark val="out"/>
        <c:minorTickMark val="none"/>
        <c:tickLblPos val="nextTo"/>
        <c:crossAx val="332470672"/>
        <c:crosses val="autoZero"/>
        <c:auto val="1"/>
        <c:lblAlgn val="ctr"/>
        <c:lblOffset val="100"/>
        <c:noMultiLvlLbl val="0"/>
      </c:catAx>
      <c:valAx>
        <c:axId val="332470672"/>
        <c:scaling>
          <c:orientation val="minMax"/>
        </c:scaling>
        <c:delete val="0"/>
        <c:axPos val="l"/>
        <c:majorGridlines>
          <c:spPr>
            <a:ln w="3175">
              <a:prstDash val="sysDash"/>
            </a:ln>
          </c:spPr>
        </c:majorGridlines>
        <c:title>
          <c:tx>
            <c:rich>
              <a:bodyPr rot="-5400000" vert="horz"/>
              <a:lstStyle/>
              <a:p>
                <a:pPr>
                  <a:defRPr b="0"/>
                </a:pPr>
                <a:r>
                  <a:rPr lang="en-US" b="0"/>
                  <a:t>Number</a:t>
                </a:r>
              </a:p>
            </c:rich>
          </c:tx>
          <c:overlay val="0"/>
        </c:title>
        <c:numFmt formatCode="#\,###\,###" sourceLinked="0"/>
        <c:majorTickMark val="out"/>
        <c:minorTickMark val="none"/>
        <c:tickLblPos val="nextTo"/>
        <c:crossAx val="332470288"/>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overlay val="0"/>
      <c:spPr>
        <a:noFill/>
        <a:ln w="25400">
          <a:noFill/>
        </a:ln>
      </c:spPr>
    </c:title>
    <c:autoTitleDeleted val="0"/>
    <c:plotArea>
      <c:layout>
        <c:manualLayout>
          <c:layoutTarget val="inner"/>
          <c:xMode val="edge"/>
          <c:yMode val="edge"/>
          <c:x val="6.0939248921359386E-2"/>
          <c:y val="0.16455927093993888"/>
          <c:w val="0.80930952397887934"/>
          <c:h val="0.75138494935971623"/>
        </c:manualLayout>
      </c:layout>
      <c:barChart>
        <c:barDir val="col"/>
        <c:grouping val="clustered"/>
        <c:varyColors val="0"/>
        <c:ser>
          <c:idx val="2"/>
          <c:order val="1"/>
          <c:tx>
            <c:strRef>
              <c:f>'Development cooperation'!$D$10</c:f>
              <c:strCache>
                <c:ptCount val="1"/>
                <c:pt idx="0">
                  <c:v>Amount (R 'million)</c:v>
                </c:pt>
              </c:strCache>
            </c:strRef>
          </c:tx>
          <c:invertIfNegative val="0"/>
          <c:dLbls>
            <c:dLbl>
              <c:idx val="11"/>
              <c:layout>
                <c:manualLayout>
                  <c:x val="0.16706121725533604"/>
                  <c:y val="-0.18731977136810155"/>
                </c:manualLayout>
              </c:layout>
              <c:tx>
                <c:rich>
                  <a:bodyPr/>
                  <a:lstStyle/>
                  <a:p>
                    <a:r>
                      <a:rPr lang="en-US"/>
                      <a:t>Amount (R 'million)</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172-4FE0-9008-F1174475500D}"/>
                </c:ext>
              </c:extLst>
            </c:dLbl>
            <c:spPr>
              <a:noFill/>
              <a:ln>
                <a:noFill/>
              </a:ln>
              <a:effectLst/>
            </c:spPr>
            <c:txPr>
              <a:bodyPr rot="-5400000" vert="horz"/>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'Development cooperation'!$E$8:$R$8</c:f>
              <c:strCache>
                <c:ptCount val="14"/>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strCache>
            </c:strRef>
          </c:cat>
          <c:val>
            <c:numRef>
              <c:f>'Development cooperation'!$E$10:$S$10</c:f>
              <c:numCache>
                <c:formatCode>#\ ###\ ###</c:formatCode>
                <c:ptCount val="15"/>
                <c:pt idx="0">
                  <c:v>57</c:v>
                </c:pt>
                <c:pt idx="1">
                  <c:v>62.08</c:v>
                </c:pt>
                <c:pt idx="2">
                  <c:v>19.100000000000001</c:v>
                </c:pt>
                <c:pt idx="3">
                  <c:v>94.899999999999991</c:v>
                </c:pt>
                <c:pt idx="4">
                  <c:v>387.40000000000003</c:v>
                </c:pt>
                <c:pt idx="5">
                  <c:v>1174.1089999999999</c:v>
                </c:pt>
                <c:pt idx="6">
                  <c:v>777</c:v>
                </c:pt>
                <c:pt idx="7">
                  <c:v>331</c:v>
                </c:pt>
                <c:pt idx="8">
                  <c:v>0</c:v>
                </c:pt>
                <c:pt idx="9">
                  <c:v>270.63600000000002</c:v>
                </c:pt>
                <c:pt idx="10">
                  <c:v>778.36599999999999</c:v>
                </c:pt>
                <c:pt idx="11">
                  <c:v>51.004999999999995</c:v>
                </c:pt>
                <c:pt idx="12">
                  <c:v>189</c:v>
                </c:pt>
                <c:pt idx="13" formatCode="General">
                  <c:v>199</c:v>
                </c:pt>
                <c:pt idx="14" formatCode="General">
                  <c:v>91</c:v>
                </c:pt>
              </c:numCache>
            </c:numRef>
          </c:val>
          <c:extLst>
            <c:ext xmlns:c16="http://schemas.microsoft.com/office/drawing/2014/chart" uri="{C3380CC4-5D6E-409C-BE32-E72D297353CC}">
              <c16:uniqueId val="{00000001-2172-4FE0-9008-F1174475500D}"/>
            </c:ext>
          </c:extLst>
        </c:ser>
        <c:dLbls>
          <c:showLegendKey val="0"/>
          <c:showVal val="0"/>
          <c:showCatName val="0"/>
          <c:showSerName val="0"/>
          <c:showPercent val="0"/>
          <c:showBubbleSize val="0"/>
        </c:dLbls>
        <c:gapWidth val="150"/>
        <c:axId val="251051392"/>
        <c:axId val="251052176"/>
      </c:barChart>
      <c:lineChart>
        <c:grouping val="standard"/>
        <c:varyColors val="0"/>
        <c:ser>
          <c:idx val="1"/>
          <c:order val="0"/>
          <c:tx>
            <c:strRef>
              <c:f>'Development cooperation'!$D$9</c:f>
              <c:strCache>
                <c:ptCount val="1"/>
                <c:pt idx="0">
                  <c:v>Number of initiatives</c:v>
                </c:pt>
              </c:strCache>
            </c:strRef>
          </c:tx>
          <c:spPr>
            <a:ln w="12700">
              <a:solidFill>
                <a:srgbClr val="000000"/>
              </a:solidFill>
              <a:prstDash val="solid"/>
            </a:ln>
          </c:spPr>
          <c:marker>
            <c:symbol val="none"/>
          </c:marker>
          <c:cat>
            <c:strRef>
              <c:f>'Development cooperation'!$E$8:$S$8</c:f>
              <c:strCache>
                <c:ptCount val="15"/>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strCache>
            </c:strRef>
          </c:cat>
          <c:val>
            <c:numRef>
              <c:f>'Development cooperation'!$E$9:$S$9</c:f>
              <c:numCache>
                <c:formatCode>General</c:formatCode>
                <c:ptCount val="15"/>
                <c:pt idx="0">
                  <c:v>4</c:v>
                </c:pt>
                <c:pt idx="1">
                  <c:v>6</c:v>
                </c:pt>
                <c:pt idx="2">
                  <c:v>6</c:v>
                </c:pt>
                <c:pt idx="3">
                  <c:v>4</c:v>
                </c:pt>
                <c:pt idx="4">
                  <c:v>10</c:v>
                </c:pt>
                <c:pt idx="5">
                  <c:v>12</c:v>
                </c:pt>
                <c:pt idx="6">
                  <c:v>9</c:v>
                </c:pt>
                <c:pt idx="7">
                  <c:v>4</c:v>
                </c:pt>
                <c:pt idx="8">
                  <c:v>1</c:v>
                </c:pt>
                <c:pt idx="9">
                  <c:v>7</c:v>
                </c:pt>
                <c:pt idx="10">
                  <c:v>15</c:v>
                </c:pt>
                <c:pt idx="11">
                  <c:v>3</c:v>
                </c:pt>
                <c:pt idx="12">
                  <c:v>7</c:v>
                </c:pt>
                <c:pt idx="13">
                  <c:v>6</c:v>
                </c:pt>
                <c:pt idx="14">
                  <c:v>6</c:v>
                </c:pt>
              </c:numCache>
            </c:numRef>
          </c:val>
          <c:smooth val="0"/>
          <c:extLst>
            <c:ext xmlns:c16="http://schemas.microsoft.com/office/drawing/2014/chart" uri="{C3380CC4-5D6E-409C-BE32-E72D297353CC}">
              <c16:uniqueId val="{00000002-2172-4FE0-9008-F1174475500D}"/>
            </c:ext>
          </c:extLst>
        </c:ser>
        <c:dLbls>
          <c:showLegendKey val="0"/>
          <c:showVal val="0"/>
          <c:showCatName val="0"/>
          <c:showSerName val="0"/>
          <c:showPercent val="0"/>
          <c:showBubbleSize val="0"/>
        </c:dLbls>
        <c:marker val="1"/>
        <c:smooth val="0"/>
        <c:axId val="251049040"/>
        <c:axId val="251051784"/>
      </c:lineChart>
      <c:catAx>
        <c:axId val="2510490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051784"/>
        <c:crosses val="autoZero"/>
        <c:auto val="1"/>
        <c:lblAlgn val="ctr"/>
        <c:lblOffset val="100"/>
        <c:tickLblSkip val="1"/>
        <c:tickMarkSkip val="1"/>
        <c:noMultiLvlLbl val="0"/>
      </c:catAx>
      <c:valAx>
        <c:axId val="25105178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Number of initiatives</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1049040"/>
        <c:crosses val="autoZero"/>
        <c:crossBetween val="between"/>
      </c:valAx>
      <c:valAx>
        <c:axId val="251052176"/>
        <c:scaling>
          <c:orientation val="minMax"/>
        </c:scaling>
        <c:delete val="0"/>
        <c:axPos val="r"/>
        <c:numFmt formatCode="#\ ###\ ###" sourceLinked="1"/>
        <c:majorTickMark val="out"/>
        <c:minorTickMark val="none"/>
        <c:tickLblPos val="nextTo"/>
        <c:crossAx val="251051392"/>
        <c:crosses val="max"/>
        <c:crossBetween val="between"/>
      </c:valAx>
      <c:catAx>
        <c:axId val="251051392"/>
        <c:scaling>
          <c:orientation val="minMax"/>
        </c:scaling>
        <c:delete val="1"/>
        <c:axPos val="b"/>
        <c:numFmt formatCode="General" sourceLinked="1"/>
        <c:majorTickMark val="out"/>
        <c:minorTickMark val="none"/>
        <c:tickLblPos val="nextTo"/>
        <c:crossAx val="251052176"/>
        <c:crosses val="autoZero"/>
        <c:auto val="1"/>
        <c:lblAlgn val="ctr"/>
        <c:lblOffset val="100"/>
        <c:noMultiLvlLbl val="0"/>
      </c:cat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ZA" b="1"/>
              <a:t>Tourism in South Africa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136968159638984"/>
          <c:y val="0.12445290919549158"/>
          <c:w val="0.80605088785454915"/>
          <c:h val="0.67780692898305095"/>
        </c:manualLayout>
      </c:layout>
      <c:barChart>
        <c:barDir val="col"/>
        <c:grouping val="clustered"/>
        <c:varyColors val="0"/>
        <c:ser>
          <c:idx val="1"/>
          <c:order val="0"/>
          <c:tx>
            <c:strRef>
              <c:f>[27]Sheet1!$A$3</c:f>
              <c:strCache>
                <c:ptCount val="1"/>
                <c:pt idx="0">
                  <c:v>Direct Contribution to employment</c:v>
                </c:pt>
              </c:strCache>
            </c:strRef>
          </c:tx>
          <c:spPr>
            <a:solidFill>
              <a:schemeClr val="accent2"/>
            </a:solidFill>
            <a:ln>
              <a:noFill/>
            </a:ln>
            <a:effectLst/>
          </c:spPr>
          <c:invertIfNegative val="0"/>
          <c:cat>
            <c:strRef>
              <c:f>[27]Sheet1!$B$1:$N$1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[27]Sheet1!$B$3:$N$3</c:f>
              <c:numCache>
                <c:formatCode>General</c:formatCode>
                <c:ptCount val="13"/>
                <c:pt idx="0">
                  <c:v>0</c:v>
                </c:pt>
                <c:pt idx="1">
                  <c:v>137.33793103448275</c:v>
                </c:pt>
                <c:pt idx="2">
                  <c:v>569688</c:v>
                </c:pt>
                <c:pt idx="3">
                  <c:v>71.121428571428567</c:v>
                </c:pt>
                <c:pt idx="4">
                  <c:v>547934</c:v>
                </c:pt>
                <c:pt idx="5">
                  <c:v>711.21428571428578</c:v>
                </c:pt>
                <c:pt idx="6">
                  <c:v>622929</c:v>
                </c:pt>
                <c:pt idx="7">
                  <c:v>646390</c:v>
                </c:pt>
                <c:pt idx="8">
                  <c:v>657766</c:v>
                </c:pt>
                <c:pt idx="9">
                  <c:v>681915</c:v>
                </c:pt>
                <c:pt idx="10">
                  <c:v>668651</c:v>
                </c:pt>
                <c:pt idx="11">
                  <c:v>686596</c:v>
                </c:pt>
              </c:numCache>
            </c:numRef>
          </c:val>
          <c:extLst>
            <c:ext xmlns:c16="http://schemas.microsoft.com/office/drawing/2014/chart" uri="{C3380CC4-5D6E-409C-BE32-E72D297353CC}">
              <c16:uniqueId val="{00000000-561E-4343-BCF8-A19736359A51}"/>
            </c:ext>
          </c:extLst>
        </c:ser>
        <c:ser>
          <c:idx val="2"/>
          <c:order val="1"/>
          <c:tx>
            <c:strRef>
              <c:f>[27]Sheet1!$A$4</c:f>
              <c:strCache>
                <c:ptCount val="1"/>
                <c:pt idx="0">
                  <c:v>Total (Direct and Indirect) contribution of Travel and tourism to employment</c:v>
                </c:pt>
              </c:strCache>
            </c:strRef>
          </c:tx>
          <c:spPr>
            <a:solidFill>
              <a:schemeClr val="accent3"/>
            </a:solidFill>
            <a:ln>
              <a:noFill/>
            </a:ln>
            <a:effectLst/>
          </c:spPr>
          <c:invertIfNegative val="0"/>
          <c:cat>
            <c:strRef>
              <c:f>[27]Sheet1!$B$1:$N$1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[27]Sheet1!$B$4:$N$4</c:f>
              <c:numCache>
                <c:formatCode>General</c:formatCode>
                <c:ptCount val="13"/>
                <c:pt idx="0">
                  <c:v>0</c:v>
                </c:pt>
                <c:pt idx="1">
                  <c:v>1400900</c:v>
                </c:pt>
                <c:pt idx="2">
                  <c:v>1378100</c:v>
                </c:pt>
                <c:pt idx="3">
                  <c:v>1488300</c:v>
                </c:pt>
                <c:pt idx="4">
                  <c:v>1417900</c:v>
                </c:pt>
                <c:pt idx="5">
                  <c:v>1351300</c:v>
                </c:pt>
                <c:pt idx="6">
                  <c:v>1336800</c:v>
                </c:pt>
                <c:pt idx="7">
                  <c:v>1431000</c:v>
                </c:pt>
                <c:pt idx="8">
                  <c:v>1446000</c:v>
                </c:pt>
                <c:pt idx="9">
                  <c:v>1492900</c:v>
                </c:pt>
                <c:pt idx="10">
                  <c:v>1543400</c:v>
                </c:pt>
                <c:pt idx="11">
                  <c:v>1541900</c:v>
                </c:pt>
                <c:pt idx="12">
                  <c:v>1530300</c:v>
                </c:pt>
              </c:numCache>
            </c:numRef>
          </c:val>
          <c:extLst>
            <c:ext xmlns:c16="http://schemas.microsoft.com/office/drawing/2014/chart" uri="{C3380CC4-5D6E-409C-BE32-E72D297353CC}">
              <c16:uniqueId val="{00000001-561E-4343-BCF8-A19736359A51}"/>
            </c:ext>
          </c:extLst>
        </c:ser>
        <c:dLbls>
          <c:showLegendKey val="0"/>
          <c:showVal val="0"/>
          <c:showCatName val="0"/>
          <c:showSerName val="0"/>
          <c:showPercent val="0"/>
          <c:showBubbleSize val="0"/>
        </c:dLbls>
        <c:gapWidth val="75"/>
        <c:overlap val="-25"/>
        <c:axId val="595894432"/>
        <c:axId val="595897712"/>
      </c:barChart>
      <c:lineChart>
        <c:grouping val="standard"/>
        <c:varyColors val="0"/>
        <c:ser>
          <c:idx val="3"/>
          <c:order val="2"/>
          <c:tx>
            <c:strRef>
              <c:f>[27]Sheet1!$A$5</c:f>
              <c:strCache>
                <c:ptCount val="1"/>
                <c:pt idx="0">
                  <c:v>Direct contribution to Gross domestic Product (GDP)</c:v>
                </c:pt>
              </c:strCache>
            </c:strRef>
          </c:tx>
          <c:spPr>
            <a:ln w="28575" cap="rnd">
              <a:solidFill>
                <a:schemeClr val="accent4"/>
              </a:solidFill>
              <a:round/>
            </a:ln>
            <a:effectLst/>
          </c:spPr>
          <c:marker>
            <c:symbol val="none"/>
          </c:marker>
          <c:cat>
            <c:strRef>
              <c:f>[27]Sheet1!$B$1:$N$1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[27]Sheet1!$B$5:$N$5</c:f>
              <c:numCache>
                <c:formatCode>General</c:formatCode>
                <c:ptCount val="13"/>
                <c:pt idx="0">
                  <c:v>0</c:v>
                </c:pt>
                <c:pt idx="1">
                  <c:v>54.4</c:v>
                </c:pt>
                <c:pt idx="2">
                  <c:v>59.8</c:v>
                </c:pt>
                <c:pt idx="3">
                  <c:v>67.2</c:v>
                </c:pt>
                <c:pt idx="4">
                  <c:v>68.8</c:v>
                </c:pt>
                <c:pt idx="5">
                  <c:v>88.4</c:v>
                </c:pt>
                <c:pt idx="6">
                  <c:v>83.9</c:v>
                </c:pt>
                <c:pt idx="7">
                  <c:v>93.8</c:v>
                </c:pt>
                <c:pt idx="8">
                  <c:v>103.3</c:v>
                </c:pt>
                <c:pt idx="9">
                  <c:v>112.6</c:v>
                </c:pt>
                <c:pt idx="10">
                  <c:v>108.7</c:v>
                </c:pt>
                <c:pt idx="11">
                  <c:v>125.1</c:v>
                </c:pt>
              </c:numCache>
            </c:numRef>
          </c:val>
          <c:smooth val="0"/>
          <c:extLst>
            <c:ext xmlns:c16="http://schemas.microsoft.com/office/drawing/2014/chart" uri="{C3380CC4-5D6E-409C-BE32-E72D297353CC}">
              <c16:uniqueId val="{00000002-561E-4343-BCF8-A19736359A51}"/>
            </c:ext>
          </c:extLst>
        </c:ser>
        <c:ser>
          <c:idx val="4"/>
          <c:order val="3"/>
          <c:tx>
            <c:strRef>
              <c:f>[27]Sheet1!$A$6</c:f>
              <c:strCache>
                <c:ptCount val="1"/>
                <c:pt idx="0">
                  <c:v>Total (Direct and Indirect)contribution of travel and Tourism to GDP </c:v>
                </c:pt>
              </c:strCache>
            </c:strRef>
          </c:tx>
          <c:spPr>
            <a:ln w="28575" cap="rnd">
              <a:solidFill>
                <a:schemeClr val="accent5"/>
              </a:solidFill>
              <a:round/>
            </a:ln>
            <a:effectLst/>
          </c:spPr>
          <c:marker>
            <c:symbol val="none"/>
          </c:marker>
          <c:cat>
            <c:strRef>
              <c:f>[27]Sheet1!$B$1:$N$1</c:f>
              <c:strCache>
                <c:ptCount val="13"/>
                <c:pt idx="0">
                  <c:v>2005</c:v>
                </c:pt>
                <c:pt idx="1">
                  <c:v>Total Population </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[27]Sheet1!$B$6:$N$6</c:f>
              <c:numCache>
                <c:formatCode>General</c:formatCode>
                <c:ptCount val="13"/>
                <c:pt idx="0">
                  <c:v>330.5</c:v>
                </c:pt>
                <c:pt idx="1">
                  <c:v>374.9</c:v>
                </c:pt>
                <c:pt idx="2">
                  <c:v>384.9</c:v>
                </c:pt>
                <c:pt idx="3">
                  <c:v>381.4</c:v>
                </c:pt>
                <c:pt idx="4">
                  <c:v>369.8</c:v>
                </c:pt>
                <c:pt idx="5">
                  <c:v>370.3</c:v>
                </c:pt>
                <c:pt idx="6">
                  <c:v>361.6</c:v>
                </c:pt>
                <c:pt idx="7">
                  <c:v>392.4</c:v>
                </c:pt>
                <c:pt idx="8">
                  <c:v>405.2</c:v>
                </c:pt>
                <c:pt idx="9">
                  <c:v>418.5</c:v>
                </c:pt>
                <c:pt idx="10">
                  <c:v>415.6</c:v>
                </c:pt>
                <c:pt idx="11">
                  <c:v>422.6</c:v>
                </c:pt>
                <c:pt idx="12">
                  <c:v>412.5</c:v>
                </c:pt>
              </c:numCache>
            </c:numRef>
          </c:val>
          <c:smooth val="0"/>
          <c:extLst>
            <c:ext xmlns:c16="http://schemas.microsoft.com/office/drawing/2014/chart" uri="{C3380CC4-5D6E-409C-BE32-E72D297353CC}">
              <c16:uniqueId val="{00000003-561E-4343-BCF8-A19736359A51}"/>
            </c:ext>
          </c:extLst>
        </c:ser>
        <c:dLbls>
          <c:showLegendKey val="0"/>
          <c:showVal val="0"/>
          <c:showCatName val="0"/>
          <c:showSerName val="0"/>
          <c:showPercent val="0"/>
          <c:showBubbleSize val="0"/>
        </c:dLbls>
        <c:marker val="1"/>
        <c:smooth val="0"/>
        <c:axId val="595892464"/>
        <c:axId val="595890168"/>
      </c:lineChart>
      <c:catAx>
        <c:axId val="59589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897712"/>
        <c:crosses val="autoZero"/>
        <c:auto val="1"/>
        <c:lblAlgn val="ctr"/>
        <c:lblOffset val="100"/>
        <c:noMultiLvlLbl val="0"/>
      </c:catAx>
      <c:valAx>
        <c:axId val="5958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894432"/>
        <c:crosses val="autoZero"/>
        <c:crossBetween val="between"/>
      </c:valAx>
      <c:valAx>
        <c:axId val="595890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892464"/>
        <c:crosses val="max"/>
        <c:crossBetween val="between"/>
      </c:valAx>
      <c:catAx>
        <c:axId val="595892464"/>
        <c:scaling>
          <c:orientation val="minMax"/>
        </c:scaling>
        <c:delete val="1"/>
        <c:axPos val="b"/>
        <c:numFmt formatCode="General" sourceLinked="1"/>
        <c:majorTickMark val="out"/>
        <c:minorTickMark val="none"/>
        <c:tickLblPos val="nextTo"/>
        <c:crossAx val="595890168"/>
        <c:crosses val="autoZero"/>
        <c:auto val="1"/>
        <c:lblAlgn val="ctr"/>
        <c:lblOffset val="100"/>
        <c:noMultiLvlLbl val="0"/>
      </c:catAx>
      <c:spPr>
        <a:noFill/>
        <a:ln>
          <a:noFill/>
        </a:ln>
        <a:effectLst/>
      </c:spPr>
    </c:plotArea>
    <c:legend>
      <c:legendPos val="b"/>
      <c:layout>
        <c:manualLayout>
          <c:xMode val="edge"/>
          <c:yMode val="edge"/>
          <c:x val="9.6849548931189453E-2"/>
          <c:y val="0.88844678248923592"/>
          <c:w val="0.86597587791815633"/>
          <c:h val="8.609981941751614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Missions!$D$13</c:f>
              <c:strCache>
                <c:ptCount val="1"/>
                <c:pt idx="0">
                  <c:v>All Missions</c:v>
                </c:pt>
              </c:strCache>
            </c:strRef>
          </c:tx>
          <c:spPr>
            <a:solidFill>
              <a:srgbClr val="BD8E31"/>
            </a:solidFill>
          </c:spPr>
          <c:invertIfNegative val="0"/>
          <c:cat>
            <c:strRef>
              <c:f>Missions!$E$7:$N$7</c:f>
              <c:strCache>
                <c:ptCount val="10"/>
                <c:pt idx="0">
                  <c:v>2001/02</c:v>
                </c:pt>
                <c:pt idx="1">
                  <c:v>2002/03</c:v>
                </c:pt>
                <c:pt idx="2">
                  <c:v>2003/04</c:v>
                </c:pt>
                <c:pt idx="3">
                  <c:v>2004/05</c:v>
                </c:pt>
                <c:pt idx="4">
                  <c:v>2005/06</c:v>
                </c:pt>
                <c:pt idx="5">
                  <c:v>2006/07</c:v>
                </c:pt>
                <c:pt idx="6">
                  <c:v>2007/08</c:v>
                </c:pt>
                <c:pt idx="7">
                  <c:v>2008/09</c:v>
                </c:pt>
                <c:pt idx="8">
                  <c:v>2009/10</c:v>
                </c:pt>
                <c:pt idx="9">
                  <c:v>2010/11</c:v>
                </c:pt>
              </c:strCache>
            </c:strRef>
          </c:cat>
          <c:val>
            <c:numRef>
              <c:f>Missions!$E$13:$N$13</c:f>
              <c:numCache>
                <c:formatCode>General</c:formatCode>
                <c:ptCount val="10"/>
                <c:pt idx="0">
                  <c:v>91</c:v>
                </c:pt>
                <c:pt idx="1">
                  <c:v>96</c:v>
                </c:pt>
                <c:pt idx="2">
                  <c:v>101</c:v>
                </c:pt>
                <c:pt idx="3">
                  <c:v>107</c:v>
                </c:pt>
                <c:pt idx="4">
                  <c:v>109</c:v>
                </c:pt>
                <c:pt idx="5">
                  <c:v>114</c:v>
                </c:pt>
                <c:pt idx="6">
                  <c:v>119</c:v>
                </c:pt>
                <c:pt idx="7">
                  <c:v>124</c:v>
                </c:pt>
                <c:pt idx="8">
                  <c:v>124</c:v>
                </c:pt>
                <c:pt idx="9">
                  <c:v>125</c:v>
                </c:pt>
              </c:numCache>
            </c:numRef>
          </c:val>
          <c:extLst>
            <c:ext xmlns:c16="http://schemas.microsoft.com/office/drawing/2014/chart" uri="{C3380CC4-5D6E-409C-BE32-E72D297353CC}">
              <c16:uniqueId val="{00000000-213F-46F2-ADDD-8D4719846718}"/>
            </c:ext>
          </c:extLst>
        </c:ser>
        <c:dLbls>
          <c:showLegendKey val="0"/>
          <c:showVal val="0"/>
          <c:showCatName val="0"/>
          <c:showSerName val="0"/>
          <c:showPercent val="0"/>
          <c:showBubbleSize val="0"/>
        </c:dLbls>
        <c:gapWidth val="150"/>
        <c:axId val="183260224"/>
        <c:axId val="183256696"/>
      </c:barChart>
      <c:catAx>
        <c:axId val="183260224"/>
        <c:scaling>
          <c:orientation val="minMax"/>
        </c:scaling>
        <c:delete val="0"/>
        <c:axPos val="b"/>
        <c:numFmt formatCode="General" sourceLinked="0"/>
        <c:majorTickMark val="out"/>
        <c:minorTickMark val="none"/>
        <c:tickLblPos val="nextTo"/>
        <c:crossAx val="183256696"/>
        <c:crosses val="autoZero"/>
        <c:auto val="1"/>
        <c:lblAlgn val="ctr"/>
        <c:lblOffset val="100"/>
        <c:noMultiLvlLbl val="0"/>
      </c:catAx>
      <c:valAx>
        <c:axId val="183256696"/>
        <c:scaling>
          <c:orientation val="minMax"/>
        </c:scaling>
        <c:delete val="0"/>
        <c:axPos val="l"/>
        <c:majorGridlines>
          <c:spPr>
            <a:ln>
              <a:solidFill>
                <a:sysClr val="window" lastClr="FFFFFF">
                  <a:lumMod val="65000"/>
                  <a:alpha val="60000"/>
                </a:sysClr>
              </a:solidFill>
              <a:prstDash val="dash"/>
            </a:ln>
          </c:spPr>
        </c:majorGridlines>
        <c:title>
          <c:tx>
            <c:rich>
              <a:bodyPr rot="-5400000" vert="horz"/>
              <a:lstStyle/>
              <a:p>
                <a:pPr>
                  <a:defRPr b="0"/>
                </a:pPr>
                <a:r>
                  <a:rPr lang="en-US" b="0"/>
                  <a:t>Number</a:t>
                </a:r>
              </a:p>
            </c:rich>
          </c:tx>
          <c:overlay val="0"/>
        </c:title>
        <c:numFmt formatCode="General" sourceLinked="1"/>
        <c:majorTickMark val="out"/>
        <c:minorTickMark val="none"/>
        <c:tickLblPos val="nextTo"/>
        <c:crossAx val="183260224"/>
        <c:crosses val="autoZero"/>
        <c:crossBetween val="between"/>
      </c:valAx>
      <c:spPr>
        <a:ln>
          <a:noFill/>
        </a:ln>
      </c:spPr>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representation and missions</a:t>
            </a:r>
          </a:p>
        </c:rich>
      </c:tx>
      <c:overlay val="0"/>
    </c:title>
    <c:autoTitleDeleted val="0"/>
    <c:plotArea>
      <c:layout/>
      <c:barChart>
        <c:barDir val="col"/>
        <c:grouping val="clustered"/>
        <c:varyColors val="0"/>
        <c:ser>
          <c:idx val="6"/>
          <c:order val="0"/>
          <c:tx>
            <c:strRef>
              <c:f>Missions!$D$70</c:f>
              <c:strCache>
                <c:ptCount val="1"/>
                <c:pt idx="0">
                  <c:v>Total foreign representation</c:v>
                </c:pt>
              </c:strCache>
            </c:strRef>
          </c:tx>
          <c:spPr>
            <a:solidFill>
              <a:srgbClr val="FCD5B5"/>
            </a:solidFill>
          </c:spPr>
          <c:invertIfNegative val="0"/>
          <c:cat>
            <c:strRef>
              <c:f>Missions!$F$63:$T$63</c:f>
              <c:strCache>
                <c:ptCount val="15"/>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strCache>
            </c:strRef>
          </c:cat>
          <c:val>
            <c:numRef>
              <c:f>Missions!$F$70:$T$70</c:f>
              <c:numCache>
                <c:formatCode>General</c:formatCode>
                <c:ptCount val="15"/>
                <c:pt idx="0" formatCode="0">
                  <c:v>68</c:v>
                </c:pt>
                <c:pt idx="4" formatCode="0">
                  <c:v>278</c:v>
                </c:pt>
                <c:pt idx="5" formatCode="0">
                  <c:v>279</c:v>
                </c:pt>
                <c:pt idx="6" formatCode="0">
                  <c:v>283</c:v>
                </c:pt>
                <c:pt idx="7" formatCode="0">
                  <c:v>285</c:v>
                </c:pt>
                <c:pt idx="8" formatCode="0">
                  <c:v>292</c:v>
                </c:pt>
                <c:pt idx="9" formatCode="0">
                  <c:v>296</c:v>
                </c:pt>
                <c:pt idx="10" formatCode="0">
                  <c:v>307</c:v>
                </c:pt>
                <c:pt idx="11" formatCode="0">
                  <c:v>311</c:v>
                </c:pt>
                <c:pt idx="13" formatCode="0">
                  <c:v>326</c:v>
                </c:pt>
                <c:pt idx="14" formatCode="0">
                  <c:v>326</c:v>
                </c:pt>
              </c:numCache>
            </c:numRef>
          </c:val>
          <c:extLst>
            <c:ext xmlns:c16="http://schemas.microsoft.com/office/drawing/2014/chart" uri="{C3380CC4-5D6E-409C-BE32-E72D297353CC}">
              <c16:uniqueId val="{00000000-856C-4917-994F-BF9740F1CEC4}"/>
            </c:ext>
          </c:extLst>
        </c:ser>
        <c:ser>
          <c:idx val="7"/>
          <c:order val="1"/>
          <c:tx>
            <c:strRef>
              <c:f>Missions!$D$71</c:f>
              <c:strCache>
                <c:ptCount val="1"/>
                <c:pt idx="0">
                  <c:v>All missions</c:v>
                </c:pt>
              </c:strCache>
            </c:strRef>
          </c:tx>
          <c:spPr>
            <a:solidFill>
              <a:srgbClr val="F8A662"/>
            </a:solidFill>
          </c:spPr>
          <c:invertIfNegative val="0"/>
          <c:cat>
            <c:strRef>
              <c:f>Missions!$F$63:$T$63</c:f>
              <c:strCache>
                <c:ptCount val="15"/>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strCache>
            </c:strRef>
          </c:cat>
          <c:val>
            <c:numRef>
              <c:f>Missions!$F$71:$T$71</c:f>
              <c:numCache>
                <c:formatCode>General</c:formatCode>
                <c:ptCount val="15"/>
                <c:pt idx="1">
                  <c:v>91</c:v>
                </c:pt>
                <c:pt idx="2">
                  <c:v>96</c:v>
                </c:pt>
                <c:pt idx="3">
                  <c:v>101</c:v>
                </c:pt>
                <c:pt idx="4">
                  <c:v>107</c:v>
                </c:pt>
                <c:pt idx="5">
                  <c:v>109</c:v>
                </c:pt>
                <c:pt idx="6">
                  <c:v>114</c:v>
                </c:pt>
                <c:pt idx="7">
                  <c:v>119</c:v>
                </c:pt>
                <c:pt idx="8">
                  <c:v>124</c:v>
                </c:pt>
                <c:pt idx="9">
                  <c:v>124</c:v>
                </c:pt>
                <c:pt idx="10">
                  <c:v>125</c:v>
                </c:pt>
                <c:pt idx="11">
                  <c:v>125</c:v>
                </c:pt>
                <c:pt idx="12">
                  <c:v>125</c:v>
                </c:pt>
                <c:pt idx="13">
                  <c:v>125</c:v>
                </c:pt>
                <c:pt idx="14">
                  <c:v>125</c:v>
                </c:pt>
              </c:numCache>
            </c:numRef>
          </c:val>
          <c:extLst>
            <c:ext xmlns:c16="http://schemas.microsoft.com/office/drawing/2014/chart" uri="{C3380CC4-5D6E-409C-BE32-E72D297353CC}">
              <c16:uniqueId val="{00000001-856C-4917-994F-BF9740F1CEC4}"/>
            </c:ext>
          </c:extLst>
        </c:ser>
        <c:dLbls>
          <c:showLegendKey val="0"/>
          <c:showVal val="0"/>
          <c:showCatName val="0"/>
          <c:showSerName val="0"/>
          <c:showPercent val="0"/>
          <c:showBubbleSize val="0"/>
        </c:dLbls>
        <c:gapWidth val="150"/>
        <c:axId val="183259048"/>
        <c:axId val="183257872"/>
      </c:barChart>
      <c:catAx>
        <c:axId val="183259048"/>
        <c:scaling>
          <c:orientation val="minMax"/>
        </c:scaling>
        <c:delete val="0"/>
        <c:axPos val="b"/>
        <c:numFmt formatCode="General" sourceLinked="0"/>
        <c:majorTickMark val="none"/>
        <c:minorTickMark val="none"/>
        <c:tickLblPos val="nextTo"/>
        <c:crossAx val="183257872"/>
        <c:crosses val="autoZero"/>
        <c:auto val="1"/>
        <c:lblAlgn val="ctr"/>
        <c:lblOffset val="100"/>
        <c:noMultiLvlLbl val="0"/>
      </c:catAx>
      <c:valAx>
        <c:axId val="183257872"/>
        <c:scaling>
          <c:orientation val="minMax"/>
        </c:scaling>
        <c:delete val="0"/>
        <c:axPos val="l"/>
        <c:majorGridlines>
          <c:spPr>
            <a:ln>
              <a:solidFill>
                <a:sysClr val="window" lastClr="FFFFFF">
                  <a:lumMod val="65000"/>
                  <a:alpha val="60000"/>
                </a:sysClr>
              </a:solidFill>
              <a:prstDash val="dash"/>
            </a:ln>
          </c:spPr>
        </c:majorGridlines>
        <c:numFmt formatCode="0" sourceLinked="1"/>
        <c:majorTickMark val="none"/>
        <c:minorTickMark val="none"/>
        <c:tickLblPos val="nextTo"/>
        <c:crossAx val="183259048"/>
        <c:crosses val="autoZero"/>
        <c:crossBetween val="between"/>
      </c:valAx>
      <c:spPr>
        <a:ln>
          <a:noFill/>
        </a:ln>
      </c:spPr>
    </c:plotArea>
    <c:legend>
      <c:legendPos val="b"/>
      <c:layout>
        <c:manualLayout>
          <c:xMode val="edge"/>
          <c:yMode val="edge"/>
          <c:x val="0.39812167062617909"/>
          <c:y val="0.88852004860877676"/>
          <c:w val="0.24646670585415406"/>
          <c:h val="7.9582011403722855E-2"/>
        </c:manualLayout>
      </c:layout>
      <c:overlay val="0"/>
    </c:legend>
    <c:plotVisOnly val="1"/>
    <c:dispBlanksAs val="gap"/>
    <c:showDLblsOverMax val="0"/>
  </c:chart>
  <c:spPr>
    <a:ln>
      <a:solidFill>
        <a:srgbClr val="000000"/>
      </a:solid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manualLayout>
          <c:xMode val="edge"/>
          <c:yMode val="edge"/>
          <c:x val="5.1643214201749006E-2"/>
          <c:y val="5.2459016393442623E-2"/>
        </c:manualLayout>
      </c:layout>
      <c:overlay val="0"/>
      <c:spPr>
        <a:noFill/>
        <a:ln w="25400">
          <a:noFill/>
        </a:ln>
      </c:spPr>
    </c:title>
    <c:autoTitleDeleted val="0"/>
    <c:plotArea>
      <c:layout>
        <c:manualLayout>
          <c:layoutTarget val="inner"/>
          <c:xMode val="edge"/>
          <c:yMode val="edge"/>
          <c:x val="0.10172159520734791"/>
          <c:y val="0.20327868852459041"/>
          <c:w val="0.87793561402034759"/>
          <c:h val="0.57704918032786889"/>
        </c:manualLayout>
      </c:layout>
      <c:barChart>
        <c:barDir val="col"/>
        <c:grouping val="clustered"/>
        <c:varyColors val="0"/>
        <c:ser>
          <c:idx val="1"/>
          <c:order val="0"/>
          <c:tx>
            <c:strRef>
              <c:f>'International Agreements'!$D$9</c:f>
              <c:strCache>
                <c:ptCount val="1"/>
                <c:pt idx="0">
                  <c:v>Multilateral</c:v>
                </c:pt>
              </c:strCache>
            </c:strRef>
          </c:tx>
          <c:spPr>
            <a:solidFill>
              <a:srgbClr val="FCD5B5"/>
            </a:solidFill>
            <a:ln w="12700">
              <a:noFill/>
              <a:prstDash val="solid"/>
            </a:ln>
          </c:spPr>
          <c:invertIfNegative val="0"/>
          <c:cat>
            <c:numRef>
              <c:f>'International Agreements'!$E$8:$U$8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'International Agreements'!$E$9:$T$9</c:f>
              <c:numCache>
                <c:formatCode>General</c:formatCode>
                <c:ptCount val="16"/>
                <c:pt idx="0">
                  <c:v>12</c:v>
                </c:pt>
                <c:pt idx="1">
                  <c:v>13</c:v>
                </c:pt>
                <c:pt idx="2">
                  <c:v>8</c:v>
                </c:pt>
                <c:pt idx="3">
                  <c:v>10</c:v>
                </c:pt>
                <c:pt idx="4">
                  <c:v>2</c:v>
                </c:pt>
                <c:pt idx="5">
                  <c:v>4</c:v>
                </c:pt>
                <c:pt idx="6">
                  <c:v>9</c:v>
                </c:pt>
                <c:pt idx="7">
                  <c:v>7</c:v>
                </c:pt>
                <c:pt idx="8">
                  <c:v>11</c:v>
                </c:pt>
                <c:pt idx="9">
                  <c:v>4</c:v>
                </c:pt>
                <c:pt idx="10">
                  <c:v>6</c:v>
                </c:pt>
                <c:pt idx="11">
                  <c:v>9</c:v>
                </c:pt>
                <c:pt idx="12">
                  <c:v>5</c:v>
                </c:pt>
                <c:pt idx="13">
                  <c:v>8</c:v>
                </c:pt>
                <c:pt idx="14">
                  <c:v>6</c:v>
                </c:pt>
                <c:pt idx="15">
                  <c:v>5</c:v>
                </c:pt>
              </c:numCache>
            </c:numRef>
          </c:val>
          <c:extLst>
            <c:ext xmlns:c16="http://schemas.microsoft.com/office/drawing/2014/chart" uri="{C3380CC4-5D6E-409C-BE32-E72D297353CC}">
              <c16:uniqueId val="{00000000-91AC-4F1E-85EB-6EF2A5859553}"/>
            </c:ext>
          </c:extLst>
        </c:ser>
        <c:ser>
          <c:idx val="2"/>
          <c:order val="1"/>
          <c:tx>
            <c:strRef>
              <c:f>'International Agreements'!$D$10</c:f>
              <c:strCache>
                <c:ptCount val="1"/>
                <c:pt idx="0">
                  <c:v>Bilateral</c:v>
                </c:pt>
              </c:strCache>
            </c:strRef>
          </c:tx>
          <c:spPr>
            <a:solidFill>
              <a:srgbClr val="F8A662"/>
            </a:solidFill>
          </c:spPr>
          <c:invertIfNegative val="0"/>
          <c:cat>
            <c:numRef>
              <c:f>'International Agreements'!$E$8:$U$8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'International Agreements'!$E$10:$U$10</c:f>
              <c:numCache>
                <c:formatCode>General</c:formatCode>
                <c:ptCount val="17"/>
                <c:pt idx="0">
                  <c:v>125</c:v>
                </c:pt>
                <c:pt idx="1">
                  <c:v>108</c:v>
                </c:pt>
                <c:pt idx="2">
                  <c:v>97</c:v>
                </c:pt>
                <c:pt idx="3">
                  <c:v>92</c:v>
                </c:pt>
                <c:pt idx="4">
                  <c:v>109</c:v>
                </c:pt>
                <c:pt idx="5">
                  <c:v>120</c:v>
                </c:pt>
                <c:pt idx="6">
                  <c:v>102</c:v>
                </c:pt>
                <c:pt idx="7">
                  <c:v>85</c:v>
                </c:pt>
                <c:pt idx="8">
                  <c:v>69</c:v>
                </c:pt>
                <c:pt idx="9">
                  <c:v>67</c:v>
                </c:pt>
                <c:pt idx="10">
                  <c:v>80</c:v>
                </c:pt>
                <c:pt idx="11">
                  <c:v>84</c:v>
                </c:pt>
                <c:pt idx="12">
                  <c:v>61</c:v>
                </c:pt>
                <c:pt idx="13">
                  <c:v>81</c:v>
                </c:pt>
                <c:pt idx="14">
                  <c:v>45</c:v>
                </c:pt>
                <c:pt idx="15">
                  <c:v>61</c:v>
                </c:pt>
                <c:pt idx="16">
                  <c:v>71</c:v>
                </c:pt>
              </c:numCache>
            </c:numRef>
          </c:val>
          <c:extLst>
            <c:ext xmlns:c16="http://schemas.microsoft.com/office/drawing/2014/chart" uri="{C3380CC4-5D6E-409C-BE32-E72D297353CC}">
              <c16:uniqueId val="{00000001-91AC-4F1E-85EB-6EF2A5859553}"/>
            </c:ext>
          </c:extLst>
        </c:ser>
        <c:dLbls>
          <c:showLegendKey val="0"/>
          <c:showVal val="0"/>
          <c:showCatName val="0"/>
          <c:showSerName val="0"/>
          <c:showPercent val="0"/>
          <c:showBubbleSize val="0"/>
        </c:dLbls>
        <c:gapWidth val="150"/>
        <c:axId val="183259440"/>
        <c:axId val="311947888"/>
      </c:barChart>
      <c:catAx>
        <c:axId val="183259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1947888"/>
        <c:crosses val="autoZero"/>
        <c:auto val="1"/>
        <c:lblAlgn val="ctr"/>
        <c:lblOffset val="100"/>
        <c:tickLblSkip val="1"/>
        <c:tickMarkSkip val="1"/>
        <c:noMultiLvlLbl val="0"/>
      </c:catAx>
      <c:valAx>
        <c:axId val="31194788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no</a:t>
                </a:r>
              </a:p>
            </c:rich>
          </c:tx>
          <c:layout>
            <c:manualLayout>
              <c:xMode val="edge"/>
              <c:yMode val="edge"/>
              <c:x val="2.5039138830113505E-2"/>
              <c:y val="0.465573770491803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3259440"/>
        <c:crosses val="autoZero"/>
        <c:crossBetween val="between"/>
      </c:valAx>
      <c:spPr>
        <a:solidFill>
          <a:srgbClr val="FFFFFF"/>
        </a:solidFill>
        <a:ln w="3175">
          <a:solidFill>
            <a:srgbClr val="000000"/>
          </a:solidFill>
          <a:prstDash val="solid"/>
        </a:ln>
      </c:spPr>
    </c:plotArea>
    <c:legend>
      <c:legendPos val="r"/>
      <c:layout>
        <c:manualLayout>
          <c:xMode val="edge"/>
          <c:yMode val="edge"/>
          <c:x val="0.26940703321664988"/>
          <c:y val="0.91379566775455101"/>
          <c:w val="0.25552791503860728"/>
          <c:h val="8.620425679548676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GOVERNMENT DEBT AS PERCENTAGE OF GDP
</a:t>
            </a:r>
          </a:p>
        </c:rich>
      </c:tx>
      <c:layout>
        <c:manualLayout>
          <c:xMode val="edge"/>
          <c:yMode val="edge"/>
          <c:x val="2.6183273853358256E-2"/>
          <c:y val="1.6891805191017788E-2"/>
        </c:manualLayout>
      </c:layout>
      <c:overlay val="0"/>
      <c:spPr>
        <a:noFill/>
        <a:ln w="25400">
          <a:noFill/>
        </a:ln>
      </c:spPr>
    </c:title>
    <c:autoTitleDeleted val="0"/>
    <c:plotArea>
      <c:layout>
        <c:manualLayout>
          <c:layoutTarget val="inner"/>
          <c:xMode val="edge"/>
          <c:yMode val="edge"/>
          <c:x val="6.8001284012160351E-2"/>
          <c:y val="0.21238728492271799"/>
          <c:w val="0.9164158055763445"/>
          <c:h val="0.64527027027027983"/>
        </c:manualLayout>
      </c:layout>
      <c:lineChart>
        <c:grouping val="standard"/>
        <c:varyColors val="0"/>
        <c:ser>
          <c:idx val="0"/>
          <c:order val="0"/>
          <c:tx>
            <c:strRef>
              <c:f>'G debt  '!$D$8</c:f>
              <c:strCache>
                <c:ptCount val="1"/>
                <c:pt idx="0">
                  <c:v>Net Government Debt</c:v>
                </c:pt>
              </c:strCache>
            </c:strRef>
          </c:tx>
          <c:spPr>
            <a:ln w="25400">
              <a:solidFill>
                <a:srgbClr val="FF6600"/>
              </a:solidFill>
              <a:prstDash val="solid"/>
            </a:ln>
          </c:spPr>
          <c:marker>
            <c:symbol val="none"/>
          </c:marker>
          <c:cat>
            <c:strRef>
              <c:f>'G debt  '!$E$7:$AA$7</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'G debt  '!$E$8:$AA$8</c:f>
              <c:numCache>
                <c:formatCode>0.0</c:formatCode>
                <c:ptCount val="23"/>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38.1</c:v>
                </c:pt>
                <c:pt idx="20">
                  <c:v>41</c:v>
                </c:pt>
                <c:pt idx="21">
                  <c:v>43.8</c:v>
                </c:pt>
                <c:pt idx="22">
                  <c:v>45.6</c:v>
                </c:pt>
              </c:numCache>
            </c:numRef>
          </c:val>
          <c:smooth val="0"/>
          <c:extLst>
            <c:ext xmlns:c16="http://schemas.microsoft.com/office/drawing/2014/chart" uri="{C3380CC4-5D6E-409C-BE32-E72D297353CC}">
              <c16:uniqueId val="{00000000-1911-41A0-8AF4-57D557D3DB9B}"/>
            </c:ext>
          </c:extLst>
        </c:ser>
        <c:dLbls>
          <c:showLegendKey val="0"/>
          <c:showVal val="0"/>
          <c:showCatName val="0"/>
          <c:showSerName val="0"/>
          <c:showPercent val="0"/>
          <c:showBubbleSize val="0"/>
        </c:dLbls>
        <c:smooth val="0"/>
        <c:axId val="399511208"/>
        <c:axId val="399511992"/>
      </c:lineChart>
      <c:catAx>
        <c:axId val="399511208"/>
        <c:scaling>
          <c:orientation val="minMax"/>
        </c:scaling>
        <c:delete val="0"/>
        <c:axPos val="b"/>
        <c:title>
          <c:tx>
            <c:rich>
              <a:bodyPr rot="-5400000" vert="horz"/>
              <a:lstStyle/>
              <a:p>
                <a:pPr algn="ctr">
                  <a:defRPr lang="en-US" sz="800" b="0" i="0" u="none" strike="noStrike" baseline="0">
                    <a:solidFill>
                      <a:srgbClr val="000000"/>
                    </a:solidFill>
                    <a:latin typeface="Arial"/>
                    <a:ea typeface="Arial"/>
                    <a:cs typeface="Arial"/>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511992"/>
        <c:crossesAt val="0"/>
        <c:auto val="1"/>
        <c:lblAlgn val="ctr"/>
        <c:lblOffset val="100"/>
        <c:tickLblSkip val="1"/>
        <c:tickMarkSkip val="1"/>
        <c:noMultiLvlLbl val="0"/>
      </c:catAx>
      <c:valAx>
        <c:axId val="399511992"/>
        <c:scaling>
          <c:orientation val="minMax"/>
          <c:max val="50"/>
          <c:min val="1"/>
        </c:scaling>
        <c:delete val="0"/>
        <c:axPos val="l"/>
        <c:majorGridlines>
          <c:spPr>
            <a:ln w="3175">
              <a:solidFill>
                <a:srgbClr val="969696"/>
              </a:solidFill>
              <a:prstDash val="sysDash"/>
            </a:ln>
          </c:spPr>
        </c:majorGridlines>
        <c:numFmt formatCode="0.0" sourceLinked="1"/>
        <c:majorTickMark val="out"/>
        <c:minorTickMark val="none"/>
        <c:tickLblPos val="nextTo"/>
        <c:spPr>
          <a:ln w="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208"/>
        <c:crosses val="autoZero"/>
        <c:crossBetween val="midCat"/>
        <c:majorUnit val="5"/>
      </c:valAx>
      <c:spPr>
        <a:solidFill>
          <a:srgbClr val="FFFFFF"/>
        </a:solidFill>
        <a:ln w="25400">
          <a:noFill/>
        </a:ln>
      </c:spPr>
    </c:plotArea>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'[28]Revised Tax return'!$C$9</c:f>
              <c:strCache>
                <c:ptCount val="1"/>
                <c:pt idx="0">
                  <c:v>Revenue collection</c:v>
                </c:pt>
              </c:strCache>
            </c:strRef>
          </c:tx>
          <c:spPr>
            <a:solidFill>
              <a:srgbClr val="9999FF"/>
            </a:solidFill>
            <a:ln w="12700">
              <a:solidFill>
                <a:srgbClr val="000000"/>
              </a:solidFill>
              <a:prstDash val="solid"/>
            </a:ln>
          </c:spPr>
          <c:invertIfNegative val="0"/>
          <c:cat>
            <c:numRef>
              <c:f>'[28]Revised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'[28]Revised Tax return'!$E$9:$O$9</c:f>
              <c:numCache>
                <c:formatCode>General</c:formatCode>
                <c:ptCount val="11"/>
                <c:pt idx="0">
                  <c:v>147.30000000000001</c:v>
                </c:pt>
                <c:pt idx="1">
                  <c:v>165.3</c:v>
                </c:pt>
                <c:pt idx="2">
                  <c:v>184.8</c:v>
                </c:pt>
                <c:pt idx="3">
                  <c:v>201.4</c:v>
                </c:pt>
                <c:pt idx="4">
                  <c:v>220.3</c:v>
                </c:pt>
                <c:pt idx="5">
                  <c:v>252.3</c:v>
                </c:pt>
                <c:pt idx="6">
                  <c:v>282.2</c:v>
                </c:pt>
                <c:pt idx="7">
                  <c:v>302.5</c:v>
                </c:pt>
                <c:pt idx="8">
                  <c:v>355</c:v>
                </c:pt>
                <c:pt idx="9">
                  <c:v>417.3</c:v>
                </c:pt>
                <c:pt idx="10">
                  <c:v>486.4</c:v>
                </c:pt>
              </c:numCache>
            </c:numRef>
          </c:val>
          <c:extLst>
            <c:ext xmlns:c16="http://schemas.microsoft.com/office/drawing/2014/chart" uri="{C3380CC4-5D6E-409C-BE32-E72D297353CC}">
              <c16:uniqueId val="{00000000-58DF-4006-A57D-D98E3928998C}"/>
            </c:ext>
          </c:extLst>
        </c:ser>
        <c:ser>
          <c:idx val="1"/>
          <c:order val="1"/>
          <c:tx>
            <c:strRef>
              <c:f>'[28]Revised Tax return'!$C$10</c:f>
              <c:strCache>
                <c:ptCount val="1"/>
                <c:pt idx="0">
                  <c:v>Annual tax relief</c:v>
                </c:pt>
              </c:strCache>
            </c:strRef>
          </c:tx>
          <c:spPr>
            <a:solidFill>
              <a:srgbClr val="993366"/>
            </a:solidFill>
            <a:ln w="12700">
              <a:solidFill>
                <a:srgbClr val="000000"/>
              </a:solidFill>
              <a:prstDash val="solid"/>
            </a:ln>
          </c:spPr>
          <c:invertIfNegative val="0"/>
          <c:cat>
            <c:numRef>
              <c:f>'[28]Revised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'[28]Revised Tax return'!$D$10:$O$10</c:f>
              <c:numCache>
                <c:formatCode>General</c:formatCode>
                <c:ptCount val="12"/>
                <c:pt idx="0">
                  <c:v>0</c:v>
                </c:pt>
                <c:pt idx="1">
                  <c:v>2.4</c:v>
                </c:pt>
                <c:pt idx="2">
                  <c:v>0.90800000000000003</c:v>
                </c:pt>
                <c:pt idx="4">
                  <c:v>3.57</c:v>
                </c:pt>
                <c:pt idx="5">
                  <c:v>8.48</c:v>
                </c:pt>
                <c:pt idx="6">
                  <c:v>9.06</c:v>
                </c:pt>
                <c:pt idx="7">
                  <c:v>15.17</c:v>
                </c:pt>
                <c:pt idx="8">
                  <c:v>15.06</c:v>
                </c:pt>
                <c:pt idx="9">
                  <c:v>2.2999999999999998</c:v>
                </c:pt>
                <c:pt idx="10">
                  <c:v>9.3800000000000008</c:v>
                </c:pt>
                <c:pt idx="11">
                  <c:v>19.3</c:v>
                </c:pt>
              </c:numCache>
            </c:numRef>
          </c:val>
          <c:extLst>
            <c:ext xmlns:c16="http://schemas.microsoft.com/office/drawing/2014/chart" uri="{C3380CC4-5D6E-409C-BE32-E72D297353CC}">
              <c16:uniqueId val="{00000001-58DF-4006-A57D-D98E3928998C}"/>
            </c:ext>
          </c:extLst>
        </c:ser>
        <c:ser>
          <c:idx val="2"/>
          <c:order val="2"/>
          <c:tx>
            <c:strRef>
              <c:f>'[28]Revised Tax return'!$C$11</c:f>
              <c:strCache>
                <c:ptCount val="1"/>
                <c:pt idx="0">
                  <c:v>Tax register</c:v>
                </c:pt>
              </c:strCache>
            </c:strRef>
          </c:tx>
          <c:spPr>
            <a:solidFill>
              <a:srgbClr val="FFFFCC"/>
            </a:solidFill>
            <a:ln w="12700">
              <a:solidFill>
                <a:srgbClr val="000000"/>
              </a:solidFill>
              <a:prstDash val="solid"/>
            </a:ln>
          </c:spPr>
          <c:invertIfNegative val="0"/>
          <c:cat>
            <c:numRef>
              <c:f>'[28]Revised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'[28]Revised Tax return'!$D$11:$O$11</c:f>
              <c:numCache>
                <c:formatCode>General</c:formatCode>
                <c:ptCount val="12"/>
                <c:pt idx="0">
                  <c:v>0</c:v>
                </c:pt>
                <c:pt idx="1">
                  <c:v>3166795</c:v>
                </c:pt>
                <c:pt idx="2">
                  <c:v>3568089</c:v>
                </c:pt>
                <c:pt idx="3">
                  <c:v>3671130</c:v>
                </c:pt>
                <c:pt idx="4">
                  <c:v>3941375</c:v>
                </c:pt>
                <c:pt idx="5">
                  <c:v>4094271</c:v>
                </c:pt>
                <c:pt idx="6">
                  <c:v>4623870</c:v>
                </c:pt>
                <c:pt idx="7">
                  <c:v>5102227</c:v>
                </c:pt>
                <c:pt idx="8">
                  <c:v>5608223</c:v>
                </c:pt>
                <c:pt idx="9">
                  <c:v>6085436</c:v>
                </c:pt>
                <c:pt idx="10">
                  <c:v>6624767</c:v>
                </c:pt>
                <c:pt idx="11">
                  <c:v>7277006</c:v>
                </c:pt>
              </c:numCache>
            </c:numRef>
          </c:val>
          <c:extLst>
            <c:ext xmlns:c16="http://schemas.microsoft.com/office/drawing/2014/chart" uri="{C3380CC4-5D6E-409C-BE32-E72D297353CC}">
              <c16:uniqueId val="{00000002-58DF-4006-A57D-D98E3928998C}"/>
            </c:ext>
          </c:extLst>
        </c:ser>
        <c:dLbls>
          <c:showLegendKey val="0"/>
          <c:showVal val="0"/>
          <c:showCatName val="0"/>
          <c:showSerName val="0"/>
          <c:showPercent val="0"/>
          <c:showBubbleSize val="0"/>
        </c:dLbls>
        <c:gapWidth val="150"/>
        <c:overlap val="100"/>
        <c:axId val="532775616"/>
        <c:axId val="532767776"/>
      </c:barChart>
      <c:catAx>
        <c:axId val="532775616"/>
        <c:scaling>
          <c:orientation val="minMax"/>
        </c:scaling>
        <c:delete val="0"/>
        <c:axPos val="t"/>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53648143767436862"/>
              <c:y val="0.20522427233909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776"/>
        <c:crosses val="max"/>
        <c:auto val="1"/>
        <c:lblAlgn val="ctr"/>
        <c:lblOffset val="100"/>
        <c:tickLblSkip val="1"/>
        <c:tickMarkSkip val="1"/>
        <c:noMultiLvlLbl val="0"/>
      </c:catAx>
      <c:valAx>
        <c:axId val="532767776"/>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7195994277539356E-2"/>
              <c:y val="0.59701610059935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56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spPr>
            <a:solidFill>
              <a:srgbClr val="FF6600"/>
            </a:solidFill>
            <a:ln w="12700">
              <a:solidFill>
                <a:srgbClr val="000000"/>
              </a:solidFill>
              <a:prstDash val="solid"/>
            </a:ln>
          </c:spPr>
          <c:invertIfNegative val="0"/>
          <c:val>
            <c:numRef>
              <c:f>'[29]Tax Admin'!$F$18:$R$18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'[29]Tax Admin'!$D$18</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'[29]Tax Admin'!$F$8:$R$8</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15:cat>
              </c15:filteredCategoryTitle>
            </c:ext>
            <c:ext xmlns:c16="http://schemas.microsoft.com/office/drawing/2014/chart" uri="{C3380CC4-5D6E-409C-BE32-E72D297353CC}">
              <c16:uniqueId val="{00000000-7B4B-45E7-9430-64FA2737D88B}"/>
            </c:ext>
          </c:extLst>
        </c:ser>
        <c:dLbls>
          <c:showLegendKey val="0"/>
          <c:showVal val="0"/>
          <c:showCatName val="0"/>
          <c:showSerName val="0"/>
          <c:showPercent val="0"/>
          <c:showBubbleSize val="0"/>
        </c:dLbls>
        <c:gapWidth val="150"/>
        <c:axId val="532766208"/>
        <c:axId val="532766600"/>
      </c:barChart>
      <c:lineChart>
        <c:grouping val="standard"/>
        <c:varyColors val="0"/>
        <c:ser>
          <c:idx val="0"/>
          <c:order val="1"/>
          <c:spPr>
            <a:ln w="25400">
              <a:solidFill>
                <a:srgbClr val="993300"/>
              </a:solidFill>
              <a:prstDash val="solid"/>
            </a:ln>
          </c:spPr>
          <c:marker>
            <c:symbol val="none"/>
          </c:marker>
          <c:val>
            <c:numRef>
              <c:f>'[29]Tax Admin'!$F$11:$R$11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'[29]Tax Admin'!$D$11</c15:sqref>
                        </c15:formulaRef>
                      </c:ext>
                    </c:extLst>
                    <c:strCache>
                      <c:ptCount val="1"/>
                      <c:pt idx="0">
                        <c:v>#REF!</c:v>
                      </c:pt>
                    </c:strCache>
                  </c:strRef>
                </c15:tx>
              </c15:filteredSeriesTitle>
            </c:ext>
            <c:ext xmlns:c16="http://schemas.microsoft.com/office/drawing/2014/chart" uri="{C3380CC4-5D6E-409C-BE32-E72D297353CC}">
              <c16:uniqueId val="{00000001-7B4B-45E7-9430-64FA2737D88B}"/>
            </c:ext>
          </c:extLst>
        </c:ser>
        <c:dLbls>
          <c:showLegendKey val="0"/>
          <c:showVal val="0"/>
          <c:showCatName val="0"/>
          <c:showSerName val="0"/>
          <c:showPercent val="0"/>
          <c:showBubbleSize val="0"/>
        </c:dLbls>
        <c:marker val="1"/>
        <c:smooth val="0"/>
        <c:axId val="532774440"/>
        <c:axId val="532770128"/>
      </c:lineChart>
      <c:catAx>
        <c:axId val="53276620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600"/>
        <c:crosses val="autoZero"/>
        <c:auto val="0"/>
        <c:lblAlgn val="ctr"/>
        <c:lblOffset val="100"/>
        <c:tickLblSkip val="1"/>
        <c:tickMarkSkip val="1"/>
        <c:noMultiLvlLbl val="0"/>
      </c:catAx>
      <c:valAx>
        <c:axId val="5327666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208"/>
        <c:crosses val="autoZero"/>
        <c:crossBetween val="between"/>
      </c:valAx>
      <c:catAx>
        <c:axId val="532774440"/>
        <c:scaling>
          <c:orientation val="minMax"/>
        </c:scaling>
        <c:delete val="1"/>
        <c:axPos val="b"/>
        <c:majorTickMark val="out"/>
        <c:minorTickMark val="none"/>
        <c:tickLblPos val="none"/>
        <c:crossAx val="532770128"/>
        <c:crosses val="autoZero"/>
        <c:auto val="0"/>
        <c:lblAlgn val="ctr"/>
        <c:lblOffset val="100"/>
        <c:noMultiLvlLbl val="0"/>
      </c:catAx>
      <c:valAx>
        <c:axId val="532770128"/>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4440"/>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ZA"/>
              <a:t>TAX REGISTER AND REVENUE COLLECTION</a:t>
            </a:r>
          </a:p>
        </c:rich>
      </c:tx>
      <c:layout>
        <c:manualLayout>
          <c:xMode val="edge"/>
          <c:yMode val="edge"/>
          <c:x val="5.8645046570290071E-2"/>
          <c:y val="3.5608408186513715E-2"/>
        </c:manualLayout>
      </c:layout>
      <c:overlay val="0"/>
      <c:spPr>
        <a:noFill/>
        <a:ln w="25400">
          <a:noFill/>
        </a:ln>
      </c:spPr>
    </c:title>
    <c:autoTitleDeleted val="0"/>
    <c:plotArea>
      <c:layout>
        <c:manualLayout>
          <c:layoutTarget val="inner"/>
          <c:xMode val="edge"/>
          <c:yMode val="edge"/>
          <c:x val="5.6533827618164965E-2"/>
          <c:y val="0.1847507331378323"/>
          <c:w val="0.86190917516219323"/>
          <c:h val="0.6334310850439886"/>
        </c:manualLayout>
      </c:layout>
      <c:barChart>
        <c:barDir val="col"/>
        <c:grouping val="stacked"/>
        <c:varyColors val="0"/>
        <c:ser>
          <c:idx val="0"/>
          <c:order val="0"/>
          <c:tx>
            <c:strRef>
              <c:f>'Tax Admin'!$D$17</c:f>
              <c:strCache>
                <c:ptCount val="1"/>
                <c:pt idx="0">
                  <c:v>Personal Income Tax (PIT)</c:v>
                </c:pt>
              </c:strCache>
            </c:strRef>
          </c:tx>
          <c:spPr>
            <a:solidFill>
              <a:srgbClr val="FCD5B5"/>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Admin'!$F$17:$AA$17</c:f>
              <c:numCache>
                <c:formatCode>_ * #\ ##0.0_ ;_ * \-#\ ##0.0_ ;_ * "-"??_ ;_ @_ </c:formatCode>
                <c:ptCount val="22"/>
                <c:pt idx="0">
                  <c:v>59519.830999999998</c:v>
                </c:pt>
                <c:pt idx="1">
                  <c:v>68342.381999999998</c:v>
                </c:pt>
                <c:pt idx="2">
                  <c:v>77733.899999999994</c:v>
                </c:pt>
                <c:pt idx="3">
                  <c:v>85883.786999999997</c:v>
                </c:pt>
                <c:pt idx="4">
                  <c:v>86477.998000000007</c:v>
                </c:pt>
                <c:pt idx="5">
                  <c:v>90389.505000000005</c:v>
                </c:pt>
                <c:pt idx="6">
                  <c:v>94336.679000000004</c:v>
                </c:pt>
                <c:pt idx="7">
                  <c:v>98495.13</c:v>
                </c:pt>
                <c:pt idx="8">
                  <c:v>111696.561</c:v>
                </c:pt>
                <c:pt idx="9">
                  <c:v>126416.367</c:v>
                </c:pt>
                <c:pt idx="10">
                  <c:v>141397.08000000002</c:v>
                </c:pt>
                <c:pt idx="11">
                  <c:v>169539.25300000003</c:v>
                </c:pt>
                <c:pt idx="12">
                  <c:v>196068.03700000001</c:v>
                </c:pt>
                <c:pt idx="13">
                  <c:v>206483.53338388007</c:v>
                </c:pt>
                <c:pt idx="14">
                  <c:v>228096.11159448003</c:v>
                </c:pt>
                <c:pt idx="15">
                  <c:v>251339.14729868999</c:v>
                </c:pt>
                <c:pt idx="16">
                  <c:v>276678.57430246007</c:v>
                </c:pt>
                <c:pt idx="17">
                  <c:v>310928.99241367</c:v>
                </c:pt>
                <c:pt idx="18">
                  <c:v>353918.10976956994</c:v>
                </c:pt>
                <c:pt idx="19">
                  <c:v>389279.70173759997</c:v>
                </c:pt>
                <c:pt idx="20">
                  <c:v>425924.06663148006</c:v>
                </c:pt>
                <c:pt idx="21">
                  <c:v>462903.13275248004</c:v>
                </c:pt>
              </c:numCache>
            </c:numRef>
          </c:val>
          <c:extLst>
            <c:ext xmlns:c16="http://schemas.microsoft.com/office/drawing/2014/chart" uri="{C3380CC4-5D6E-409C-BE32-E72D297353CC}">
              <c16:uniqueId val="{00000000-2097-4D8A-9BCC-8989388E5A07}"/>
            </c:ext>
          </c:extLst>
        </c:ser>
        <c:ser>
          <c:idx val="1"/>
          <c:order val="1"/>
          <c:tx>
            <c:strRef>
              <c:f>'Tax Admin'!$D$18</c:f>
              <c:strCache>
                <c:ptCount val="1"/>
                <c:pt idx="0">
                  <c:v>Corporate Income Tax (CIT)</c:v>
                </c:pt>
              </c:strCache>
            </c:strRef>
          </c:tx>
          <c:spPr>
            <a:solidFill>
              <a:srgbClr val="F8A662"/>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Admin'!$F$18:$AA$18</c:f>
              <c:numCache>
                <c:formatCode>_ * #\ ##0.0_ ;_ * \-#\ ##0.0_ ;_ * "-"??_ ;_ @_ </c:formatCode>
                <c:ptCount val="22"/>
                <c:pt idx="0">
                  <c:v>16985.002</c:v>
                </c:pt>
                <c:pt idx="1">
                  <c:v>19696.403999999999</c:v>
                </c:pt>
                <c:pt idx="2">
                  <c:v>20388</c:v>
                </c:pt>
                <c:pt idx="3">
                  <c:v>20971.607</c:v>
                </c:pt>
                <c:pt idx="4">
                  <c:v>29491.826000000001</c:v>
                </c:pt>
                <c:pt idx="5">
                  <c:v>42354.472000000002</c:v>
                </c:pt>
                <c:pt idx="6">
                  <c:v>55745.053999999996</c:v>
                </c:pt>
                <c:pt idx="7">
                  <c:v>60880.803</c:v>
                </c:pt>
                <c:pt idx="8">
                  <c:v>71629.360000000015</c:v>
                </c:pt>
                <c:pt idx="9">
                  <c:v>87326.989999999991</c:v>
                </c:pt>
                <c:pt idx="10">
                  <c:v>120111.44</c:v>
                </c:pt>
                <c:pt idx="11">
                  <c:v>141635.435</c:v>
                </c:pt>
                <c:pt idx="12">
                  <c:v>167202.23999999999</c:v>
                </c:pt>
                <c:pt idx="13">
                  <c:v>136977.93176756997</c:v>
                </c:pt>
                <c:pt idx="14">
                  <c:v>134635.07949267002</c:v>
                </c:pt>
                <c:pt idx="15">
                  <c:v>153272.17884887999</c:v>
                </c:pt>
                <c:pt idx="16">
                  <c:v>160895.79553077999</c:v>
                </c:pt>
                <c:pt idx="17">
                  <c:v>179520.12193793</c:v>
                </c:pt>
                <c:pt idx="18">
                  <c:v>186621.55362948001</c:v>
                </c:pt>
                <c:pt idx="19">
                  <c:v>193385.29987314003</c:v>
                </c:pt>
                <c:pt idx="20">
                  <c:v>220238.55604764001</c:v>
                </c:pt>
                <c:pt idx="21">
                  <c:v>220238.55604763996</c:v>
                </c:pt>
              </c:numCache>
            </c:numRef>
          </c:val>
          <c:extLst>
            <c:ext xmlns:c16="http://schemas.microsoft.com/office/drawing/2014/chart" uri="{C3380CC4-5D6E-409C-BE32-E72D297353CC}">
              <c16:uniqueId val="{00000001-2097-4D8A-9BCC-8989388E5A07}"/>
            </c:ext>
          </c:extLst>
        </c:ser>
        <c:ser>
          <c:idx val="2"/>
          <c:order val="2"/>
          <c:tx>
            <c:strRef>
              <c:f>'Tax Admin'!$D$19</c:f>
              <c:strCache>
                <c:ptCount val="1"/>
                <c:pt idx="0">
                  <c:v>Value Added Tax (VAT)</c:v>
                </c:pt>
              </c:strCache>
            </c:strRef>
          </c:tx>
          <c:spPr>
            <a:solidFill>
              <a:srgbClr val="E46C0A"/>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Admin'!$F$19:$AA$19</c:f>
              <c:numCache>
                <c:formatCode>_ * #\ ##0.0_ ;_ * \-#\ ##0.0_ ;_ * "-"??_ ;_ @_ </c:formatCode>
                <c:ptCount val="22"/>
                <c:pt idx="0">
                  <c:v>35902.887000000002</c:v>
                </c:pt>
                <c:pt idx="1">
                  <c:v>40095.641000000003</c:v>
                </c:pt>
                <c:pt idx="2">
                  <c:v>43985.4</c:v>
                </c:pt>
                <c:pt idx="3">
                  <c:v>48376.84</c:v>
                </c:pt>
                <c:pt idx="4">
                  <c:v>54455.192999999999</c:v>
                </c:pt>
                <c:pt idx="5">
                  <c:v>61056.608999999997</c:v>
                </c:pt>
                <c:pt idx="6">
                  <c:v>70149.851999999999</c:v>
                </c:pt>
                <c:pt idx="7">
                  <c:v>80681.755000000005</c:v>
                </c:pt>
                <c:pt idx="8">
                  <c:v>98157.875</c:v>
                </c:pt>
                <c:pt idx="9">
                  <c:v>114351.63799999998</c:v>
                </c:pt>
                <c:pt idx="10">
                  <c:v>134462.59899999999</c:v>
                </c:pt>
                <c:pt idx="11">
                  <c:v>150442.84899999999</c:v>
                </c:pt>
                <c:pt idx="12">
                  <c:v>154343.12100000001</c:v>
                </c:pt>
                <c:pt idx="13">
                  <c:v>147941.32226163996</c:v>
                </c:pt>
                <c:pt idx="14">
                  <c:v>183571.43947361002</c:v>
                </c:pt>
                <c:pt idx="15">
                  <c:v>191020.19853625001</c:v>
                </c:pt>
                <c:pt idx="16">
                  <c:v>215023.03517332999</c:v>
                </c:pt>
                <c:pt idx="17">
                  <c:v>237666.57887254003</c:v>
                </c:pt>
                <c:pt idx="18">
                  <c:v>261294.78794094999</c:v>
                </c:pt>
                <c:pt idx="19">
                  <c:v>281111.41002235992</c:v>
                </c:pt>
                <c:pt idx="20">
                  <c:v>289166.72246190003</c:v>
                </c:pt>
                <c:pt idx="21">
                  <c:v>297991.19929449994</c:v>
                </c:pt>
              </c:numCache>
            </c:numRef>
          </c:val>
          <c:extLst>
            <c:ext xmlns:c16="http://schemas.microsoft.com/office/drawing/2014/chart" uri="{C3380CC4-5D6E-409C-BE32-E72D297353CC}">
              <c16:uniqueId val="{00000002-2097-4D8A-9BCC-8989388E5A07}"/>
            </c:ext>
          </c:extLst>
        </c:ser>
        <c:ser>
          <c:idx val="3"/>
          <c:order val="3"/>
          <c:tx>
            <c:strRef>
              <c:f>'Tax Admin'!$D$21</c:f>
              <c:strCache>
                <c:ptCount val="1"/>
                <c:pt idx="0">
                  <c:v>Other tax types</c:v>
                </c:pt>
              </c:strCache>
            </c:strRef>
          </c:tx>
          <c:spPr>
            <a:solidFill>
              <a:srgbClr val="984807"/>
            </a:solidFill>
            <a:ln w="12700">
              <a:noFill/>
              <a:prstDash val="solid"/>
            </a:ln>
          </c:spPr>
          <c:invertIfNegative val="0"/>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Admin'!$F$21:$AA$21</c:f>
              <c:numCache>
                <c:formatCode>_ * #\ ##0.0_ ;_ * \-#\ ##0.0_ ;_ * "-"??_ ;_ @_ </c:formatCode>
                <c:ptCount val="22"/>
                <c:pt idx="0">
                  <c:v>27724.160000000003</c:v>
                </c:pt>
                <c:pt idx="1">
                  <c:v>31554.447000000015</c:v>
                </c:pt>
                <c:pt idx="2">
                  <c:v>36683.800000000017</c:v>
                </c:pt>
                <c:pt idx="3">
                  <c:v>39375.679000000004</c:v>
                </c:pt>
                <c:pt idx="4">
                  <c:v>41682.559000000008</c:v>
                </c:pt>
                <c:pt idx="5">
                  <c:v>49817.583999999973</c:v>
                </c:pt>
                <c:pt idx="6">
                  <c:v>52358.309999999969</c:v>
                </c:pt>
                <c:pt idx="7">
                  <c:v>54035.543000000005</c:v>
                </c:pt>
                <c:pt idx="8">
                  <c:v>60605.877999999968</c:v>
                </c:pt>
                <c:pt idx="9">
                  <c:v>70797.258622029913</c:v>
                </c:pt>
                <c:pt idx="10">
                  <c:v>75881.034530130099</c:v>
                </c:pt>
                <c:pt idx="11">
                  <c:v>84727.221093109925</c:v>
                </c:pt>
                <c:pt idx="12">
                  <c:v>84735.746398760006</c:v>
                </c:pt>
                <c:pt idx="13">
                  <c:v>87725.541454540042</c:v>
                </c:pt>
                <c:pt idx="14">
                  <c:v>101243.07753865025</c:v>
                </c:pt>
                <c:pt idx="15">
                  <c:v>112820.28786277992</c:v>
                </c:pt>
                <c:pt idx="16">
                  <c:v>122230.47644532006</c:v>
                </c:pt>
                <c:pt idx="17">
                  <c:v>127720.29897502984</c:v>
                </c:pt>
                <c:pt idx="18">
                  <c:v>143781.77298686979</c:v>
                </c:pt>
                <c:pt idx="19">
                  <c:v>159956.03369855997</c:v>
                </c:pt>
                <c:pt idx="20">
                  <c:v>163172.55861854996</c:v>
                </c:pt>
                <c:pt idx="21">
                  <c:v>200899.46480246016</c:v>
                </c:pt>
              </c:numCache>
            </c:numRef>
          </c:val>
          <c:extLst>
            <c:ext xmlns:c16="http://schemas.microsoft.com/office/drawing/2014/chart" uri="{C3380CC4-5D6E-409C-BE32-E72D297353CC}">
              <c16:uniqueId val="{00000003-2097-4D8A-9BCC-8989388E5A07}"/>
            </c:ext>
          </c:extLst>
        </c:ser>
        <c:dLbls>
          <c:showLegendKey val="0"/>
          <c:showVal val="0"/>
          <c:showCatName val="0"/>
          <c:showSerName val="0"/>
          <c:showPercent val="0"/>
          <c:showBubbleSize val="0"/>
        </c:dLbls>
        <c:gapWidth val="150"/>
        <c:overlap val="100"/>
        <c:axId val="532763856"/>
        <c:axId val="532762680"/>
      </c:barChart>
      <c:lineChart>
        <c:grouping val="standard"/>
        <c:varyColors val="0"/>
        <c:ser>
          <c:idx val="5"/>
          <c:order val="4"/>
          <c:tx>
            <c:strRef>
              <c:f>'Tax Admin'!$D$10</c:f>
              <c:strCache>
                <c:ptCount val="1"/>
                <c:pt idx="0">
                  <c:v>Income Tax register</c:v>
                </c:pt>
              </c:strCache>
            </c:strRef>
          </c:tx>
          <c:spPr>
            <a:ln w="25400">
              <a:solidFill>
                <a:srgbClr val="800000"/>
              </a:solidFill>
              <a:prstDash val="solid"/>
            </a:ln>
          </c:spPr>
          <c:marker>
            <c:symbol val="none"/>
          </c:marker>
          <c:cat>
            <c:strRef>
              <c:f>'Tax Admin'!$F$7:$AA$7</c:f>
              <c:strCache>
                <c:ptCount val="22"/>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strCache>
            </c:strRef>
          </c:cat>
          <c:val>
            <c:numRef>
              <c:f>'Tax Admin'!$F$10:$AA$10</c:f>
              <c:numCache>
                <c:formatCode>#\ ###\ ##0</c:formatCode>
                <c:ptCount val="22"/>
                <c:pt idx="0">
                  <c:v>2762688</c:v>
                </c:pt>
                <c:pt idx="1">
                  <c:v>3023930</c:v>
                </c:pt>
                <c:pt idx="2">
                  <c:v>3260567</c:v>
                </c:pt>
                <c:pt idx="3">
                  <c:v>3637717</c:v>
                </c:pt>
                <c:pt idx="4">
                  <c:v>4163792</c:v>
                </c:pt>
                <c:pt idx="5">
                  <c:v>4637811</c:v>
                </c:pt>
                <c:pt idx="6">
                  <c:v>4484919</c:v>
                </c:pt>
                <c:pt idx="7">
                  <c:v>4878211</c:v>
                </c:pt>
                <c:pt idx="8">
                  <c:v>5367396</c:v>
                </c:pt>
                <c:pt idx="9">
                  <c:v>5876112</c:v>
                </c:pt>
                <c:pt idx="10">
                  <c:v>6357421</c:v>
                </c:pt>
                <c:pt idx="11">
                  <c:v>7173554</c:v>
                </c:pt>
                <c:pt idx="12">
                  <c:v>7766915</c:v>
                </c:pt>
                <c:pt idx="13">
                  <c:v>8131422</c:v>
                </c:pt>
                <c:pt idx="14">
                  <c:v>12751006</c:v>
                </c:pt>
                <c:pt idx="15">
                  <c:v>16039801</c:v>
                </c:pt>
                <c:pt idx="16">
                  <c:v>17926869</c:v>
                </c:pt>
                <c:pt idx="17">
                  <c:v>19787304</c:v>
                </c:pt>
                <c:pt idx="18">
                  <c:v>21452507</c:v>
                </c:pt>
                <c:pt idx="19" formatCode="#,##0">
                  <c:v>22693978</c:v>
                </c:pt>
                <c:pt idx="20" formatCode="#,##0">
                  <c:v>24201971</c:v>
                </c:pt>
                <c:pt idx="21" formatCode="#,##0">
                  <c:v>25589773</c:v>
                </c:pt>
              </c:numCache>
            </c:numRef>
          </c:val>
          <c:smooth val="0"/>
          <c:extLst>
            <c:ext xmlns:c16="http://schemas.microsoft.com/office/drawing/2014/chart" uri="{C3380CC4-5D6E-409C-BE32-E72D297353CC}">
              <c16:uniqueId val="{00000004-2097-4D8A-9BCC-8989388E5A07}"/>
            </c:ext>
          </c:extLst>
        </c:ser>
        <c:dLbls>
          <c:showLegendKey val="0"/>
          <c:showVal val="0"/>
          <c:showCatName val="0"/>
          <c:showSerName val="0"/>
          <c:showPercent val="0"/>
          <c:showBubbleSize val="0"/>
        </c:dLbls>
        <c:marker val="1"/>
        <c:smooth val="0"/>
        <c:axId val="532773264"/>
        <c:axId val="532770520"/>
      </c:lineChart>
      <c:catAx>
        <c:axId val="53276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2680"/>
        <c:crosses val="autoZero"/>
        <c:auto val="1"/>
        <c:lblAlgn val="ctr"/>
        <c:lblOffset val="100"/>
        <c:tickLblSkip val="1"/>
        <c:tickMarkSkip val="1"/>
        <c:noMultiLvlLbl val="0"/>
      </c:catAx>
      <c:valAx>
        <c:axId val="532762680"/>
        <c:scaling>
          <c:orientation val="minMax"/>
        </c:scaling>
        <c:delete val="0"/>
        <c:axPos val="l"/>
        <c:majorGridlines>
          <c:spPr>
            <a:ln w="3175">
              <a:solidFill>
                <a:srgbClr val="969696"/>
              </a:solidFill>
              <a:prstDash val="sysDash"/>
            </a:ln>
          </c:spPr>
        </c:majorGridlines>
        <c:title>
          <c:tx>
            <c:rich>
              <a:bodyPr/>
              <a:lstStyle/>
              <a:p>
                <a:pPr>
                  <a:defRPr sz="900" b="0" i="0" u="none" strike="noStrike" baseline="0">
                    <a:solidFill>
                      <a:srgbClr val="000000"/>
                    </a:solidFill>
                    <a:latin typeface="Arial"/>
                    <a:ea typeface="Arial"/>
                    <a:cs typeface="Arial"/>
                  </a:defRPr>
                </a:pPr>
                <a:r>
                  <a:rPr lang="en-ZA" sz="900"/>
                  <a:t>R'billion</a:t>
                </a:r>
              </a:p>
            </c:rich>
          </c:tx>
          <c:layout>
            <c:manualLayout>
              <c:xMode val="edge"/>
              <c:yMode val="edge"/>
              <c:x val="4.5807040077437116E-3"/>
              <c:y val="0.40955231395365099"/>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856"/>
        <c:crosses val="autoZero"/>
        <c:crossBetween val="between"/>
      </c:valAx>
      <c:catAx>
        <c:axId val="532773264"/>
        <c:scaling>
          <c:orientation val="minMax"/>
        </c:scaling>
        <c:delete val="1"/>
        <c:axPos val="b"/>
        <c:numFmt formatCode="General" sourceLinked="1"/>
        <c:majorTickMark val="out"/>
        <c:minorTickMark val="none"/>
        <c:tickLblPos val="none"/>
        <c:crossAx val="532770520"/>
        <c:crosses val="autoZero"/>
        <c:auto val="1"/>
        <c:lblAlgn val="ctr"/>
        <c:lblOffset val="100"/>
        <c:noMultiLvlLbl val="0"/>
      </c:catAx>
      <c:valAx>
        <c:axId val="532770520"/>
        <c:scaling>
          <c:orientation val="minMax"/>
        </c:scaling>
        <c:delete val="0"/>
        <c:axPos val="r"/>
        <c:title>
          <c:tx>
            <c:rich>
              <a:bodyPr/>
              <a:lstStyle/>
              <a:p>
                <a:pPr>
                  <a:defRPr sz="1000" b="0" i="0" u="none" strike="noStrike" baseline="0">
                    <a:solidFill>
                      <a:srgbClr val="000000"/>
                    </a:solidFill>
                    <a:latin typeface="Arial"/>
                    <a:ea typeface="Arial"/>
                    <a:cs typeface="Arial"/>
                  </a:defRPr>
                </a:pPr>
                <a:r>
                  <a:rPr lang="en-ZA"/>
                  <a:t>number</a:t>
                </a:r>
              </a:p>
            </c:rich>
          </c:tx>
          <c:layout>
            <c:manualLayout>
              <c:xMode val="edge"/>
              <c:yMode val="edge"/>
              <c:x val="0.97729432569770303"/>
              <c:y val="0.41839825740257541"/>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264"/>
        <c:crosses val="max"/>
        <c:crossBetween val="between"/>
        <c:majorUnit val="1500000"/>
      </c:valAx>
      <c:spPr>
        <a:solidFill>
          <a:srgbClr val="FFFFFF"/>
        </a:solidFill>
        <a:ln w="12700">
          <a:solidFill>
            <a:srgbClr val="808080"/>
          </a:solidFill>
          <a:prstDash val="solid"/>
        </a:ln>
      </c:spPr>
    </c:plotArea>
    <c:legend>
      <c:legendPos val="b"/>
      <c:layout>
        <c:manualLayout>
          <c:xMode val="edge"/>
          <c:yMode val="edge"/>
          <c:x val="7.2463780935763916E-2"/>
          <c:y val="0.93176791739861264"/>
          <c:w val="0.73550737649799325"/>
          <c:h val="5.6470782872643184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PERCENTAGE OF QUALIFIED AUDITS</a:t>
            </a:r>
          </a:p>
        </c:rich>
      </c:tx>
      <c:layout>
        <c:manualLayout>
          <c:xMode val="edge"/>
          <c:yMode val="edge"/>
          <c:x val="7.473852563477764E-3"/>
          <c:y val="3.2608695652174356E-2"/>
        </c:manualLayout>
      </c:layout>
      <c:overlay val="0"/>
      <c:spPr>
        <a:noFill/>
        <a:ln w="25400">
          <a:noFill/>
        </a:ln>
      </c:spPr>
    </c:title>
    <c:autoTitleDeleted val="0"/>
    <c:plotArea>
      <c:layout>
        <c:manualLayout>
          <c:layoutTarget val="inner"/>
          <c:xMode val="edge"/>
          <c:yMode val="edge"/>
          <c:x val="9.1116155153029121E-2"/>
          <c:y val="0.13356312677057641"/>
          <c:w val="0.88825167352430467"/>
          <c:h val="0.70788658257663062"/>
        </c:manualLayout>
      </c:layout>
      <c:lineChart>
        <c:grouping val="standard"/>
        <c:varyColors val="0"/>
        <c:ser>
          <c:idx val="2"/>
          <c:order val="0"/>
          <c:tx>
            <c:strRef>
              <c:f>'Qualified Audits'!$D$7</c:f>
              <c:strCache>
                <c:ptCount val="1"/>
                <c:pt idx="0">
                  <c:v>National depts.</c:v>
                </c:pt>
              </c:strCache>
            </c:strRef>
          </c:tx>
          <c:spPr>
            <a:ln w="25400">
              <a:solidFill>
                <a:srgbClr val="FF6600"/>
              </a:solidFill>
              <a:prstDash val="solid"/>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Audits'!$E$10:$U$10</c:f>
              <c:numCache>
                <c:formatCode>0.0%</c:formatCode>
                <c:ptCount val="17"/>
                <c:pt idx="0">
                  <c:v>0.19444444444444445</c:v>
                </c:pt>
                <c:pt idx="1">
                  <c:v>0.22222222222222221</c:v>
                </c:pt>
                <c:pt idx="2">
                  <c:v>0.22222222222222221</c:v>
                </c:pt>
                <c:pt idx="3">
                  <c:v>0.3235294117647059</c:v>
                </c:pt>
                <c:pt idx="4">
                  <c:v>0.20588235294117646</c:v>
                </c:pt>
                <c:pt idx="5">
                  <c:v>0.3235294117647059</c:v>
                </c:pt>
                <c:pt idx="6">
                  <c:v>0.38709677419354838</c:v>
                </c:pt>
                <c:pt idx="7">
                  <c:v>0.38709677419354838</c:v>
                </c:pt>
                <c:pt idx="8">
                  <c:v>0.35294117647058826</c:v>
                </c:pt>
                <c:pt idx="9">
                  <c:v>0.3235294117647059</c:v>
                </c:pt>
                <c:pt idx="10">
                  <c:v>0.25641025641025639</c:v>
                </c:pt>
                <c:pt idx="11">
                  <c:v>0.17499999999999999</c:v>
                </c:pt>
                <c:pt idx="12">
                  <c:v>0.15</c:v>
                </c:pt>
                <c:pt idx="13">
                  <c:v>0.17073170731707318</c:v>
                </c:pt>
                <c:pt idx="14">
                  <c:v>0.13953488372093023</c:v>
                </c:pt>
                <c:pt idx="15">
                  <c:v>7.1428571428571425E-2</c:v>
                </c:pt>
                <c:pt idx="16">
                  <c:v>0.19565217391304349</c:v>
                </c:pt>
              </c:numCache>
            </c:numRef>
          </c:val>
          <c:smooth val="0"/>
          <c:extLst>
            <c:ext xmlns:c16="http://schemas.microsoft.com/office/drawing/2014/chart" uri="{C3380CC4-5D6E-409C-BE32-E72D297353CC}">
              <c16:uniqueId val="{00000000-FB59-4294-89E4-99970235B588}"/>
            </c:ext>
          </c:extLst>
        </c:ser>
        <c:ser>
          <c:idx val="0"/>
          <c:order val="1"/>
          <c:tx>
            <c:strRef>
              <c:f>'Qualified Audits'!$D$11</c:f>
              <c:strCache>
                <c:ptCount val="1"/>
                <c:pt idx="0">
                  <c:v>Provincial depts.</c:v>
                </c:pt>
              </c:strCache>
            </c:strRef>
          </c:tx>
          <c:spPr>
            <a:ln w="25400">
              <a:solidFill>
                <a:srgbClr val="BE4B48"/>
              </a:solidFill>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Audits'!$E$14:$U$14</c:f>
              <c:numCache>
                <c:formatCode>0.0%</c:formatCode>
                <c:ptCount val="17"/>
                <c:pt idx="0">
                  <c:v>0.81196581196581197</c:v>
                </c:pt>
                <c:pt idx="1">
                  <c:v>0.53448275862068961</c:v>
                </c:pt>
                <c:pt idx="2">
                  <c:v>0.31034482758620691</c:v>
                </c:pt>
                <c:pt idx="3">
                  <c:v>0.31304347826086959</c:v>
                </c:pt>
                <c:pt idx="4">
                  <c:v>0.39316239316239315</c:v>
                </c:pt>
                <c:pt idx="5">
                  <c:v>0.42735042735042733</c:v>
                </c:pt>
                <c:pt idx="6">
                  <c:v>0.54285714285714282</c:v>
                </c:pt>
                <c:pt idx="7">
                  <c:v>0.3963963963963964</c:v>
                </c:pt>
                <c:pt idx="8">
                  <c:v>0.30578512396694213</c:v>
                </c:pt>
                <c:pt idx="9">
                  <c:v>0.27642276422764228</c:v>
                </c:pt>
                <c:pt idx="10">
                  <c:v>0.2975206611570248</c:v>
                </c:pt>
                <c:pt idx="11">
                  <c:v>0.32231404958677684</c:v>
                </c:pt>
                <c:pt idx="12">
                  <c:v>0.26829268292682928</c:v>
                </c:pt>
                <c:pt idx="13">
                  <c:v>0.22580645161290322</c:v>
                </c:pt>
                <c:pt idx="14">
                  <c:v>0.19354838709677419</c:v>
                </c:pt>
                <c:pt idx="15">
                  <c:v>0.21138211382113822</c:v>
                </c:pt>
                <c:pt idx="16">
                  <c:v>0.24390243902439024</c:v>
                </c:pt>
              </c:numCache>
            </c:numRef>
          </c:val>
          <c:smooth val="0"/>
          <c:extLst>
            <c:ext xmlns:c16="http://schemas.microsoft.com/office/drawing/2014/chart" uri="{C3380CC4-5D6E-409C-BE32-E72D297353CC}">
              <c16:uniqueId val="{00000001-FB59-4294-89E4-99970235B588}"/>
            </c:ext>
          </c:extLst>
        </c:ser>
        <c:ser>
          <c:idx val="1"/>
          <c:order val="2"/>
          <c:tx>
            <c:strRef>
              <c:f>'Qualified Audits'!$D$15</c:f>
              <c:strCache>
                <c:ptCount val="1"/>
                <c:pt idx="0">
                  <c:v>Municipalities</c:v>
                </c:pt>
              </c:strCache>
            </c:strRef>
          </c:tx>
          <c:spPr>
            <a:ln w="25400">
              <a:solidFill>
                <a:srgbClr val="FFC000"/>
              </a:solidFill>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Audits'!$E$18:$U$18</c:f>
              <c:numCache>
                <c:formatCode>0.0%</c:formatCode>
                <c:ptCount val="17"/>
                <c:pt idx="0">
                  <c:v>0.76243093922651939</c:v>
                </c:pt>
                <c:pt idx="1">
                  <c:v>0.74857142857142855</c:v>
                </c:pt>
                <c:pt idx="2">
                  <c:v>0.6015625</c:v>
                </c:pt>
                <c:pt idx="3">
                  <c:v>0.61052631578947369</c:v>
                </c:pt>
                <c:pt idx="4">
                  <c:v>0.5714285714285714</c:v>
                </c:pt>
                <c:pt idx="5">
                  <c:v>0.83333333333333337</c:v>
                </c:pt>
                <c:pt idx="6">
                  <c:v>0.79642857142857137</c:v>
                </c:pt>
                <c:pt idx="7">
                  <c:v>0.66077738515901063</c:v>
                </c:pt>
                <c:pt idx="8">
                  <c:v>0.58657243816254412</c:v>
                </c:pt>
                <c:pt idx="9">
                  <c:v>0.54063604240282681</c:v>
                </c:pt>
                <c:pt idx="10">
                  <c:v>0.53356890459363959</c:v>
                </c:pt>
                <c:pt idx="11">
                  <c:v>0.57913669064748197</c:v>
                </c:pt>
                <c:pt idx="12">
                  <c:v>0.56474820143884896</c:v>
                </c:pt>
                <c:pt idx="13">
                  <c:v>0.46</c:v>
                </c:pt>
                <c:pt idx="14">
                  <c:v>0.40400000000000003</c:v>
                </c:pt>
                <c:pt idx="15">
                  <c:v>0.33100000000000002</c:v>
                </c:pt>
                <c:pt idx="16">
                  <c:v>0.40799999999999997</c:v>
                </c:pt>
              </c:numCache>
            </c:numRef>
          </c:val>
          <c:smooth val="0"/>
          <c:extLst>
            <c:ext xmlns:c16="http://schemas.microsoft.com/office/drawing/2014/chart" uri="{C3380CC4-5D6E-409C-BE32-E72D297353CC}">
              <c16:uniqueId val="{00000002-FB59-4294-89E4-99970235B588}"/>
            </c:ext>
          </c:extLst>
        </c:ser>
        <c:ser>
          <c:idx val="3"/>
          <c:order val="3"/>
          <c:tx>
            <c:strRef>
              <c:f>'Qualified Audits'!$D$19</c:f>
              <c:strCache>
                <c:ptCount val="1"/>
                <c:pt idx="0">
                  <c:v>Public entities</c:v>
                </c:pt>
              </c:strCache>
            </c:strRef>
          </c:tx>
          <c:spPr>
            <a:ln w="25400">
              <a:solidFill>
                <a:srgbClr val="00B050"/>
              </a:solidFill>
            </a:ln>
          </c:spPr>
          <c:marker>
            <c:symbol val="none"/>
          </c:marker>
          <c:cat>
            <c:strRef>
              <c:f>'Qualified Audits'!$E$7:$U$7</c:f>
              <c:strCache>
                <c:ptCount val="17"/>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'Qualified Audits'!$E$22:$U$22</c:f>
              <c:numCache>
                <c:formatCode>0.0%</c:formatCode>
                <c:ptCount val="17"/>
                <c:pt idx="1">
                  <c:v>0.46323529411764708</c:v>
                </c:pt>
                <c:pt idx="2">
                  <c:v>0.38970588235294118</c:v>
                </c:pt>
                <c:pt idx="3">
                  <c:v>0.30107526881720431</c:v>
                </c:pt>
                <c:pt idx="4">
                  <c:v>0.12658227848101267</c:v>
                </c:pt>
                <c:pt idx="5">
                  <c:v>0.2655367231638418</c:v>
                </c:pt>
                <c:pt idx="6">
                  <c:v>0.28767123287671231</c:v>
                </c:pt>
                <c:pt idx="7">
                  <c:v>0.2253968253968254</c:v>
                </c:pt>
                <c:pt idx="8">
                  <c:v>0.22608695652173913</c:v>
                </c:pt>
                <c:pt idx="9">
                  <c:v>0.16155988857938719</c:v>
                </c:pt>
                <c:pt idx="10">
                  <c:v>0.15531335149863759</c:v>
                </c:pt>
                <c:pt idx="11">
                  <c:v>0.16576086956521738</c:v>
                </c:pt>
                <c:pt idx="12">
                  <c:v>0.20846905537459284</c:v>
                </c:pt>
                <c:pt idx="13">
                  <c:v>0.21926910299003322</c:v>
                </c:pt>
                <c:pt idx="14">
                  <c:v>0.21305841924398625</c:v>
                </c:pt>
                <c:pt idx="15">
                  <c:v>0.21232876712328766</c:v>
                </c:pt>
                <c:pt idx="16">
                  <c:v>0.27125506072874495</c:v>
                </c:pt>
              </c:numCache>
            </c:numRef>
          </c:val>
          <c:smooth val="0"/>
          <c:extLst>
            <c:ext xmlns:c16="http://schemas.microsoft.com/office/drawing/2014/chart" uri="{C3380CC4-5D6E-409C-BE32-E72D297353CC}">
              <c16:uniqueId val="{00000003-FB59-4294-89E4-99970235B588}"/>
            </c:ext>
          </c:extLst>
        </c:ser>
        <c:dLbls>
          <c:showLegendKey val="0"/>
          <c:showVal val="0"/>
          <c:showCatName val="0"/>
          <c:showSerName val="0"/>
          <c:showPercent val="0"/>
          <c:showBubbleSize val="0"/>
        </c:dLbls>
        <c:smooth val="0"/>
        <c:axId val="532767384"/>
        <c:axId val="532765816"/>
      </c:lineChart>
      <c:catAx>
        <c:axId val="53276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5816"/>
        <c:crosses val="autoZero"/>
        <c:auto val="1"/>
        <c:lblAlgn val="ctr"/>
        <c:lblOffset val="100"/>
        <c:tickLblSkip val="1"/>
        <c:tickMarkSkip val="1"/>
        <c:noMultiLvlLbl val="0"/>
      </c:catAx>
      <c:valAx>
        <c:axId val="532765816"/>
        <c:scaling>
          <c:orientation val="minMax"/>
          <c:min val="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7779935534817382E-2"/>
              <c:y val="0.4384074596694564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384"/>
        <c:crosses val="autoZero"/>
        <c:crossBetween val="between"/>
      </c:valAx>
      <c:spPr>
        <a:solidFill>
          <a:srgbClr val="FFFFFF"/>
        </a:solidFill>
        <a:ln w="12700">
          <a:solidFill>
            <a:srgbClr val="808080"/>
          </a:solidFill>
          <a:prstDash val="solid"/>
        </a:ln>
      </c:spPr>
    </c:plotArea>
    <c:legend>
      <c:legendPos val="r"/>
      <c:layout>
        <c:manualLayout>
          <c:xMode val="edge"/>
          <c:yMode val="edge"/>
          <c:x val="0.18317373134897647"/>
          <c:y val="0.90029633392600117"/>
          <c:w val="0.7599611186203904"/>
          <c:h val="9.970366607399881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CORRUPTION PERCEPTION</a:t>
            </a:r>
          </a:p>
        </c:rich>
      </c:tx>
      <c:layout>
        <c:manualLayout>
          <c:xMode val="edge"/>
          <c:yMode val="edge"/>
          <c:x val="5.5800258470229291E-2"/>
          <c:y val="2.7108459268678373E-2"/>
        </c:manualLayout>
      </c:layout>
      <c:overlay val="0"/>
      <c:spPr>
        <a:noFill/>
        <a:ln w="25400">
          <a:noFill/>
        </a:ln>
      </c:spPr>
    </c:title>
    <c:autoTitleDeleted val="0"/>
    <c:plotArea>
      <c:layout>
        <c:manualLayout>
          <c:layoutTarget val="inner"/>
          <c:xMode val="edge"/>
          <c:yMode val="edge"/>
          <c:x val="8.1218274111675079E-2"/>
          <c:y val="0.1832300915149658"/>
          <c:w val="0.84685325617854823"/>
          <c:h val="0.62111895428801656"/>
        </c:manualLayout>
      </c:layout>
      <c:lineChart>
        <c:grouping val="standard"/>
        <c:varyColors val="0"/>
        <c:ser>
          <c:idx val="1"/>
          <c:order val="0"/>
          <c:tx>
            <c:strRef>
              <c:f>Corruption!$D$11</c:f>
              <c:strCache>
                <c:ptCount val="1"/>
                <c:pt idx="0">
                  <c:v>Ranking position</c:v>
                </c:pt>
              </c:strCache>
            </c:strRef>
          </c:tx>
          <c:spPr>
            <a:ln w="25400">
              <a:solidFill>
                <a:srgbClr val="FF6600"/>
              </a:solidFill>
              <a:prstDash val="solid"/>
            </a:ln>
          </c:spPr>
          <c:marker>
            <c:symbol val="none"/>
          </c:marker>
          <c:cat>
            <c:numRef>
              <c:f>Corruption!$E$10:$Y$10</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Corruption!$E$11:$Y$11</c:f>
              <c:numCache>
                <c:formatCode>General</c:formatCode>
                <c:ptCount val="21"/>
                <c:pt idx="0">
                  <c:v>33</c:v>
                </c:pt>
                <c:pt idx="1">
                  <c:v>32</c:v>
                </c:pt>
                <c:pt idx="2">
                  <c:v>34</c:v>
                </c:pt>
                <c:pt idx="3">
                  <c:v>34</c:v>
                </c:pt>
                <c:pt idx="4">
                  <c:v>38</c:v>
                </c:pt>
                <c:pt idx="5">
                  <c:v>36</c:v>
                </c:pt>
                <c:pt idx="6">
                  <c:v>48</c:v>
                </c:pt>
                <c:pt idx="7">
                  <c:v>44</c:v>
                </c:pt>
                <c:pt idx="8">
                  <c:v>46</c:v>
                </c:pt>
                <c:pt idx="9">
                  <c:v>51</c:v>
                </c:pt>
                <c:pt idx="10">
                  <c:v>43</c:v>
                </c:pt>
                <c:pt idx="11">
                  <c:v>54</c:v>
                </c:pt>
                <c:pt idx="12">
                  <c:v>55</c:v>
                </c:pt>
                <c:pt idx="13">
                  <c:v>54</c:v>
                </c:pt>
                <c:pt idx="14">
                  <c:v>64</c:v>
                </c:pt>
                <c:pt idx="15">
                  <c:v>69</c:v>
                </c:pt>
                <c:pt idx="16">
                  <c:v>72</c:v>
                </c:pt>
                <c:pt idx="17">
                  <c:v>67</c:v>
                </c:pt>
                <c:pt idx="18">
                  <c:v>61</c:v>
                </c:pt>
                <c:pt idx="19">
                  <c:v>64</c:v>
                </c:pt>
                <c:pt idx="20">
                  <c:v>71</c:v>
                </c:pt>
              </c:numCache>
            </c:numRef>
          </c:val>
          <c:smooth val="0"/>
          <c:extLst>
            <c:ext xmlns:c16="http://schemas.microsoft.com/office/drawing/2014/chart" uri="{C3380CC4-5D6E-409C-BE32-E72D297353CC}">
              <c16:uniqueId val="{00000000-DCAB-4BCE-8083-B09554CE390D}"/>
            </c:ext>
          </c:extLst>
        </c:ser>
        <c:dLbls>
          <c:showLegendKey val="0"/>
          <c:showVal val="0"/>
          <c:showCatName val="0"/>
          <c:showSerName val="0"/>
          <c:showPercent val="0"/>
          <c:showBubbleSize val="0"/>
        </c:dLbls>
        <c:marker val="1"/>
        <c:smooth val="0"/>
        <c:axId val="532773656"/>
        <c:axId val="532769344"/>
      </c:lineChart>
      <c:lineChart>
        <c:grouping val="standard"/>
        <c:varyColors val="0"/>
        <c:ser>
          <c:idx val="0"/>
          <c:order val="1"/>
          <c:tx>
            <c:strRef>
              <c:f>Corruption!$D$12</c:f>
              <c:strCache>
                <c:ptCount val="1"/>
                <c:pt idx="0">
                  <c:v>Corruption perception scores</c:v>
                </c:pt>
              </c:strCache>
            </c:strRef>
          </c:tx>
          <c:spPr>
            <a:ln w="25400">
              <a:solidFill>
                <a:srgbClr val="BE4B48"/>
              </a:solidFill>
              <a:prstDash val="solid"/>
            </a:ln>
          </c:spPr>
          <c:marker>
            <c:symbol val="none"/>
          </c:marker>
          <c:cat>
            <c:numRef>
              <c:f>Corruption!$E$10:$Y$10</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Corruption!$E$12:$Y$12</c:f>
              <c:numCache>
                <c:formatCode>General</c:formatCode>
                <c:ptCount val="21"/>
                <c:pt idx="0">
                  <c:v>49</c:v>
                </c:pt>
                <c:pt idx="1">
                  <c:v>52</c:v>
                </c:pt>
                <c:pt idx="2">
                  <c:v>50</c:v>
                </c:pt>
                <c:pt idx="3">
                  <c:v>50</c:v>
                </c:pt>
                <c:pt idx="4">
                  <c:v>48</c:v>
                </c:pt>
                <c:pt idx="5">
                  <c:v>48</c:v>
                </c:pt>
                <c:pt idx="6">
                  <c:v>44</c:v>
                </c:pt>
                <c:pt idx="7">
                  <c:v>46</c:v>
                </c:pt>
                <c:pt idx="8">
                  <c:v>45</c:v>
                </c:pt>
                <c:pt idx="9">
                  <c:v>46</c:v>
                </c:pt>
                <c:pt idx="10">
                  <c:v>51</c:v>
                </c:pt>
                <c:pt idx="11">
                  <c:v>49</c:v>
                </c:pt>
                <c:pt idx="12">
                  <c:v>47</c:v>
                </c:pt>
                <c:pt idx="13">
                  <c:v>45</c:v>
                </c:pt>
                <c:pt idx="14">
                  <c:v>41</c:v>
                </c:pt>
                <c:pt idx="15">
                  <c:v>43</c:v>
                </c:pt>
                <c:pt idx="16">
                  <c:v>42</c:v>
                </c:pt>
                <c:pt idx="17">
                  <c:v>44</c:v>
                </c:pt>
                <c:pt idx="18">
                  <c:v>44</c:v>
                </c:pt>
                <c:pt idx="19">
                  <c:v>45</c:v>
                </c:pt>
                <c:pt idx="20">
                  <c:v>43</c:v>
                </c:pt>
              </c:numCache>
            </c:numRef>
          </c:val>
          <c:smooth val="0"/>
          <c:extLst>
            <c:ext xmlns:c16="http://schemas.microsoft.com/office/drawing/2014/chart" uri="{C3380CC4-5D6E-409C-BE32-E72D297353CC}">
              <c16:uniqueId val="{00000001-DCAB-4BCE-8083-B09554CE390D}"/>
            </c:ext>
          </c:extLst>
        </c:ser>
        <c:dLbls>
          <c:showLegendKey val="0"/>
          <c:showVal val="0"/>
          <c:showCatName val="0"/>
          <c:showSerName val="0"/>
          <c:showPercent val="0"/>
          <c:showBubbleSize val="0"/>
        </c:dLbls>
        <c:marker val="1"/>
        <c:smooth val="0"/>
        <c:axId val="532764640"/>
        <c:axId val="532771696"/>
      </c:lineChart>
      <c:catAx>
        <c:axId val="53277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344"/>
        <c:crosses val="autoZero"/>
        <c:auto val="0"/>
        <c:lblAlgn val="ctr"/>
        <c:lblOffset val="100"/>
        <c:tickLblSkip val="1"/>
        <c:tickMarkSkip val="1"/>
        <c:noMultiLvlLbl val="0"/>
      </c:catAx>
      <c:valAx>
        <c:axId val="53276934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ranking </a:t>
                </a:r>
              </a:p>
            </c:rich>
          </c:tx>
          <c:layout>
            <c:manualLayout>
              <c:xMode val="edge"/>
              <c:yMode val="edge"/>
              <c:x val="2.3494943842679611E-2"/>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656"/>
        <c:crosses val="autoZero"/>
        <c:crossBetween val="midCat"/>
      </c:valAx>
      <c:catAx>
        <c:axId val="532764640"/>
        <c:scaling>
          <c:orientation val="minMax"/>
        </c:scaling>
        <c:delete val="1"/>
        <c:axPos val="b"/>
        <c:numFmt formatCode="General" sourceLinked="1"/>
        <c:majorTickMark val="out"/>
        <c:minorTickMark val="none"/>
        <c:tickLblPos val="none"/>
        <c:crossAx val="532771696"/>
        <c:crosses val="autoZero"/>
        <c:auto val="0"/>
        <c:lblAlgn val="ctr"/>
        <c:lblOffset val="100"/>
        <c:noMultiLvlLbl val="0"/>
      </c:catAx>
      <c:valAx>
        <c:axId val="5327716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scores</a:t>
                </a:r>
              </a:p>
            </c:rich>
          </c:tx>
          <c:layout>
            <c:manualLayout>
              <c:xMode val="edge"/>
              <c:yMode val="edge"/>
              <c:x val="0.95976764325779074"/>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4640"/>
        <c:crosses val="max"/>
        <c:crossBetween val="midCat"/>
      </c:valAx>
      <c:spPr>
        <a:solidFill>
          <a:srgbClr val="FFFFFF"/>
        </a:solidFill>
        <a:ln w="12700">
          <a:solidFill>
            <a:srgbClr val="808080"/>
          </a:solidFill>
          <a:prstDash val="solid"/>
        </a:ln>
      </c:spPr>
    </c:plotArea>
    <c:legend>
      <c:legendPos val="r"/>
      <c:layout>
        <c:manualLayout>
          <c:xMode val="edge"/>
          <c:yMode val="edge"/>
          <c:x val="0.27640681265863581"/>
          <c:y val="0.92804335663784965"/>
          <c:w val="0.42448189086862353"/>
          <c:h val="5.95535843831775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PUBLIC OPINION ON DELIVERY OF BASIC SERVICES</a:t>
            </a:r>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'!$E$47:$V$47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'Public Opinion '!$E$81:$V$81</c:f>
              <c:numCache>
                <c:formatCode>_ * #\ ##0_ ;_ * \-#\ ##0_ ;_ * "-"??_ ;_ @_ </c:formatCode>
                <c:ptCount val="18"/>
                <c:pt idx="0">
                  <c:v>69.5</c:v>
                </c:pt>
                <c:pt idx="1">
                  <c:v>64</c:v>
                </c:pt>
                <c:pt idx="2">
                  <c:v>72.5</c:v>
                </c:pt>
                <c:pt idx="3">
                  <c:v>73.5</c:v>
                </c:pt>
                <c:pt idx="4">
                  <c:v>79</c:v>
                </c:pt>
                <c:pt idx="5">
                  <c:v>73</c:v>
                </c:pt>
                <c:pt idx="6">
                  <c:v>74</c:v>
                </c:pt>
                <c:pt idx="7">
                  <c:v>65</c:v>
                </c:pt>
                <c:pt idx="8">
                  <c:v>58</c:v>
                </c:pt>
                <c:pt idx="9">
                  <c:v>59</c:v>
                </c:pt>
                <c:pt idx="10">
                  <c:v>55.4</c:v>
                </c:pt>
                <c:pt idx="11">
                  <c:v>49.5</c:v>
                </c:pt>
                <c:pt idx="12">
                  <c:v>52.25</c:v>
                </c:pt>
                <c:pt idx="13">
                  <c:v>53</c:v>
                </c:pt>
                <c:pt idx="14">
                  <c:v>56</c:v>
                </c:pt>
                <c:pt idx="15">
                  <c:v>50.5</c:v>
                </c:pt>
                <c:pt idx="16">
                  <c:v>48</c:v>
                </c:pt>
                <c:pt idx="17">
                  <c:v>46</c:v>
                </c:pt>
              </c:numCache>
            </c:numRef>
          </c:val>
          <c:smooth val="0"/>
          <c:extLst>
            <c:ext xmlns:c16="http://schemas.microsoft.com/office/drawing/2014/chart" uri="{C3380CC4-5D6E-409C-BE32-E72D297353CC}">
              <c16:uniqueId val="{00000000-0BCE-408E-A32B-74AD1166946C}"/>
            </c:ext>
          </c:extLst>
        </c:ser>
        <c:dLbls>
          <c:showLegendKey val="0"/>
          <c:showVal val="0"/>
          <c:showCatName val="0"/>
          <c:showSerName val="0"/>
          <c:showPercent val="0"/>
          <c:showBubbleSize val="0"/>
        </c:dLbls>
        <c:smooth val="0"/>
        <c:axId val="532763072"/>
        <c:axId val="532772088"/>
      </c:lineChart>
      <c:catAx>
        <c:axId val="53276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2088"/>
        <c:crosses val="autoZero"/>
        <c:auto val="1"/>
        <c:lblAlgn val="ctr"/>
        <c:lblOffset val="100"/>
        <c:tickLblSkip val="1"/>
        <c:tickMarkSkip val="1"/>
        <c:noMultiLvlLbl val="0"/>
      </c:catAx>
      <c:valAx>
        <c:axId val="532772088"/>
        <c:scaling>
          <c:orientation val="minMax"/>
          <c:min val="45"/>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'[30]Public Opinion'!$D$54</c:f>
              <c:strCache>
                <c:ptCount val="1"/>
                <c:pt idx="0">
                  <c:v>Performing well</c:v>
                </c:pt>
              </c:strCache>
            </c:strRef>
          </c:tx>
          <c:marker>
            <c:symbol val="none"/>
          </c:marker>
          <c:val>
            <c:numRef>
              <c:f>'[30]Public Opinion'!$E$54:$S$54</c:f>
              <c:numCache>
                <c:formatCode>General</c:formatCode>
                <c:ptCount val="15"/>
                <c:pt idx="0">
                  <c:v>70</c:v>
                </c:pt>
                <c:pt idx="1">
                  <c:v>64</c:v>
                </c:pt>
                <c:pt idx="2">
                  <c:v>73</c:v>
                </c:pt>
                <c:pt idx="3">
                  <c:v>74</c:v>
                </c:pt>
                <c:pt idx="4">
                  <c:v>79</c:v>
                </c:pt>
                <c:pt idx="5">
                  <c:v>73</c:v>
                </c:pt>
                <c:pt idx="6">
                  <c:v>74</c:v>
                </c:pt>
                <c:pt idx="7">
                  <c:v>65</c:v>
                </c:pt>
                <c:pt idx="8">
                  <c:v>58</c:v>
                </c:pt>
                <c:pt idx="9">
                  <c:v>59</c:v>
                </c:pt>
                <c:pt idx="10">
                  <c:v>55</c:v>
                </c:pt>
                <c:pt idx="11">
                  <c:v>50</c:v>
                </c:pt>
                <c:pt idx="12">
                  <c:v>52</c:v>
                </c:pt>
                <c:pt idx="13">
                  <c:v>53</c:v>
                </c:pt>
                <c:pt idx="14">
                  <c:v>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'[31]Public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0-C1A2-46FE-89C1-3C1CADD1BA23}"/>
            </c:ext>
          </c:extLst>
        </c:ser>
        <c:dLbls>
          <c:showLegendKey val="0"/>
          <c:showVal val="0"/>
          <c:showCatName val="0"/>
          <c:showSerName val="0"/>
          <c:showPercent val="0"/>
          <c:showBubbleSize val="0"/>
        </c:dLbls>
        <c:marker val="1"/>
        <c:smooth val="0"/>
        <c:axId val="532764248"/>
        <c:axId val="532768168"/>
      </c:lineChart>
      <c:lineChart>
        <c:grouping val="standard"/>
        <c:varyColors val="0"/>
        <c:ser>
          <c:idx val="1"/>
          <c:order val="1"/>
          <c:tx>
            <c:strRef>
              <c:f>'[30]Public Opinion'!$D$55</c:f>
              <c:strCache>
                <c:ptCount val="1"/>
                <c:pt idx="0">
                  <c:v>Major service protests</c:v>
                </c:pt>
              </c:strCache>
            </c:strRef>
          </c:tx>
          <c:marker>
            <c:symbol val="none"/>
          </c:marker>
          <c:val>
            <c:numRef>
              <c:f>'[30]Public Opinion'!$E$55:$S$55</c:f>
              <c:numCache>
                <c:formatCode>General</c:formatCode>
                <c:ptCount val="15"/>
                <c:pt idx="4">
                  <c:v>10</c:v>
                </c:pt>
                <c:pt idx="5">
                  <c:v>34</c:v>
                </c:pt>
                <c:pt idx="6">
                  <c:v>2</c:v>
                </c:pt>
                <c:pt idx="7">
                  <c:v>32</c:v>
                </c:pt>
                <c:pt idx="8">
                  <c:v>27</c:v>
                </c:pt>
                <c:pt idx="9">
                  <c:v>107</c:v>
                </c:pt>
                <c:pt idx="10">
                  <c:v>111</c:v>
                </c:pt>
                <c:pt idx="11">
                  <c:v>82</c:v>
                </c:pt>
                <c:pt idx="12">
                  <c:v>173</c:v>
                </c:pt>
                <c:pt idx="13">
                  <c:v>155</c:v>
                </c:pt>
                <c:pt idx="14">
                  <c:v>134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'[31]Public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1-C1A2-46FE-89C1-3C1CADD1BA23}"/>
            </c:ext>
          </c:extLst>
        </c:ser>
        <c:dLbls>
          <c:showLegendKey val="0"/>
          <c:showVal val="0"/>
          <c:showCatName val="0"/>
          <c:showSerName val="0"/>
          <c:showPercent val="0"/>
          <c:showBubbleSize val="0"/>
        </c:dLbls>
        <c:marker val="1"/>
        <c:smooth val="0"/>
        <c:axId val="532765424"/>
        <c:axId val="532768952"/>
      </c:lineChart>
      <c:catAx>
        <c:axId val="532764248"/>
        <c:scaling>
          <c:orientation val="minMax"/>
        </c:scaling>
        <c:delete val="0"/>
        <c:axPos val="b"/>
        <c:numFmt formatCode="General" sourceLinked="1"/>
        <c:majorTickMark val="out"/>
        <c:minorTickMark val="none"/>
        <c:tickLblPos val="nextTo"/>
        <c:crossAx val="532768168"/>
        <c:crosses val="autoZero"/>
        <c:auto val="1"/>
        <c:lblAlgn val="ctr"/>
        <c:lblOffset val="100"/>
        <c:noMultiLvlLbl val="0"/>
      </c:catAx>
      <c:valAx>
        <c:axId val="532768168"/>
        <c:scaling>
          <c:orientation val="minMax"/>
        </c:scaling>
        <c:delete val="0"/>
        <c:axPos val="l"/>
        <c:majorGridlines/>
        <c:numFmt formatCode="General" sourceLinked="1"/>
        <c:majorTickMark val="out"/>
        <c:minorTickMark val="none"/>
        <c:tickLblPos val="nextTo"/>
        <c:crossAx val="532764248"/>
        <c:crosses val="autoZero"/>
        <c:crossBetween val="between"/>
      </c:valAx>
      <c:valAx>
        <c:axId val="532768952"/>
        <c:scaling>
          <c:orientation val="minMax"/>
        </c:scaling>
        <c:delete val="0"/>
        <c:axPos val="r"/>
        <c:numFmt formatCode="General" sourceLinked="1"/>
        <c:majorTickMark val="out"/>
        <c:minorTickMark val="none"/>
        <c:tickLblPos val="nextTo"/>
        <c:crossAx val="532765424"/>
        <c:crosses val="max"/>
        <c:crossBetween val="between"/>
      </c:valAx>
      <c:catAx>
        <c:axId val="532765424"/>
        <c:scaling>
          <c:orientation val="minMax"/>
        </c:scaling>
        <c:delete val="1"/>
        <c:axPos val="b"/>
        <c:numFmt formatCode="General" sourceLinked="1"/>
        <c:majorTickMark val="out"/>
        <c:minorTickMark val="none"/>
        <c:tickLblPos val="nextTo"/>
        <c:crossAx val="53276895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MAJOR</a:t>
            </a:r>
            <a:r>
              <a:rPr lang="en-US" sz="1000" baseline="0"/>
              <a:t> SERVICE DELIVERY PROTESTS</a:t>
            </a:r>
            <a:endParaRPr lang="en-US" sz="1000"/>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'!$I$47:$V$47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'Public Opinion '!$I$82:$V$82</c:f>
              <c:numCache>
                <c:formatCode>_ * #\ ##0_ ;_ * \-#\ ##0_ ;_ * "-"??_ ;_ @_ </c:formatCode>
                <c:ptCount val="14"/>
                <c:pt idx="0">
                  <c:v>10</c:v>
                </c:pt>
                <c:pt idx="1">
                  <c:v>34</c:v>
                </c:pt>
                <c:pt idx="2">
                  <c:v>2</c:v>
                </c:pt>
                <c:pt idx="3">
                  <c:v>32</c:v>
                </c:pt>
                <c:pt idx="4">
                  <c:v>27</c:v>
                </c:pt>
                <c:pt idx="5">
                  <c:v>107</c:v>
                </c:pt>
                <c:pt idx="6">
                  <c:v>111</c:v>
                </c:pt>
                <c:pt idx="7">
                  <c:v>82</c:v>
                </c:pt>
                <c:pt idx="8">
                  <c:v>173</c:v>
                </c:pt>
                <c:pt idx="9">
                  <c:v>155</c:v>
                </c:pt>
                <c:pt idx="10">
                  <c:v>191</c:v>
                </c:pt>
                <c:pt idx="11">
                  <c:v>164</c:v>
                </c:pt>
                <c:pt idx="12">
                  <c:v>137</c:v>
                </c:pt>
                <c:pt idx="13">
                  <c:v>173</c:v>
                </c:pt>
              </c:numCache>
            </c:numRef>
          </c:val>
          <c:smooth val="0"/>
          <c:extLst>
            <c:ext xmlns:c16="http://schemas.microsoft.com/office/drawing/2014/chart" uri="{C3380CC4-5D6E-409C-BE32-E72D297353CC}">
              <c16:uniqueId val="{00000000-4F0D-442E-BDC8-5EB0AD767B24}"/>
            </c:ext>
          </c:extLst>
        </c:ser>
        <c:dLbls>
          <c:showLegendKey val="0"/>
          <c:showVal val="0"/>
          <c:showCatName val="0"/>
          <c:showSerName val="0"/>
          <c:showPercent val="0"/>
          <c:showBubbleSize val="0"/>
        </c:dLbls>
        <c:smooth val="0"/>
        <c:axId val="532769736"/>
        <c:axId val="532770912"/>
      </c:lineChart>
      <c:catAx>
        <c:axId val="53276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0912"/>
        <c:crosses val="autoZero"/>
        <c:auto val="1"/>
        <c:lblAlgn val="ctr"/>
        <c:lblOffset val="100"/>
        <c:tickLblSkip val="1"/>
        <c:tickMarkSkip val="1"/>
        <c:noMultiLvlLbl val="0"/>
      </c:catAx>
      <c:valAx>
        <c:axId val="532770912"/>
        <c:scaling>
          <c:orientation val="minMax"/>
          <c:max val="20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Number</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73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NATIONAL GREENHOUSE GAS (GHG) EMISSIONS TRAJECTORY RANGE</a:t>
            </a:r>
          </a:p>
        </c:rich>
      </c:tx>
      <c:layout>
        <c:manualLayout>
          <c:xMode val="edge"/>
          <c:yMode val="edge"/>
          <c:x val="0.30617970426033364"/>
          <c:y val="2.8835063437139562E-2"/>
        </c:manualLayout>
      </c:layout>
      <c:overlay val="0"/>
      <c:spPr>
        <a:noFill/>
        <a:ln w="25400">
          <a:noFill/>
        </a:ln>
      </c:spPr>
    </c:title>
    <c:autoTitleDeleted val="0"/>
    <c:plotArea>
      <c:layout>
        <c:manualLayout>
          <c:layoutTarget val="inner"/>
          <c:xMode val="edge"/>
          <c:yMode val="edge"/>
          <c:x val="9.2103276573462595E-2"/>
          <c:y val="8.7636342170031509E-2"/>
          <c:w val="0.88984472735300613"/>
          <c:h val="0.80630759523639617"/>
        </c:manualLayout>
      </c:layout>
      <c:lineChart>
        <c:grouping val="standard"/>
        <c:varyColors val="0"/>
        <c:ser>
          <c:idx val="3"/>
          <c:order val="0"/>
          <c:tx>
            <c:strRef>
              <c:f>'Gas Emission '!$D$8</c:f>
              <c:strCache>
                <c:ptCount val="1"/>
                <c:pt idx="0">
                  <c:v>Benchmark Trajectory Upper Range </c:v>
                </c:pt>
              </c:strCache>
            </c:strRef>
          </c:tx>
          <c:spPr>
            <a:ln>
              <a:solidFill>
                <a:srgbClr val="00F66F"/>
              </a:solidFill>
            </a:ln>
          </c:spPr>
          <c:marker>
            <c:spPr>
              <a:noFill/>
              <a:ln>
                <a:noFill/>
              </a:ln>
            </c:spPr>
          </c:marker>
          <c:cat>
            <c:numRef>
              <c:f>'Gas Emission '!$F$7:$R$7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'Gas Emission '!$F$8:$R$8</c:f>
              <c:numCache>
                <c:formatCode>0.00</c:formatCode>
                <c:ptCount val="13"/>
                <c:pt idx="0">
                  <c:v>431</c:v>
                </c:pt>
                <c:pt idx="1">
                  <c:v>442</c:v>
                </c:pt>
                <c:pt idx="2">
                  <c:v>453</c:v>
                </c:pt>
                <c:pt idx="3">
                  <c:v>464</c:v>
                </c:pt>
                <c:pt idx="4">
                  <c:v>475</c:v>
                </c:pt>
                <c:pt idx="5">
                  <c:v>486</c:v>
                </c:pt>
                <c:pt idx="6">
                  <c:v>497</c:v>
                </c:pt>
                <c:pt idx="7">
                  <c:v>508</c:v>
                </c:pt>
                <c:pt idx="8">
                  <c:v>519</c:v>
                </c:pt>
                <c:pt idx="9">
                  <c:v>530</c:v>
                </c:pt>
                <c:pt idx="10">
                  <c:v>550</c:v>
                </c:pt>
                <c:pt idx="11">
                  <c:v>547</c:v>
                </c:pt>
                <c:pt idx="12">
                  <c:v>553</c:v>
                </c:pt>
              </c:numCache>
            </c:numRef>
          </c:val>
          <c:smooth val="0"/>
          <c:extLst>
            <c:ext xmlns:c16="http://schemas.microsoft.com/office/drawing/2014/chart" uri="{C3380CC4-5D6E-409C-BE32-E72D297353CC}">
              <c16:uniqueId val="{00000000-E1DB-4501-B6A0-0EF8359FBDAE}"/>
            </c:ext>
          </c:extLst>
        </c:ser>
        <c:ser>
          <c:idx val="4"/>
          <c:order val="1"/>
          <c:tx>
            <c:strRef>
              <c:f>'Gas Emission '!$D$9</c:f>
              <c:strCache>
                <c:ptCount val="1"/>
                <c:pt idx="0">
                  <c:v>Benchmark Trajectory Lower Range </c:v>
                </c:pt>
              </c:strCache>
            </c:strRef>
          </c:tx>
          <c:spPr>
            <a:ln>
              <a:solidFill>
                <a:srgbClr val="FF0000"/>
              </a:solidFill>
            </a:ln>
          </c:spPr>
          <c:marker>
            <c:spPr>
              <a:noFill/>
              <a:ln>
                <a:noFill/>
              </a:ln>
            </c:spPr>
          </c:marker>
          <c:cat>
            <c:numRef>
              <c:f>'Gas Emission '!$F$7:$R$7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'Gas Emission '!$F$9:$R$9</c:f>
              <c:numCache>
                <c:formatCode>0.00</c:formatCode>
                <c:ptCount val="13"/>
                <c:pt idx="0">
                  <c:v>398</c:v>
                </c:pt>
                <c:pt idx="1">
                  <c:v>398</c:v>
                </c:pt>
                <c:pt idx="2">
                  <c:v>398</c:v>
                </c:pt>
                <c:pt idx="3">
                  <c:v>398</c:v>
                </c:pt>
                <c:pt idx="4">
                  <c:v>398</c:v>
                </c:pt>
                <c:pt idx="5">
                  <c:v>398</c:v>
                </c:pt>
                <c:pt idx="6">
                  <c:v>398</c:v>
                </c:pt>
                <c:pt idx="7">
                  <c:v>398</c:v>
                </c:pt>
                <c:pt idx="8">
                  <c:v>398</c:v>
                </c:pt>
                <c:pt idx="9">
                  <c:v>398</c:v>
                </c:pt>
                <c:pt idx="10">
                  <c:v>398</c:v>
                </c:pt>
                <c:pt idx="11">
                  <c:v>398</c:v>
                </c:pt>
                <c:pt idx="12">
                  <c:v>398</c:v>
                </c:pt>
              </c:numCache>
            </c:numRef>
          </c:val>
          <c:smooth val="0"/>
          <c:extLst>
            <c:ext xmlns:c16="http://schemas.microsoft.com/office/drawing/2014/chart" uri="{C3380CC4-5D6E-409C-BE32-E72D297353CC}">
              <c16:uniqueId val="{00000001-E1DB-4501-B6A0-0EF8359FBDAE}"/>
            </c:ext>
          </c:extLst>
        </c:ser>
        <c:ser>
          <c:idx val="5"/>
          <c:order val="2"/>
          <c:tx>
            <c:strRef>
              <c:f>'Gas Emission '!$D$10</c:f>
              <c:strCache>
                <c:ptCount val="1"/>
                <c:pt idx="0">
                  <c:v>Actual emissions</c:v>
                </c:pt>
              </c:strCache>
            </c:strRef>
          </c:tx>
          <c:spPr>
            <a:ln>
              <a:solidFill>
                <a:srgbClr val="00B0F0"/>
              </a:solidFill>
            </a:ln>
          </c:spPr>
          <c:marker>
            <c:symbol val="none"/>
          </c:marker>
          <c:cat>
            <c:numRef>
              <c:f>'Gas Emission '!$F$7:$R$7</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'Gas Emission '!$F$10:$R$10</c:f>
              <c:numCache>
                <c:formatCode>0.00</c:formatCode>
                <c:ptCount val="13"/>
                <c:pt idx="0">
                  <c:v>434</c:v>
                </c:pt>
                <c:pt idx="1">
                  <c:v>434</c:v>
                </c:pt>
                <c:pt idx="2">
                  <c:v>446</c:v>
                </c:pt>
                <c:pt idx="3">
                  <c:v>468</c:v>
                </c:pt>
                <c:pt idx="4">
                  <c:v>489</c:v>
                </c:pt>
                <c:pt idx="5">
                  <c:v>485</c:v>
                </c:pt>
                <c:pt idx="6">
                  <c:v>492</c:v>
                </c:pt>
                <c:pt idx="7">
                  <c:v>517</c:v>
                </c:pt>
                <c:pt idx="8">
                  <c:v>515</c:v>
                </c:pt>
                <c:pt idx="9">
                  <c:v>514</c:v>
                </c:pt>
                <c:pt idx="10">
                  <c:v>514</c:v>
                </c:pt>
                <c:pt idx="11">
                  <c:v>529</c:v>
                </c:pt>
                <c:pt idx="12">
                  <c:v>518</c:v>
                </c:pt>
              </c:numCache>
            </c:numRef>
          </c:val>
          <c:smooth val="0"/>
          <c:extLst>
            <c:ext xmlns:c16="http://schemas.microsoft.com/office/drawing/2014/chart" uri="{C3380CC4-5D6E-409C-BE32-E72D297353CC}">
              <c16:uniqueId val="{00000002-E1DB-4501-B6A0-0EF8359FBDAE}"/>
            </c:ext>
          </c:extLst>
        </c:ser>
        <c:dLbls>
          <c:showLegendKey val="0"/>
          <c:showVal val="0"/>
          <c:showCatName val="0"/>
          <c:showSerName val="0"/>
          <c:showPercent val="0"/>
          <c:showBubbleSize val="0"/>
        </c:dLbls>
        <c:upDownBars>
          <c:gapWidth val="150"/>
          <c:upBars/>
          <c:downBars/>
        </c:upDownBars>
        <c:marker val="1"/>
        <c:smooth val="0"/>
        <c:axId val="422024304"/>
        <c:axId val="422024696"/>
      </c:lineChart>
      <c:catAx>
        <c:axId val="42202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22024696"/>
        <c:crosses val="autoZero"/>
        <c:auto val="1"/>
        <c:lblAlgn val="ctr"/>
        <c:lblOffset val="100"/>
        <c:tickLblSkip val="1"/>
        <c:tickMarkSkip val="1"/>
        <c:noMultiLvlLbl val="0"/>
      </c:catAx>
      <c:valAx>
        <c:axId val="422024696"/>
        <c:scaling>
          <c:orientation val="minMax"/>
          <c:max val="650"/>
          <c:min val="20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0" sourceLinked="1"/>
        <c:majorTickMark val="none"/>
        <c:minorTickMark val="none"/>
        <c:tickLblPos val="nextTo"/>
        <c:spPr>
          <a:ln w="12700">
            <a:solidFill>
              <a:schemeClr val="tx1"/>
            </a:solidFill>
          </a:ln>
        </c:spPr>
        <c:txPr>
          <a:bodyPr rot="0" vert="horz"/>
          <a:lstStyle/>
          <a:p>
            <a:pPr>
              <a:defRPr/>
            </a:pPr>
            <a:endParaRPr lang="en-US"/>
          </a:p>
        </c:txPr>
        <c:crossAx val="422024304"/>
        <c:crosses val="autoZero"/>
        <c:crossBetween val="between"/>
        <c:majorUnit val="50"/>
      </c:valAx>
    </c:plotArea>
    <c:legend>
      <c:legendPos val="t"/>
      <c:layout>
        <c:manualLayout>
          <c:xMode val="edge"/>
          <c:yMode val="edge"/>
          <c:x val="0.15745860326098451"/>
          <c:y val="8.4898600477708447E-2"/>
          <c:w val="0.61880877358469533"/>
          <c:h val="0.21376615527823029"/>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Regional Air Quality Indices</a:t>
            </a:r>
          </a:p>
        </c:rich>
      </c:tx>
      <c:layout>
        <c:manualLayout>
          <c:xMode val="edge"/>
          <c:yMode val="edge"/>
          <c:x val="0.39873508769150334"/>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'Air Quality'!$D$8</c:f>
              <c:strCache>
                <c:ptCount val="1"/>
                <c:pt idx="0">
                  <c:v>National Air Quality Indicator (NAQI)</c:v>
                </c:pt>
              </c:strCache>
            </c:strRef>
          </c:tx>
          <c:spPr>
            <a:ln w="38100">
              <a:solidFill>
                <a:schemeClr val="accent6">
                  <a:lumMod val="50000"/>
                </a:schemeClr>
              </a:solidFill>
            </a:ln>
          </c:spPr>
          <c:marker>
            <c:spPr>
              <a:noFill/>
              <a:ln>
                <a:noFill/>
              </a:ln>
            </c:spPr>
          </c:marker>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Quality'!$E$8:$R$8</c:f>
              <c:numCache>
                <c:formatCode>0.00</c:formatCode>
                <c:ptCount val="14"/>
                <c:pt idx="0">
                  <c:v>0.81743181818181809</c:v>
                </c:pt>
                <c:pt idx="1">
                  <c:v>0.88807692307692299</c:v>
                </c:pt>
                <c:pt idx="2">
                  <c:v>0.84668750000000004</c:v>
                </c:pt>
                <c:pt idx="3">
                  <c:v>0.9216399999999999</c:v>
                </c:pt>
                <c:pt idx="4">
                  <c:v>0.95001538461538448</c:v>
                </c:pt>
                <c:pt idx="5">
                  <c:v>1.0187225806451614</c:v>
                </c:pt>
                <c:pt idx="6">
                  <c:v>0.97776842105263173</c:v>
                </c:pt>
                <c:pt idx="7">
                  <c:v>0.82246000000000008</c:v>
                </c:pt>
                <c:pt idx="8">
                  <c:v>0.86304999999999976</c:v>
                </c:pt>
                <c:pt idx="9">
                  <c:v>0.84252000000000005</c:v>
                </c:pt>
                <c:pt idx="10">
                  <c:v>0.78006382978723399</c:v>
                </c:pt>
                <c:pt idx="11">
                  <c:v>1.0399112903225807</c:v>
                </c:pt>
                <c:pt idx="12">
                  <c:v>1.0354827586206894</c:v>
                </c:pt>
                <c:pt idx="13">
                  <c:v>0.97449807805253263</c:v>
                </c:pt>
              </c:numCache>
            </c:numRef>
          </c:val>
          <c:smooth val="0"/>
          <c:extLst>
            <c:ext xmlns:c16="http://schemas.microsoft.com/office/drawing/2014/chart" uri="{C3380CC4-5D6E-409C-BE32-E72D297353CC}">
              <c16:uniqueId val="{00000000-8455-49F5-AEA0-2533BAA2F05A}"/>
            </c:ext>
          </c:extLst>
        </c:ser>
        <c:ser>
          <c:idx val="4"/>
          <c:order val="1"/>
          <c:tx>
            <c:strRef>
              <c:f>'Air Quality'!$D$9</c:f>
              <c:strCache>
                <c:ptCount val="1"/>
                <c:pt idx="0">
                  <c:v>Priority Area Air Quality Index for the Vaal Triangle Priority Area (PAAQI-VTPA)</c:v>
                </c:pt>
              </c:strCache>
            </c:strRef>
          </c:tx>
          <c:spPr>
            <a:ln w="38100">
              <a:solidFill>
                <a:srgbClr val="FF0000"/>
              </a:solidFill>
            </a:ln>
          </c:spPr>
          <c:marker>
            <c:spPr>
              <a:noFill/>
              <a:ln>
                <a:noFill/>
              </a:ln>
            </c:spPr>
          </c:marker>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Quality'!$E$9:$R$9</c:f>
              <c:numCache>
                <c:formatCode>0.00</c:formatCode>
                <c:ptCount val="14"/>
                <c:pt idx="3">
                  <c:v>1.3542666666666665</c:v>
                </c:pt>
                <c:pt idx="4">
                  <c:v>1.2295333333333334</c:v>
                </c:pt>
                <c:pt idx="5">
                  <c:v>1.1886000000000001</c:v>
                </c:pt>
                <c:pt idx="6">
                  <c:v>1.2203999999999999</c:v>
                </c:pt>
                <c:pt idx="7">
                  <c:v>1.2079</c:v>
                </c:pt>
                <c:pt idx="8">
                  <c:v>1.2477666666666669</c:v>
                </c:pt>
                <c:pt idx="9">
                  <c:v>1.2061999999999999</c:v>
                </c:pt>
                <c:pt idx="10">
                  <c:v>1.0216000000000001</c:v>
                </c:pt>
                <c:pt idx="11">
                  <c:v>1.3297500000000002</c:v>
                </c:pt>
                <c:pt idx="12">
                  <c:v>1.5543333333333336</c:v>
                </c:pt>
                <c:pt idx="13">
                  <c:v>1.1005568675024389</c:v>
                </c:pt>
              </c:numCache>
            </c:numRef>
          </c:val>
          <c:smooth val="0"/>
          <c:extLst>
            <c:ext xmlns:c16="http://schemas.microsoft.com/office/drawing/2014/chart" uri="{C3380CC4-5D6E-409C-BE32-E72D297353CC}">
              <c16:uniqueId val="{00000001-8455-49F5-AEA0-2533BAA2F05A}"/>
            </c:ext>
          </c:extLst>
        </c:ser>
        <c:ser>
          <c:idx val="5"/>
          <c:order val="2"/>
          <c:tx>
            <c:strRef>
              <c:f>'Air Quality'!$D$10</c:f>
              <c:strCache>
                <c:ptCount val="1"/>
                <c:pt idx="0">
                  <c:v>Priority Area Air Quality Index for the Highveld priority Area (PAAQI-HPA)</c:v>
                </c:pt>
              </c:strCache>
            </c:strRef>
          </c:tx>
          <c:spPr>
            <a:ln w="38100">
              <a:solidFill>
                <a:schemeClr val="accent6">
                  <a:lumMod val="75000"/>
                </a:schemeClr>
              </a:solidFill>
              <a:prstDash val="dash"/>
            </a:ln>
          </c:spPr>
          <c:marker>
            <c:symbol val="none"/>
          </c:marker>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Quality'!$E$10:$R$10</c:f>
              <c:numCache>
                <c:formatCode>0.00</c:formatCode>
                <c:ptCount val="14"/>
                <c:pt idx="4">
                  <c:v>1.196</c:v>
                </c:pt>
                <c:pt idx="5">
                  <c:v>0.99328000000000005</c:v>
                </c:pt>
                <c:pt idx="6">
                  <c:v>1.1179999999999999</c:v>
                </c:pt>
                <c:pt idx="7">
                  <c:v>1.2331199999999998</c:v>
                </c:pt>
                <c:pt idx="8">
                  <c:v>1.0312399999999999</c:v>
                </c:pt>
                <c:pt idx="9">
                  <c:v>1.02532</c:v>
                </c:pt>
                <c:pt idx="10">
                  <c:v>0.66252</c:v>
                </c:pt>
                <c:pt idx="11">
                  <c:v>1.2053749999999999</c:v>
                </c:pt>
                <c:pt idx="12">
                  <c:v>1.05965</c:v>
                </c:pt>
                <c:pt idx="13">
                  <c:v>1.476912412330778</c:v>
                </c:pt>
              </c:numCache>
            </c:numRef>
          </c:val>
          <c:smooth val="0"/>
          <c:extLst>
            <c:ext xmlns:c16="http://schemas.microsoft.com/office/drawing/2014/chart" uri="{C3380CC4-5D6E-409C-BE32-E72D297353CC}">
              <c16:uniqueId val="{00000002-8455-49F5-AEA0-2533BAA2F05A}"/>
            </c:ext>
          </c:extLst>
        </c:ser>
        <c:ser>
          <c:idx val="0"/>
          <c:order val="3"/>
          <c:tx>
            <c:strRef>
              <c:f>'Air Quality'!$D$11</c:f>
              <c:strCache>
                <c:ptCount val="1"/>
                <c:pt idx="0">
                  <c:v>Acceptability threshold</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4-8455-49F5-AEA0-2533BAA2F05A}"/>
              </c:ext>
            </c:extLst>
          </c:dPt>
          <c:cat>
            <c:numRef>
              <c:f>'Air Quality'!$E$7:$R$7</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'Air Quality'!$E$11:$R$11</c:f>
              <c:numCache>
                <c:formatCode>0.00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smooth val="0"/>
          <c:extLst>
            <c:ext xmlns:c16="http://schemas.microsoft.com/office/drawing/2014/chart" uri="{C3380CC4-5D6E-409C-BE32-E72D297353CC}">
              <c16:uniqueId val="{00000005-8455-49F5-AEA0-2533BAA2F05A}"/>
            </c:ext>
          </c:extLst>
        </c:ser>
        <c:dLbls>
          <c:showLegendKey val="0"/>
          <c:showVal val="0"/>
          <c:showCatName val="0"/>
          <c:showSerName val="0"/>
          <c:showPercent val="0"/>
          <c:showBubbleSize val="0"/>
        </c:dLbls>
        <c:marker val="1"/>
        <c:smooth val="0"/>
        <c:axId val="714542312"/>
        <c:axId val="714558384"/>
      </c:lineChart>
      <c:catAx>
        <c:axId val="714542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14558384"/>
        <c:crosses val="autoZero"/>
        <c:auto val="1"/>
        <c:lblAlgn val="ctr"/>
        <c:lblOffset val="100"/>
        <c:tickLblSkip val="1"/>
        <c:tickMarkSkip val="1"/>
        <c:noMultiLvlLbl val="0"/>
      </c:catAx>
      <c:valAx>
        <c:axId val="714558384"/>
        <c:scaling>
          <c:orientation val="minMax"/>
          <c:max val="1.6"/>
          <c:min val="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42312"/>
        <c:crosses val="autoZero"/>
        <c:crossBetween val="between"/>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1330951474057E-2"/>
          <c:y val="9.9689009462052558E-2"/>
          <c:w val="0.88432337782866144"/>
          <c:h val="0.72463552350073879"/>
        </c:manualLayout>
      </c:layout>
      <c:lineChart>
        <c:grouping val="standard"/>
        <c:varyColors val="0"/>
        <c:ser>
          <c:idx val="0"/>
          <c:order val="0"/>
          <c:tx>
            <c:strRef>
              <c:f>'G debt  '!$D$8</c:f>
              <c:strCache>
                <c:ptCount val="1"/>
                <c:pt idx="0">
                  <c:v>Net Government Debt</c:v>
                </c:pt>
              </c:strCache>
            </c:strRef>
          </c:tx>
          <c:spPr>
            <a:ln w="15875">
              <a:solidFill>
                <a:srgbClr val="FF6600"/>
              </a:solidFill>
              <a:prstDash val="solid"/>
            </a:ln>
          </c:spPr>
          <c:marker>
            <c:symbol val="none"/>
          </c:marker>
          <c:cat>
            <c:strRef>
              <c:f>'G debt  '!$E$7:$X$7</c:f>
              <c:strCache>
                <c:ptCount val="20"/>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strCache>
            </c:strRef>
          </c:cat>
          <c:val>
            <c:numRef>
              <c:f>'G debt  '!$E$8:$X$8</c:f>
              <c:numCache>
                <c:formatCode>0.0</c:formatCode>
                <c:ptCount val="20"/>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38.1</c:v>
                </c:pt>
              </c:numCache>
            </c:numRef>
          </c:val>
          <c:smooth val="0"/>
          <c:extLst>
            <c:ext xmlns:c16="http://schemas.microsoft.com/office/drawing/2014/chart" uri="{C3380CC4-5D6E-409C-BE32-E72D297353CC}">
              <c16:uniqueId val="{00000000-A84D-47C5-8695-98A5127199E9}"/>
            </c:ext>
          </c:extLst>
        </c:ser>
        <c:dLbls>
          <c:showLegendKey val="0"/>
          <c:showVal val="0"/>
          <c:showCatName val="0"/>
          <c:showSerName val="0"/>
          <c:showPercent val="0"/>
          <c:showBubbleSize val="0"/>
        </c:dLbls>
        <c:smooth val="0"/>
        <c:axId val="399507288"/>
        <c:axId val="399507680"/>
      </c:lineChart>
      <c:catAx>
        <c:axId val="399507288"/>
        <c:scaling>
          <c:orientation val="minMax"/>
        </c:scaling>
        <c:delete val="0"/>
        <c:axPos val="b"/>
        <c:title>
          <c:tx>
            <c:rich>
              <a:bodyPr rot="-5400000" vert="horz"/>
              <a:lstStyle/>
              <a:p>
                <a:pPr algn="ctr">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07680"/>
        <c:crosses val="autoZero"/>
        <c:auto val="1"/>
        <c:lblAlgn val="ctr"/>
        <c:lblOffset val="100"/>
        <c:tickLblSkip val="1"/>
        <c:tickMarkSkip val="1"/>
        <c:noMultiLvlLbl val="0"/>
      </c:catAx>
      <c:valAx>
        <c:axId val="399507680"/>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0728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Terrestrial Protected Areas Representivity</a:t>
            </a:r>
          </a:p>
        </c:rich>
      </c:tx>
      <c:layout>
        <c:manualLayout>
          <c:xMode val="edge"/>
          <c:yMode val="edge"/>
          <c:x val="0.30212744713266293"/>
          <c:y val="1.0599797633354448E-2"/>
        </c:manualLayout>
      </c:layout>
      <c:overlay val="0"/>
      <c:spPr>
        <a:noFill/>
        <a:ln w="25400">
          <a:noFill/>
        </a:ln>
      </c:spPr>
    </c:title>
    <c:autoTitleDeleted val="0"/>
    <c:plotArea>
      <c:layout>
        <c:manualLayout>
          <c:layoutTarget val="inner"/>
          <c:xMode val="edge"/>
          <c:yMode val="edge"/>
          <c:x val="8.8107264063258098E-2"/>
          <c:y val="6.3633986162241543E-2"/>
          <c:w val="0.64303046626213978"/>
          <c:h val="0.83030992147011839"/>
        </c:manualLayout>
      </c:layout>
      <c:lineChart>
        <c:grouping val="standard"/>
        <c:varyColors val="0"/>
        <c:ser>
          <c:idx val="3"/>
          <c:order val="0"/>
          <c:tx>
            <c:strRef>
              <c:f>'Terrestrial BPI'!$D$8</c:f>
              <c:strCache>
                <c:ptCount val="1"/>
                <c:pt idx="0">
                  <c:v>Per cent land mass under protection</c:v>
                </c:pt>
              </c:strCache>
            </c:strRef>
          </c:tx>
          <c:spPr>
            <a:ln w="38100">
              <a:solidFill>
                <a:schemeClr val="accent6">
                  <a:lumMod val="50000"/>
                </a:schemeClr>
              </a:solidFill>
            </a:ln>
          </c:spPr>
          <c:marker>
            <c:spPr>
              <a:noFill/>
              <a:ln>
                <a:noFill/>
              </a:ln>
            </c:spPr>
          </c:marker>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BPI'!$E$8:$O$8</c:f>
              <c:numCache>
                <c:formatCode>0.0%</c:formatCode>
                <c:ptCount val="11"/>
                <c:pt idx="0">
                  <c:v>3.1E-2</c:v>
                </c:pt>
                <c:pt idx="1">
                  <c:v>4.9000000000000002E-2</c:v>
                </c:pt>
                <c:pt idx="2">
                  <c:v>5.3999999999999999E-2</c:v>
                </c:pt>
                <c:pt idx="3">
                  <c:v>5.7000000000000002E-2</c:v>
                </c:pt>
                <c:pt idx="4">
                  <c:v>6.2E-2</c:v>
                </c:pt>
                <c:pt idx="5">
                  <c:v>6.5000000000000002E-2</c:v>
                </c:pt>
                <c:pt idx="6">
                  <c:v>6.7000000000000004E-2</c:v>
                </c:pt>
                <c:pt idx="7">
                  <c:v>7.8E-2</c:v>
                </c:pt>
                <c:pt idx="8">
                  <c:v>8.3000000000000004E-2</c:v>
                </c:pt>
                <c:pt idx="9">
                  <c:v>8.5000000000000006E-2</c:v>
                </c:pt>
                <c:pt idx="10">
                  <c:v>8.5636634952421603E-2</c:v>
                </c:pt>
              </c:numCache>
            </c:numRef>
          </c:val>
          <c:smooth val="0"/>
          <c:extLst>
            <c:ext xmlns:c16="http://schemas.microsoft.com/office/drawing/2014/chart" uri="{C3380CC4-5D6E-409C-BE32-E72D297353CC}">
              <c16:uniqueId val="{00000000-1DAD-4D77-8819-9BD72A3AFF5F}"/>
            </c:ext>
          </c:extLst>
        </c:ser>
        <c:ser>
          <c:idx val="4"/>
          <c:order val="1"/>
          <c:tx>
            <c:strRef>
              <c:f>'Terrestrial BPI'!$D$9</c:f>
              <c:strCache>
                <c:ptCount val="1"/>
                <c:pt idx="0">
                  <c:v>NDP Target for land mass under protection</c:v>
                </c:pt>
              </c:strCache>
            </c:strRef>
          </c:tx>
          <c:spPr>
            <a:ln w="38100">
              <a:solidFill>
                <a:srgbClr val="FF0000"/>
              </a:solidFill>
            </a:ln>
          </c:spPr>
          <c:marker>
            <c:spPr>
              <a:noFill/>
              <a:ln>
                <a:noFill/>
              </a:ln>
            </c:spPr>
          </c:marker>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BPI'!$E$9:$O$9</c:f>
              <c:numCache>
                <c:formatCode>0.0%</c:formatCode>
                <c:ptCount val="11"/>
                <c:pt idx="4">
                  <c:v>6.2E-2</c:v>
                </c:pt>
                <c:pt idx="5">
                  <c:v>6.8086956521739128E-2</c:v>
                </c:pt>
                <c:pt idx="6">
                  <c:v>7.4173913043478257E-2</c:v>
                </c:pt>
                <c:pt idx="7">
                  <c:v>8.0260869565217385E-2</c:v>
                </c:pt>
                <c:pt idx="8">
                  <c:v>8.6347826086956514E-2</c:v>
                </c:pt>
                <c:pt idx="9">
                  <c:v>9.5250000000000001E-2</c:v>
                </c:pt>
                <c:pt idx="10">
                  <c:v>0.1075</c:v>
                </c:pt>
              </c:numCache>
            </c:numRef>
          </c:val>
          <c:smooth val="0"/>
          <c:extLst>
            <c:ext xmlns:c16="http://schemas.microsoft.com/office/drawing/2014/chart" uri="{C3380CC4-5D6E-409C-BE32-E72D297353CC}">
              <c16:uniqueId val="{00000001-1DAD-4D77-8819-9BD72A3AFF5F}"/>
            </c:ext>
          </c:extLst>
        </c:ser>
        <c:ser>
          <c:idx val="5"/>
          <c:order val="2"/>
          <c:tx>
            <c:strRef>
              <c:f>'Terrestrial BPI'!$D$10</c:f>
              <c:strCache>
                <c:ptCount val="1"/>
                <c:pt idx="0">
                  <c:v>Terrestrial Biodiversity Protection Index</c:v>
                </c:pt>
              </c:strCache>
            </c:strRef>
          </c:tx>
          <c:spPr>
            <a:ln w="38100">
              <a:solidFill>
                <a:schemeClr val="accent6">
                  <a:lumMod val="75000"/>
                </a:schemeClr>
              </a:solidFill>
              <a:prstDash val="dash"/>
            </a:ln>
          </c:spPr>
          <c:marker>
            <c:symbol val="none"/>
          </c:marker>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BPI'!$E$10:$O$10</c:f>
              <c:numCache>
                <c:formatCode>0.0%</c:formatCode>
                <c:ptCount val="11"/>
                <c:pt idx="0">
                  <c:v>1.9E-2</c:v>
                </c:pt>
                <c:pt idx="1">
                  <c:v>3.3000000000000002E-2</c:v>
                </c:pt>
                <c:pt idx="2">
                  <c:v>3.5999999999999997E-2</c:v>
                </c:pt>
                <c:pt idx="3">
                  <c:v>3.9E-2</c:v>
                </c:pt>
                <c:pt idx="4">
                  <c:v>4.2999999999999997E-2</c:v>
                </c:pt>
                <c:pt idx="5">
                  <c:v>4.5999999999999999E-2</c:v>
                </c:pt>
                <c:pt idx="6">
                  <c:v>4.8000000000000001E-2</c:v>
                </c:pt>
                <c:pt idx="7">
                  <c:v>5.1999999999999998E-2</c:v>
                </c:pt>
                <c:pt idx="8">
                  <c:v>5.6000000000000001E-2</c:v>
                </c:pt>
                <c:pt idx="9">
                  <c:v>5.819452634397243E-2</c:v>
                </c:pt>
                <c:pt idx="10">
                  <c:v>6.3105424758183662E-2</c:v>
                </c:pt>
              </c:numCache>
            </c:numRef>
          </c:val>
          <c:smooth val="0"/>
          <c:extLst>
            <c:ext xmlns:c16="http://schemas.microsoft.com/office/drawing/2014/chart" uri="{C3380CC4-5D6E-409C-BE32-E72D297353CC}">
              <c16:uniqueId val="{00000002-1DAD-4D77-8819-9BD72A3AFF5F}"/>
            </c:ext>
          </c:extLst>
        </c:ser>
        <c:ser>
          <c:idx val="0"/>
          <c:order val="3"/>
          <c:tx>
            <c:strRef>
              <c:f>'Terrestrial BPI'!$D$11</c:f>
              <c:strCache>
                <c:ptCount val="1"/>
                <c:pt idx="0">
                  <c:v>Aichi Target (adjusted to strict definition of PA)</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4-1DAD-4D77-8819-9BD72A3AFF5F}"/>
              </c:ext>
            </c:extLst>
          </c:dPt>
          <c:cat>
            <c:numRef>
              <c:f>'Terrestrial BPI'!$E$7:$O$7</c:f>
              <c:numCache>
                <c:formatCode>General</c:formatCode>
                <c:ptCount val="11"/>
                <c:pt idx="0">
                  <c:v>1960</c:v>
                </c:pt>
                <c:pt idx="1">
                  <c:v>1980</c:v>
                </c:pt>
                <c:pt idx="2">
                  <c:v>1985</c:v>
                </c:pt>
                <c:pt idx="3">
                  <c:v>1990</c:v>
                </c:pt>
                <c:pt idx="4">
                  <c:v>1995</c:v>
                </c:pt>
                <c:pt idx="5">
                  <c:v>2000</c:v>
                </c:pt>
                <c:pt idx="6">
                  <c:v>2005</c:v>
                </c:pt>
                <c:pt idx="7">
                  <c:v>2010</c:v>
                </c:pt>
                <c:pt idx="8">
                  <c:v>2015</c:v>
                </c:pt>
                <c:pt idx="9">
                  <c:v>2016</c:v>
                </c:pt>
                <c:pt idx="10">
                  <c:v>2017</c:v>
                </c:pt>
              </c:numCache>
            </c:numRef>
          </c:cat>
          <c:val>
            <c:numRef>
              <c:f>'Terrestrial BPI'!$E$11:$O$11</c:f>
              <c:numCache>
                <c:formatCode>0.0%</c:formatCode>
                <c:ptCount val="11"/>
                <c:pt idx="7">
                  <c:v>5.1999999999999998E-2</c:v>
                </c:pt>
                <c:pt idx="8">
                  <c:v>8.5999999999999993E-2</c:v>
                </c:pt>
                <c:pt idx="9">
                  <c:v>9.2799999999999994E-2</c:v>
                </c:pt>
                <c:pt idx="10">
                  <c:v>9.9599999999999994E-2</c:v>
                </c:pt>
              </c:numCache>
            </c:numRef>
          </c:val>
          <c:smooth val="0"/>
          <c:extLst>
            <c:ext xmlns:c16="http://schemas.microsoft.com/office/drawing/2014/chart" uri="{C3380CC4-5D6E-409C-BE32-E72D297353CC}">
              <c16:uniqueId val="{00000005-1DAD-4D77-8819-9BD72A3AFF5F}"/>
            </c:ext>
          </c:extLst>
        </c:ser>
        <c:dLbls>
          <c:showLegendKey val="0"/>
          <c:showVal val="0"/>
          <c:showCatName val="0"/>
          <c:showSerName val="0"/>
          <c:showPercent val="0"/>
          <c:showBubbleSize val="0"/>
        </c:dLbls>
        <c:marker val="1"/>
        <c:smooth val="0"/>
        <c:axId val="414986304"/>
        <c:axId val="414987872"/>
      </c:lineChart>
      <c:catAx>
        <c:axId val="41498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14987872"/>
        <c:crosses val="autoZero"/>
        <c:auto val="1"/>
        <c:lblAlgn val="ctr"/>
        <c:lblOffset val="100"/>
        <c:tickLblSkip val="1"/>
        <c:tickMarkSkip val="1"/>
        <c:noMultiLvlLbl val="0"/>
      </c:catAx>
      <c:valAx>
        <c:axId val="414987872"/>
        <c:scaling>
          <c:orientation val="minMax"/>
          <c:max val="0.11000000000000001"/>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414986304"/>
        <c:crosses val="autoZero"/>
        <c:crossBetween val="between"/>
        <c:majorUnit val="1.0000000000000002E-2"/>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Continental Mainland Marine Protected Areas</a:t>
            </a:r>
          </a:p>
        </c:rich>
      </c:tx>
      <c:layout>
        <c:manualLayout>
          <c:xMode val="edge"/>
          <c:yMode val="edge"/>
          <c:x val="0.29410732109190579"/>
          <c:y val="2.5951557093425604E-2"/>
        </c:manualLayout>
      </c:layout>
      <c:overlay val="0"/>
      <c:spPr>
        <a:noFill/>
        <a:ln w="25400">
          <a:noFill/>
        </a:ln>
      </c:spPr>
    </c:title>
    <c:autoTitleDeleted val="0"/>
    <c:plotArea>
      <c:layout>
        <c:manualLayout>
          <c:layoutTarget val="inner"/>
          <c:xMode val="edge"/>
          <c:yMode val="edge"/>
          <c:x val="9.2103276573462595E-2"/>
          <c:y val="8.7636342170031509E-2"/>
          <c:w val="0.68203368770286465"/>
          <c:h val="0.80630759523639617"/>
        </c:manualLayout>
      </c:layout>
      <c:lineChart>
        <c:grouping val="standard"/>
        <c:varyColors val="0"/>
        <c:ser>
          <c:idx val="1"/>
          <c:order val="0"/>
          <c:tx>
            <c:strRef>
              <c:f>'Marine PAs'!$D$52</c:f>
              <c:strCache>
                <c:ptCount val="1"/>
                <c:pt idx="0">
                  <c:v>Total MPA</c:v>
                </c:pt>
              </c:strCache>
            </c:strRef>
          </c:tx>
          <c:spPr>
            <a:ln>
              <a:solidFill>
                <a:schemeClr val="accent6">
                  <a:lumMod val="60000"/>
                  <a:lumOff val="40000"/>
                </a:schemeClr>
              </a:solidFill>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PAs'!$E$52:$V$52</c:f>
              <c:numCache>
                <c:formatCode>0.00%</c:formatCode>
                <c:ptCount val="18"/>
                <c:pt idx="0">
                  <c:v>2.4723714487034687E-4</c:v>
                </c:pt>
                <c:pt idx="1">
                  <c:v>4.2643368932465827E-4</c:v>
                </c:pt>
                <c:pt idx="2">
                  <c:v>8.4003503456200716E-4</c:v>
                </c:pt>
                <c:pt idx="3">
                  <c:v>1.7344817196130852E-3</c:v>
                </c:pt>
                <c:pt idx="4">
                  <c:v>1.7422405088994713E-3</c:v>
                </c:pt>
                <c:pt idx="5">
                  <c:v>2.0562752009761769E-3</c:v>
                </c:pt>
                <c:pt idx="6">
                  <c:v>2.4161059795500721E-3</c:v>
                </c:pt>
                <c:pt idx="7">
                  <c:v>2.5033154635856719E-3</c:v>
                </c:pt>
                <c:pt idx="8">
                  <c:v>3.6992095701248017E-3</c:v>
                </c:pt>
                <c:pt idx="9">
                  <c:v>3.8721260944791554E-3</c:v>
                </c:pt>
                <c:pt idx="10">
                  <c:v>3.9773860511163987E-3</c:v>
                </c:pt>
                <c:pt idx="11">
                  <c:v>4.1597543276199423E-3</c:v>
                </c:pt>
                <c:pt idx="12">
                  <c:v>4.1887928703169116E-3</c:v>
                </c:pt>
                <c:pt idx="13">
                  <c:v>4.4206273469834627E-3</c:v>
                </c:pt>
                <c:pt idx="14">
                  <c:v>4.4206273469834627E-3</c:v>
                </c:pt>
                <c:pt idx="15">
                  <c:v>4.4206273469834627E-3</c:v>
                </c:pt>
                <c:pt idx="16">
                  <c:v>4.4206273469834627E-3</c:v>
                </c:pt>
                <c:pt idx="17">
                  <c:v>4.4481852489896218E-3</c:v>
                </c:pt>
              </c:numCache>
            </c:numRef>
          </c:val>
          <c:smooth val="0"/>
          <c:extLst>
            <c:ext xmlns:c16="http://schemas.microsoft.com/office/drawing/2014/chart" uri="{C3380CC4-5D6E-409C-BE32-E72D297353CC}">
              <c16:uniqueId val="{00000000-C300-4A11-B277-B04C28D1CB46}"/>
            </c:ext>
          </c:extLst>
        </c:ser>
        <c:ser>
          <c:idx val="2"/>
          <c:order val="1"/>
          <c:tx>
            <c:strRef>
              <c:f>'Marine PAs'!$D$53</c:f>
              <c:strCache>
                <c:ptCount val="1"/>
                <c:pt idx="0">
                  <c:v>Full Protection</c:v>
                </c:pt>
              </c:strCache>
            </c:strRef>
          </c:tx>
          <c:spPr>
            <a:ln>
              <a:solidFill>
                <a:schemeClr val="accent6">
                  <a:lumMod val="50000"/>
                </a:schemeClr>
              </a:solidFill>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PAs'!$E$53:$V$53</c:f>
              <c:numCache>
                <c:formatCode>0.00%</c:formatCode>
                <c:ptCount val="18"/>
                <c:pt idx="0">
                  <c:v>2.4723714487034687E-4</c:v>
                </c:pt>
                <c:pt idx="1">
                  <c:v>4.2643368932465827E-4</c:v>
                </c:pt>
                <c:pt idx="2">
                  <c:v>5.5175489693157491E-4</c:v>
                </c:pt>
                <c:pt idx="3">
                  <c:v>6.0453132046798836E-4</c:v>
                </c:pt>
                <c:pt idx="4">
                  <c:v>6.0453132046798836E-4</c:v>
                </c:pt>
                <c:pt idx="5">
                  <c:v>8.8446431873965409E-4</c:v>
                </c:pt>
                <c:pt idx="6">
                  <c:v>1.0060871218976306E-3</c:v>
                </c:pt>
                <c:pt idx="7">
                  <c:v>1.018166840498232E-3</c:v>
                </c:pt>
                <c:pt idx="8">
                  <c:v>1.6097637839572773E-3</c:v>
                </c:pt>
                <c:pt idx="9">
                  <c:v>1.6807374060387834E-3</c:v>
                </c:pt>
                <c:pt idx="10">
                  <c:v>1.7859973626760269E-3</c:v>
                </c:pt>
                <c:pt idx="11">
                  <c:v>1.8870924646683367E-3</c:v>
                </c:pt>
                <c:pt idx="12">
                  <c:v>1.9050963611404574E-3</c:v>
                </c:pt>
                <c:pt idx="13">
                  <c:v>1.9050963611404574E-3</c:v>
                </c:pt>
                <c:pt idx="14">
                  <c:v>1.9050963611404574E-3</c:v>
                </c:pt>
                <c:pt idx="15">
                  <c:v>1.9050963611404574E-3</c:v>
                </c:pt>
                <c:pt idx="16">
                  <c:v>1.9050963611404574E-3</c:v>
                </c:pt>
                <c:pt idx="17">
                  <c:v>1.728939289520792E-3</c:v>
                </c:pt>
              </c:numCache>
            </c:numRef>
          </c:val>
          <c:smooth val="0"/>
          <c:extLst>
            <c:ext xmlns:c16="http://schemas.microsoft.com/office/drawing/2014/chart" uri="{C3380CC4-5D6E-409C-BE32-E72D297353CC}">
              <c16:uniqueId val="{00000001-C300-4A11-B277-B04C28D1CB46}"/>
            </c:ext>
          </c:extLst>
        </c:ser>
        <c:ser>
          <c:idx val="4"/>
          <c:order val="2"/>
          <c:tx>
            <c:strRef>
              <c:f>'Marine PAs'!$D$54</c:f>
              <c:strCache>
                <c:ptCount val="1"/>
                <c:pt idx="0">
                  <c:v>Partial Protection</c:v>
                </c:pt>
              </c:strCache>
            </c:strRef>
          </c:tx>
          <c:spPr>
            <a:ln>
              <a:solidFill>
                <a:schemeClr val="accent6">
                  <a:lumMod val="75000"/>
                </a:schemeClr>
              </a:solidFill>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PAs'!$E$54:$V$54</c:f>
              <c:numCache>
                <c:formatCode>0.00%</c:formatCode>
                <c:ptCount val="18"/>
                <c:pt idx="0">
                  <c:v>0</c:v>
                </c:pt>
                <c:pt idx="1">
                  <c:v>0</c:v>
                </c:pt>
                <c:pt idx="2">
                  <c:v>2.8828013763043214E-4</c:v>
                </c:pt>
                <c:pt idx="3">
                  <c:v>1.1299503991450968E-3</c:v>
                </c:pt>
                <c:pt idx="4">
                  <c:v>1.1377091884314829E-3</c:v>
                </c:pt>
                <c:pt idx="5">
                  <c:v>1.1718108822365227E-3</c:v>
                </c:pt>
                <c:pt idx="6">
                  <c:v>1.4100188576524411E-3</c:v>
                </c:pt>
                <c:pt idx="7">
                  <c:v>1.4851486230874397E-3</c:v>
                </c:pt>
                <c:pt idx="8">
                  <c:v>2.0894457861675244E-3</c:v>
                </c:pt>
                <c:pt idx="9">
                  <c:v>2.1913886884403727E-3</c:v>
                </c:pt>
                <c:pt idx="10">
                  <c:v>2.1913886884403727E-3</c:v>
                </c:pt>
                <c:pt idx="11">
                  <c:v>2.272661862951606E-3</c:v>
                </c:pt>
                <c:pt idx="12">
                  <c:v>2.283696509176454E-3</c:v>
                </c:pt>
                <c:pt idx="13">
                  <c:v>2.5155309858430051E-3</c:v>
                </c:pt>
                <c:pt idx="14">
                  <c:v>2.5155309858430051E-3</c:v>
                </c:pt>
                <c:pt idx="15">
                  <c:v>2.5155309858430051E-3</c:v>
                </c:pt>
                <c:pt idx="16">
                  <c:v>2.5155309858430051E-3</c:v>
                </c:pt>
                <c:pt idx="17">
                  <c:v>2.7192459594688294E-3</c:v>
                </c:pt>
              </c:numCache>
            </c:numRef>
          </c:val>
          <c:smooth val="0"/>
          <c:extLst>
            <c:ext xmlns:c16="http://schemas.microsoft.com/office/drawing/2014/chart" uri="{C3380CC4-5D6E-409C-BE32-E72D297353CC}">
              <c16:uniqueId val="{00000002-C300-4A11-B277-B04C28D1CB46}"/>
            </c:ext>
          </c:extLst>
        </c:ser>
        <c:ser>
          <c:idx val="5"/>
          <c:order val="3"/>
          <c:tx>
            <c:strRef>
              <c:f>'Marine PAs'!$D$55</c:f>
              <c:strCache>
                <c:ptCount val="1"/>
                <c:pt idx="0">
                  <c:v>NDP Target for marine conservation</c:v>
                </c:pt>
              </c:strCache>
            </c:strRef>
          </c:tx>
          <c:spPr>
            <a:ln w="38100">
              <a:solidFill>
                <a:schemeClr val="tx1"/>
              </a:solidFill>
              <a:prstDash val="sysDot"/>
            </a:ln>
          </c:spPr>
          <c:marker>
            <c:symbol val="none"/>
          </c:marker>
          <c:cat>
            <c:numRef>
              <c:f>'Marine PAs'!$E$50:$V$50</c:f>
              <c:numCache>
                <c:formatCode>General</c:formatCode>
                <c:ptCount val="18"/>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pt idx="17">
                  <c:v>2017</c:v>
                </c:pt>
              </c:numCache>
            </c:numRef>
          </c:cat>
          <c:val>
            <c:numRef>
              <c:f>'Marine PAs'!$E$55:$V$55</c:f>
              <c:numCache>
                <c:formatCode>0.00%</c:formatCode>
                <c:ptCount val="18"/>
                <c:pt idx="14">
                  <c:v>4.0120674602469077E-3</c:v>
                </c:pt>
                <c:pt idx="15">
                  <c:v>8.3584738755143918E-3</c:v>
                </c:pt>
                <c:pt idx="16">
                  <c:v>1.2704880290781876E-2</c:v>
                </c:pt>
              </c:numCache>
            </c:numRef>
          </c:val>
          <c:smooth val="0"/>
          <c:extLst>
            <c:ext xmlns:c16="http://schemas.microsoft.com/office/drawing/2014/chart" uri="{C3380CC4-5D6E-409C-BE32-E72D297353CC}">
              <c16:uniqueId val="{00000003-C300-4A11-B277-B04C28D1CB46}"/>
            </c:ext>
          </c:extLst>
        </c:ser>
        <c:dLbls>
          <c:showLegendKey val="0"/>
          <c:showVal val="0"/>
          <c:showCatName val="0"/>
          <c:showSerName val="0"/>
          <c:showPercent val="0"/>
          <c:showBubbleSize val="0"/>
        </c:dLbls>
        <c:smooth val="0"/>
        <c:axId val="714552896"/>
        <c:axId val="722390968"/>
      </c:lineChart>
      <c:catAx>
        <c:axId val="714552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22390968"/>
        <c:crosses val="autoZero"/>
        <c:auto val="1"/>
        <c:lblAlgn val="ctr"/>
        <c:lblOffset val="100"/>
        <c:tickLblSkip val="2"/>
        <c:tickMarkSkip val="1"/>
        <c:noMultiLvlLbl val="0"/>
      </c:catAx>
      <c:valAx>
        <c:axId val="722390968"/>
        <c:scaling>
          <c:orientation val="minMax"/>
          <c:max val="1.4000000000000002E-2"/>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52896"/>
        <c:crosses val="autoZero"/>
        <c:crossBetween val="between"/>
        <c:majorUnit val="1.0000000000000002E-3"/>
      </c:valAx>
      <c:spPr>
        <a:gradFill>
          <a:gsLst>
            <a:gs pos="100000">
              <a:schemeClr val="bg1"/>
            </a:gs>
            <a:gs pos="100000">
              <a:schemeClr val="tx2">
                <a:lumMod val="60000"/>
                <a:lumOff val="40000"/>
              </a:schemeClr>
            </a:gs>
          </a:gsLst>
          <a:lin ang="5400000" scaled="1"/>
        </a:gradFill>
      </c:spPr>
    </c:plotArea>
    <c:legend>
      <c:legendPos val="r"/>
      <c:layout>
        <c:manualLayout>
          <c:xMode val="edge"/>
          <c:yMode val="edge"/>
          <c:x val="0.75398184381881839"/>
          <c:y val="0.18209796656040833"/>
          <c:w val="0.21788864420116497"/>
          <c:h val="0.54608524280485715"/>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INTEREST RATES</a:t>
            </a:r>
          </a:p>
        </c:rich>
      </c:tx>
      <c:layout>
        <c:manualLayout>
          <c:xMode val="edge"/>
          <c:yMode val="edge"/>
          <c:x val="7.6359892883212085E-2"/>
          <c:y val="3.560834556697362E-2"/>
        </c:manualLayout>
      </c:layout>
      <c:overlay val="0"/>
      <c:spPr>
        <a:noFill/>
        <a:ln w="25400">
          <a:noFill/>
        </a:ln>
      </c:spPr>
    </c:title>
    <c:autoTitleDeleted val="0"/>
    <c:plotArea>
      <c:layout>
        <c:manualLayout>
          <c:layoutTarget val="inner"/>
          <c:xMode val="edge"/>
          <c:yMode val="edge"/>
          <c:x val="8.3921291215116336E-2"/>
          <c:y val="0.14889020228403652"/>
          <c:w val="0.90271966527196656"/>
          <c:h val="0.58457057992537409"/>
        </c:manualLayout>
      </c:layout>
      <c:lineChart>
        <c:grouping val="standard"/>
        <c:varyColors val="0"/>
        <c:ser>
          <c:idx val="0"/>
          <c:order val="0"/>
          <c:tx>
            <c:strRef>
              <c:f>'Interest  '!$D$9</c:f>
              <c:strCache>
                <c:ptCount val="1"/>
                <c:pt idx="0">
                  <c:v>Real Interest</c:v>
                </c:pt>
              </c:strCache>
            </c:strRef>
          </c:tx>
          <c:spPr>
            <a:ln w="25400">
              <a:solidFill>
                <a:srgbClr val="FF6600"/>
              </a:solidFill>
              <a:prstDash val="solid"/>
            </a:ln>
          </c:spPr>
          <c:marker>
            <c:symbol val="none"/>
          </c:marker>
          <c:cat>
            <c:strRef>
              <c:f>'Interest  '!$E$8:$AB$8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'Interest  '!$E$9:$AB$9</c:f>
              <c:numCache>
                <c:formatCode>0.0</c:formatCode>
                <c:ptCount val="24"/>
                <c:pt idx="0">
                  <c:v>5.7779999999999996</c:v>
                </c:pt>
                <c:pt idx="1">
                  <c:v>10.8513</c:v>
                </c:pt>
                <c:pt idx="2">
                  <c:v>10.0183</c:v>
                </c:pt>
                <c:pt idx="3">
                  <c:v>12.182499999999999</c:v>
                </c:pt>
                <c:pt idx="4">
                  <c:v>12.947699999999999</c:v>
                </c:pt>
                <c:pt idx="5">
                  <c:v>13.0137</c:v>
                </c:pt>
                <c:pt idx="6">
                  <c:v>7.0092999999999996</c:v>
                </c:pt>
                <c:pt idx="7">
                  <c:v>8.1340000000000003</c:v>
                </c:pt>
                <c:pt idx="8">
                  <c:v>4.0925000000000002</c:v>
                </c:pt>
                <c:pt idx="9">
                  <c:v>11.0558</c:v>
                </c:pt>
                <c:pt idx="10">
                  <c:v>7.4539999999999997</c:v>
                </c:pt>
                <c:pt idx="11">
                  <c:v>6.6601999999999997</c:v>
                </c:pt>
                <c:pt idx="12">
                  <c:v>6.3327</c:v>
                </c:pt>
                <c:pt idx="13">
                  <c:v>5.0458999999999996</c:v>
                </c:pt>
                <c:pt idx="14">
                  <c:v>5.0228000000000002</c:v>
                </c:pt>
                <c:pt idx="15">
                  <c:v>3.9510999999999998</c:v>
                </c:pt>
                <c:pt idx="16">
                  <c:v>5.3140000000000001</c:v>
                </c:pt>
                <c:pt idx="17">
                  <c:v>2.7332999999999998</c:v>
                </c:pt>
                <c:pt idx="18">
                  <c:v>2.649</c:v>
                </c:pt>
                <c:pt idx="19">
                  <c:v>2.9411999999999998</c:v>
                </c:pt>
                <c:pt idx="20">
                  <c:v>3.7511999999999999</c:v>
                </c:pt>
                <c:pt idx="21">
                  <c:v>4.3250999999999999</c:v>
                </c:pt>
                <c:pt idx="22">
                  <c:v>3.4643999999999999</c:v>
                </c:pt>
                <c:pt idx="23">
                  <c:v>5.3009000000000004</c:v>
                </c:pt>
              </c:numCache>
            </c:numRef>
          </c:val>
          <c:smooth val="0"/>
          <c:extLst>
            <c:ext xmlns:c16="http://schemas.microsoft.com/office/drawing/2014/chart" uri="{C3380CC4-5D6E-409C-BE32-E72D297353CC}">
              <c16:uniqueId val="{00000000-D29B-4AEA-812E-88F862513C31}"/>
            </c:ext>
          </c:extLst>
        </c:ser>
        <c:ser>
          <c:idx val="1"/>
          <c:order val="1"/>
          <c:tx>
            <c:strRef>
              <c:f>'Interest  '!$D$10</c:f>
              <c:strCache>
                <c:ptCount val="1"/>
                <c:pt idx="0">
                  <c:v>Nominal Interest</c:v>
                </c:pt>
              </c:strCache>
            </c:strRef>
          </c:tx>
          <c:spPr>
            <a:ln w="25400"/>
          </c:spPr>
          <c:marker>
            <c:symbol val="none"/>
          </c:marker>
          <c:cat>
            <c:strRef>
              <c:f>'Interest  '!$E$8:$AB$8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'Interest  '!$E$10:$AB$10</c:f>
              <c:numCache>
                <c:formatCode>0.0</c:formatCode>
                <c:ptCount val="24"/>
                <c:pt idx="0">
                  <c:v>16.25</c:v>
                </c:pt>
                <c:pt idx="1">
                  <c:v>18.5</c:v>
                </c:pt>
                <c:pt idx="2">
                  <c:v>20.25</c:v>
                </c:pt>
                <c:pt idx="3">
                  <c:v>19.25</c:v>
                </c:pt>
                <c:pt idx="4">
                  <c:v>23</c:v>
                </c:pt>
                <c:pt idx="5">
                  <c:v>15.5</c:v>
                </c:pt>
                <c:pt idx="6">
                  <c:v>14.5</c:v>
                </c:pt>
                <c:pt idx="7">
                  <c:v>13</c:v>
                </c:pt>
                <c:pt idx="8">
                  <c:v>17</c:v>
                </c:pt>
                <c:pt idx="9">
                  <c:v>11.5</c:v>
                </c:pt>
                <c:pt idx="10">
                  <c:v>11</c:v>
                </c:pt>
                <c:pt idx="11">
                  <c:v>10.5</c:v>
                </c:pt>
                <c:pt idx="12">
                  <c:v>12.5</c:v>
                </c:pt>
                <c:pt idx="13">
                  <c:v>14.5</c:v>
                </c:pt>
                <c:pt idx="14">
                  <c:v>15</c:v>
                </c:pt>
                <c:pt idx="15">
                  <c:v>10.5</c:v>
                </c:pt>
                <c:pt idx="16">
                  <c:v>9</c:v>
                </c:pt>
                <c:pt idx="17">
                  <c:v>9</c:v>
                </c:pt>
                <c:pt idx="18">
                  <c:v>8.5</c:v>
                </c:pt>
                <c:pt idx="19" formatCode="General">
                  <c:v>8.5</c:v>
                </c:pt>
                <c:pt idx="20" formatCode="General">
                  <c:v>9.25</c:v>
                </c:pt>
                <c:pt idx="21">
                  <c:v>9.75</c:v>
                </c:pt>
                <c:pt idx="22">
                  <c:v>10.5</c:v>
                </c:pt>
                <c:pt idx="23">
                  <c:v>10.25</c:v>
                </c:pt>
              </c:numCache>
            </c:numRef>
          </c:val>
          <c:smooth val="0"/>
          <c:extLst>
            <c:ext xmlns:c16="http://schemas.microsoft.com/office/drawing/2014/chart" uri="{C3380CC4-5D6E-409C-BE32-E72D297353CC}">
              <c16:uniqueId val="{00000001-D29B-4AEA-812E-88F862513C31}"/>
            </c:ext>
          </c:extLst>
        </c:ser>
        <c:dLbls>
          <c:showLegendKey val="0"/>
          <c:showVal val="0"/>
          <c:showCatName val="0"/>
          <c:showSerName val="0"/>
          <c:showPercent val="0"/>
          <c:showBubbleSize val="0"/>
        </c:dLbls>
        <c:smooth val="0"/>
        <c:axId val="399513560"/>
        <c:axId val="399508856"/>
      </c:lineChart>
      <c:catAx>
        <c:axId val="399513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8856"/>
        <c:crossesAt val="-5"/>
        <c:auto val="1"/>
        <c:lblAlgn val="ctr"/>
        <c:lblOffset val="100"/>
        <c:tickLblSkip val="1"/>
        <c:tickMarkSkip val="1"/>
        <c:noMultiLvlLbl val="0"/>
      </c:catAx>
      <c:valAx>
        <c:axId val="39950885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3560"/>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1000104447791"/>
          <c:y val="6.5138675924788281E-2"/>
          <c:w val="0.877045744763291"/>
          <c:h val="0.66186529037441144"/>
        </c:manualLayout>
      </c:layout>
      <c:lineChart>
        <c:grouping val="standard"/>
        <c:varyColors val="0"/>
        <c:ser>
          <c:idx val="0"/>
          <c:order val="0"/>
          <c:tx>
            <c:strRef>
              <c:f>'Interest  '!$C$46</c:f>
              <c:strCache>
                <c:ptCount val="1"/>
                <c:pt idx="0">
                  <c:v>Real interest</c:v>
                </c:pt>
              </c:strCache>
            </c:strRef>
          </c:tx>
          <c:spPr>
            <a:ln w="15875">
              <a:solidFill>
                <a:srgbClr val="FF6600"/>
              </a:solidFill>
              <a:prstDash val="solid"/>
            </a:ln>
          </c:spPr>
          <c:marker>
            <c:symbol val="none"/>
          </c:marker>
          <c:cat>
            <c:multiLvlStrRef>
              <c:f>'Interest  '!$E$44:$CJ$45</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pt idx="80">
                    <c:v>2014</c:v>
                  </c:pt>
                </c:lvl>
              </c:multiLvlStrCache>
            </c:multiLvlStrRef>
          </c:cat>
          <c:val>
            <c:numRef>
              <c:f>'Interest  '!$E$46:$CJ$46</c:f>
              <c:numCache>
                <c:formatCode>0.0</c:formatCode>
                <c:ptCount val="84"/>
                <c:pt idx="0">
                  <c:v>7.2843183342609361</c:v>
                </c:pt>
                <c:pt idx="1">
                  <c:v>7.7009850009276359</c:v>
                </c:pt>
                <c:pt idx="2">
                  <c:v>8.7009850009276359</c:v>
                </c:pt>
                <c:pt idx="3">
                  <c:v>8.7009850009276359</c:v>
                </c:pt>
                <c:pt idx="4">
                  <c:v>8.7009850009276359</c:v>
                </c:pt>
                <c:pt idx="5">
                  <c:v>10.367651667594336</c:v>
                </c:pt>
                <c:pt idx="6">
                  <c:v>9.7009850009276359</c:v>
                </c:pt>
                <c:pt idx="7">
                  <c:v>10.117651667594336</c:v>
                </c:pt>
                <c:pt idx="8">
                  <c:v>10.450985000927636</c:v>
                </c:pt>
                <c:pt idx="9">
                  <c:v>10.450985000927636</c:v>
                </c:pt>
                <c:pt idx="10">
                  <c:v>10.450985000927636</c:v>
                </c:pt>
                <c:pt idx="11">
                  <c:v>9.4509850009276359</c:v>
                </c:pt>
                <c:pt idx="12">
                  <c:v>9.1176516675943358</c:v>
                </c:pt>
                <c:pt idx="13">
                  <c:v>9.7843183342609361</c:v>
                </c:pt>
                <c:pt idx="14">
                  <c:v>15.200985000927636</c:v>
                </c:pt>
                <c:pt idx="15">
                  <c:v>13.867651667594336</c:v>
                </c:pt>
                <c:pt idx="16">
                  <c:v>11.200985000927636</c:v>
                </c:pt>
                <c:pt idx="17">
                  <c:v>8.8676516675943358</c:v>
                </c:pt>
                <c:pt idx="18">
                  <c:v>7.0343183342609361</c:v>
                </c:pt>
                <c:pt idx="19">
                  <c:v>5.7009850009276359</c:v>
                </c:pt>
                <c:pt idx="20">
                  <c:v>4.7009850009276359</c:v>
                </c:pt>
                <c:pt idx="21">
                  <c:v>4.7009850009276359</c:v>
                </c:pt>
                <c:pt idx="22">
                  <c:v>4.7009850009276359</c:v>
                </c:pt>
                <c:pt idx="23">
                  <c:v>4.7009850009276359</c:v>
                </c:pt>
                <c:pt idx="24">
                  <c:v>4.7009850009276359</c:v>
                </c:pt>
                <c:pt idx="25">
                  <c:v>4.4509850009276359</c:v>
                </c:pt>
                <c:pt idx="26">
                  <c:v>3.5343183342609361</c:v>
                </c:pt>
                <c:pt idx="27">
                  <c:v>3.2009850009276359</c:v>
                </c:pt>
                <c:pt idx="28">
                  <c:v>4.5343183342609361</c:v>
                </c:pt>
                <c:pt idx="29">
                  <c:v>5.5343183342609361</c:v>
                </c:pt>
                <c:pt idx="30">
                  <c:v>6.5343183342609361</c:v>
                </c:pt>
                <c:pt idx="31">
                  <c:v>7.2009850009276359</c:v>
                </c:pt>
                <c:pt idx="32">
                  <c:v>7.2009850009276359</c:v>
                </c:pt>
                <c:pt idx="33">
                  <c:v>6.7009850009276359</c:v>
                </c:pt>
                <c:pt idx="34">
                  <c:v>4.7009850009276359</c:v>
                </c:pt>
                <c:pt idx="35">
                  <c:v>2.0343183342609361</c:v>
                </c:pt>
                <c:pt idx="36">
                  <c:v>1.7009850009276359</c:v>
                </c:pt>
                <c:pt idx="37">
                  <c:v>1.7009850009276359</c:v>
                </c:pt>
                <c:pt idx="38">
                  <c:v>1.3676516675943358</c:v>
                </c:pt>
                <c:pt idx="39">
                  <c:v>1.2009850009276359</c:v>
                </c:pt>
                <c:pt idx="40">
                  <c:v>1.2009850009276359</c:v>
                </c:pt>
                <c:pt idx="41">
                  <c:v>0.70098500092763594</c:v>
                </c:pt>
                <c:pt idx="42">
                  <c:v>0.70098500092763594</c:v>
                </c:pt>
                <c:pt idx="43">
                  <c:v>0.70098500092763594</c:v>
                </c:pt>
                <c:pt idx="44">
                  <c:v>0.70098500092763594</c:v>
                </c:pt>
                <c:pt idx="45">
                  <c:v>0.86765166759433576</c:v>
                </c:pt>
                <c:pt idx="46">
                  <c:v>1.5343183342609361</c:v>
                </c:pt>
                <c:pt idx="47">
                  <c:v>2.3676516675943358</c:v>
                </c:pt>
                <c:pt idx="48">
                  <c:v>2.7009850009276359</c:v>
                </c:pt>
                <c:pt idx="49">
                  <c:v>2.8676516675943358</c:v>
                </c:pt>
                <c:pt idx="50">
                  <c:v>3.5343183342609361</c:v>
                </c:pt>
                <c:pt idx="51">
                  <c:v>4.3676516675943358</c:v>
                </c:pt>
                <c:pt idx="52">
                  <c:v>4.7009850009276359</c:v>
                </c:pt>
                <c:pt idx="53">
                  <c:v>5.3676516675943358</c:v>
                </c:pt>
                <c:pt idx="54">
                  <c:v>5.7009850009276359</c:v>
                </c:pt>
                <c:pt idx="55">
                  <c:v>5.5343183342609361</c:v>
                </c:pt>
                <c:pt idx="56">
                  <c:v>4.2009850009276359</c:v>
                </c:pt>
                <c:pt idx="57">
                  <c:v>1.8676516675943358</c:v>
                </c:pt>
                <c:pt idx="58">
                  <c:v>0.86765166759433576</c:v>
                </c:pt>
                <c:pt idx="59">
                  <c:v>0.70098500092763594</c:v>
                </c:pt>
                <c:pt idx="60">
                  <c:v>0.53431833426093611</c:v>
                </c:pt>
                <c:pt idx="61">
                  <c:v>0.20098500092763594</c:v>
                </c:pt>
                <c:pt idx="62">
                  <c:v>3.431833426096631E-2</c:v>
                </c:pt>
                <c:pt idx="63">
                  <c:v>-0.63234833240569444</c:v>
                </c:pt>
                <c:pt idx="64">
                  <c:v>-0.79901499907236406</c:v>
                </c:pt>
                <c:pt idx="65">
                  <c:v>-0.79901499907236406</c:v>
                </c:pt>
                <c:pt idx="66">
                  <c:v>-0.79901499907236406</c:v>
                </c:pt>
                <c:pt idx="67">
                  <c:v>-0.79901499907236406</c:v>
                </c:pt>
                <c:pt idx="68">
                  <c:v>-0.79901499907236406</c:v>
                </c:pt>
                <c:pt idx="69">
                  <c:v>-0.79901499907236406</c:v>
                </c:pt>
                <c:pt idx="70">
                  <c:v>-1.2990149990723641</c:v>
                </c:pt>
                <c:pt idx="71">
                  <c:v>-1.2990149990723641</c:v>
                </c:pt>
                <c:pt idx="72">
                  <c:v>-1.2990149990723641</c:v>
                </c:pt>
                <c:pt idx="73">
                  <c:v>-1.2990149990723641</c:v>
                </c:pt>
                <c:pt idx="74">
                  <c:v>-1.2990149990723641</c:v>
                </c:pt>
                <c:pt idx="75">
                  <c:v>-1.2990149990723641</c:v>
                </c:pt>
                <c:pt idx="76">
                  <c:v>-0.79901499907236406</c:v>
                </c:pt>
                <c:pt idx="77">
                  <c:v>-0.79901499907236406</c:v>
                </c:pt>
                <c:pt idx="78">
                  <c:v>-0.54901499907236406</c:v>
                </c:pt>
                <c:pt idx="79">
                  <c:v>-0.54901499907236406</c:v>
                </c:pt>
              </c:numCache>
            </c:numRef>
          </c:val>
          <c:smooth val="0"/>
          <c:extLst>
            <c:ext xmlns:c16="http://schemas.microsoft.com/office/drawing/2014/chart" uri="{C3380CC4-5D6E-409C-BE32-E72D297353CC}">
              <c16:uniqueId val="{00000000-7ED6-42D1-B0FF-B57DDDB73B0E}"/>
            </c:ext>
          </c:extLst>
        </c:ser>
        <c:ser>
          <c:idx val="1"/>
          <c:order val="1"/>
          <c:tx>
            <c:strRef>
              <c:f>'Interest  '!$C$47</c:f>
              <c:strCache>
                <c:ptCount val="1"/>
                <c:pt idx="0">
                  <c:v>Nominal interest</c:v>
                </c:pt>
              </c:strCache>
            </c:strRef>
          </c:tx>
          <c:spPr>
            <a:ln w="15875"/>
          </c:spPr>
          <c:marker>
            <c:symbol val="none"/>
          </c:marker>
          <c:cat>
            <c:multiLvlStrRef>
              <c:f>'Interest  '!$E$44:$CJ$45</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pt idx="80">
                    <c:v>2014</c:v>
                  </c:pt>
                </c:lvl>
              </c:multiLvlStrCache>
            </c:multiLvlStrRef>
          </c:cat>
          <c:val>
            <c:numRef>
              <c:f>'Interest  '!$E$47:$CJ$47</c:f>
              <c:numCache>
                <c:formatCode>0.0</c:formatCode>
                <c:ptCount val="84"/>
                <c:pt idx="0">
                  <c:v>17.0833333333333</c:v>
                </c:pt>
                <c:pt idx="1">
                  <c:v>17.5</c:v>
                </c:pt>
                <c:pt idx="2">
                  <c:v>18.5</c:v>
                </c:pt>
                <c:pt idx="3">
                  <c:v>18.5</c:v>
                </c:pt>
                <c:pt idx="4">
                  <c:v>18.5</c:v>
                </c:pt>
                <c:pt idx="5">
                  <c:v>20.1666666666667</c:v>
                </c:pt>
                <c:pt idx="6">
                  <c:v>19.5</c:v>
                </c:pt>
                <c:pt idx="7">
                  <c:v>19.9166666666667</c:v>
                </c:pt>
                <c:pt idx="8">
                  <c:v>20.25</c:v>
                </c:pt>
                <c:pt idx="9">
                  <c:v>20.25</c:v>
                </c:pt>
                <c:pt idx="10">
                  <c:v>20.25</c:v>
                </c:pt>
                <c:pt idx="11">
                  <c:v>19.25</c:v>
                </c:pt>
                <c:pt idx="12">
                  <c:v>18.9166666666667</c:v>
                </c:pt>
                <c:pt idx="13">
                  <c:v>19.5833333333333</c:v>
                </c:pt>
                <c:pt idx="14">
                  <c:v>25</c:v>
                </c:pt>
                <c:pt idx="15">
                  <c:v>23.6666666666667</c:v>
                </c:pt>
                <c:pt idx="16">
                  <c:v>21</c:v>
                </c:pt>
                <c:pt idx="17">
                  <c:v>18.6666666666667</c:v>
                </c:pt>
                <c:pt idx="18">
                  <c:v>16.8333333333333</c:v>
                </c:pt>
                <c:pt idx="19">
                  <c:v>15.5</c:v>
                </c:pt>
                <c:pt idx="20">
                  <c:v>14.5</c:v>
                </c:pt>
                <c:pt idx="21">
                  <c:v>14.5</c:v>
                </c:pt>
                <c:pt idx="22">
                  <c:v>14.5</c:v>
                </c:pt>
                <c:pt idx="23">
                  <c:v>14.5</c:v>
                </c:pt>
                <c:pt idx="24">
                  <c:v>14.5</c:v>
                </c:pt>
                <c:pt idx="25">
                  <c:v>14.25</c:v>
                </c:pt>
                <c:pt idx="26">
                  <c:v>13.3333333333333</c:v>
                </c:pt>
                <c:pt idx="27">
                  <c:v>13</c:v>
                </c:pt>
                <c:pt idx="28">
                  <c:v>14.3333333333333</c:v>
                </c:pt>
                <c:pt idx="29">
                  <c:v>15.3333333333333</c:v>
                </c:pt>
                <c:pt idx="30">
                  <c:v>16.3333333333333</c:v>
                </c:pt>
                <c:pt idx="31">
                  <c:v>17</c:v>
                </c:pt>
                <c:pt idx="32">
                  <c:v>17</c:v>
                </c:pt>
                <c:pt idx="33">
                  <c:v>16.5</c:v>
                </c:pt>
                <c:pt idx="34">
                  <c:v>14.5</c:v>
                </c:pt>
                <c:pt idx="35">
                  <c:v>11.8333333333333</c:v>
                </c:pt>
                <c:pt idx="36">
                  <c:v>11.5</c:v>
                </c:pt>
                <c:pt idx="37">
                  <c:v>11.5</c:v>
                </c:pt>
                <c:pt idx="38">
                  <c:v>11.1666666666667</c:v>
                </c:pt>
                <c:pt idx="39">
                  <c:v>11</c:v>
                </c:pt>
                <c:pt idx="40">
                  <c:v>11</c:v>
                </c:pt>
                <c:pt idx="41">
                  <c:v>10.5</c:v>
                </c:pt>
                <c:pt idx="42">
                  <c:v>10.5</c:v>
                </c:pt>
                <c:pt idx="43">
                  <c:v>10.5</c:v>
                </c:pt>
                <c:pt idx="44">
                  <c:v>10.5</c:v>
                </c:pt>
                <c:pt idx="45">
                  <c:v>10.6666666666667</c:v>
                </c:pt>
                <c:pt idx="46">
                  <c:v>11.3333333333333</c:v>
                </c:pt>
                <c:pt idx="47">
                  <c:v>12.1666666666667</c:v>
                </c:pt>
                <c:pt idx="48">
                  <c:v>12.5</c:v>
                </c:pt>
                <c:pt idx="49">
                  <c:v>12.6666666666667</c:v>
                </c:pt>
                <c:pt idx="50">
                  <c:v>13.3333333333333</c:v>
                </c:pt>
                <c:pt idx="51">
                  <c:v>14.1666666666667</c:v>
                </c:pt>
                <c:pt idx="52">
                  <c:v>14.5</c:v>
                </c:pt>
                <c:pt idx="53">
                  <c:v>15.1666666666667</c:v>
                </c:pt>
                <c:pt idx="54">
                  <c:v>15.5</c:v>
                </c:pt>
                <c:pt idx="55">
                  <c:v>15.3333333333333</c:v>
                </c:pt>
                <c:pt idx="56">
                  <c:v>14</c:v>
                </c:pt>
                <c:pt idx="57">
                  <c:v>11.6666666666667</c:v>
                </c:pt>
                <c:pt idx="58">
                  <c:v>10.6666666666667</c:v>
                </c:pt>
                <c:pt idx="59">
                  <c:v>10.5</c:v>
                </c:pt>
                <c:pt idx="60">
                  <c:v>10.3333333333333</c:v>
                </c:pt>
                <c:pt idx="61">
                  <c:v>10</c:v>
                </c:pt>
                <c:pt idx="62">
                  <c:v>9.8333333333333304</c:v>
                </c:pt>
                <c:pt idx="63">
                  <c:v>9.1666666666666696</c:v>
                </c:pt>
                <c:pt idx="64">
                  <c:v>9</c:v>
                </c:pt>
                <c:pt idx="65">
                  <c:v>9</c:v>
                </c:pt>
                <c:pt idx="66">
                  <c:v>9</c:v>
                </c:pt>
                <c:pt idx="67">
                  <c:v>9</c:v>
                </c:pt>
                <c:pt idx="68">
                  <c:v>9</c:v>
                </c:pt>
                <c:pt idx="69">
                  <c:v>9</c:v>
                </c:pt>
                <c:pt idx="70">
                  <c:v>8.5</c:v>
                </c:pt>
                <c:pt idx="71">
                  <c:v>8.5</c:v>
                </c:pt>
                <c:pt idx="72">
                  <c:v>8.5</c:v>
                </c:pt>
                <c:pt idx="73">
                  <c:v>8.5</c:v>
                </c:pt>
                <c:pt idx="74">
                  <c:v>8.5</c:v>
                </c:pt>
                <c:pt idx="75">
                  <c:v>8.5</c:v>
                </c:pt>
                <c:pt idx="76">
                  <c:v>9</c:v>
                </c:pt>
                <c:pt idx="77">
                  <c:v>9</c:v>
                </c:pt>
                <c:pt idx="78">
                  <c:v>9.25</c:v>
                </c:pt>
                <c:pt idx="79">
                  <c:v>9.25</c:v>
                </c:pt>
              </c:numCache>
            </c:numRef>
          </c:val>
          <c:smooth val="0"/>
          <c:extLst>
            <c:ext xmlns:c16="http://schemas.microsoft.com/office/drawing/2014/chart" uri="{C3380CC4-5D6E-409C-BE32-E72D297353CC}">
              <c16:uniqueId val="{00000001-7ED6-42D1-B0FF-B57DDDB73B0E}"/>
            </c:ext>
          </c:extLst>
        </c:ser>
        <c:dLbls>
          <c:showLegendKey val="0"/>
          <c:showVal val="0"/>
          <c:showCatName val="0"/>
          <c:showSerName val="0"/>
          <c:showPercent val="0"/>
          <c:showBubbleSize val="0"/>
        </c:dLbls>
        <c:smooth val="0"/>
        <c:axId val="399510424"/>
        <c:axId val="399512384"/>
      </c:lineChart>
      <c:catAx>
        <c:axId val="399510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2384"/>
        <c:crossesAt val="-4.5"/>
        <c:auto val="1"/>
        <c:lblAlgn val="ctr"/>
        <c:lblOffset val="100"/>
        <c:tickLblSkip val="1"/>
        <c:tickMarkSkip val="1"/>
        <c:noMultiLvlLbl val="0"/>
      </c:catAx>
      <c:valAx>
        <c:axId val="399512384"/>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10424"/>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 MEASURES</a:t>
            </a:r>
          </a:p>
        </c:rich>
      </c:tx>
      <c:layout>
        <c:manualLayout>
          <c:xMode val="edge"/>
          <c:yMode val="edge"/>
          <c:x val="3.6764639154443522E-2"/>
          <c:y val="2.4539758617129381E-2"/>
        </c:manualLayout>
      </c:layout>
      <c:overlay val="0"/>
      <c:spPr>
        <a:noFill/>
        <a:ln w="25400">
          <a:noFill/>
        </a:ln>
      </c:spPr>
    </c:title>
    <c:autoTitleDeleted val="0"/>
    <c:plotArea>
      <c:layout>
        <c:manualLayout>
          <c:layoutTarget val="inner"/>
          <c:xMode val="edge"/>
          <c:yMode val="edge"/>
          <c:x val="6.6662296765453752E-2"/>
          <c:y val="0.12362019964895693"/>
          <c:w val="0.92463235294117663"/>
          <c:h val="0.67851531472900795"/>
        </c:manualLayout>
      </c:layout>
      <c:lineChart>
        <c:grouping val="standard"/>
        <c:varyColors val="0"/>
        <c:ser>
          <c:idx val="0"/>
          <c:order val="0"/>
          <c:tx>
            <c:strRef>
              <c:f>'Inflation  '!$C$45</c:f>
              <c:strCache>
                <c:ptCount val="1"/>
                <c:pt idx="0">
                  <c:v>CPI </c:v>
                </c:pt>
              </c:strCache>
            </c:strRef>
          </c:tx>
          <c:spPr>
            <a:ln w="25400">
              <a:solidFill>
                <a:srgbClr val="FF6600"/>
              </a:solidFill>
              <a:prstDash val="solid"/>
            </a:ln>
          </c:spPr>
          <c:marker>
            <c:symbol val="none"/>
          </c:marker>
          <c:cat>
            <c:strRef>
              <c:f>'Inflation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'Inflation  '!$E$8:$AB$8</c:f>
              <c:numCache>
                <c:formatCode>0.0</c:formatCode>
                <c:ptCount val="24"/>
                <c:pt idx="0">
                  <c:v>9</c:v>
                </c:pt>
                <c:pt idx="1">
                  <c:v>8.6999999999999993</c:v>
                </c:pt>
                <c:pt idx="2">
                  <c:v>7.4</c:v>
                </c:pt>
                <c:pt idx="3">
                  <c:v>8.6</c:v>
                </c:pt>
                <c:pt idx="4">
                  <c:v>6.9</c:v>
                </c:pt>
                <c:pt idx="5">
                  <c:v>5.0999999999999996</c:v>
                </c:pt>
                <c:pt idx="6">
                  <c:v>5.3</c:v>
                </c:pt>
                <c:pt idx="7">
                  <c:v>5.7</c:v>
                </c:pt>
                <c:pt idx="8">
                  <c:v>9.1999999999999993</c:v>
                </c:pt>
                <c:pt idx="9">
                  <c:v>5.8</c:v>
                </c:pt>
                <c:pt idx="10">
                  <c:v>1.4</c:v>
                </c:pt>
                <c:pt idx="11">
                  <c:v>3.4</c:v>
                </c:pt>
                <c:pt idx="12">
                  <c:v>4.7</c:v>
                </c:pt>
                <c:pt idx="13">
                  <c:v>7.1</c:v>
                </c:pt>
                <c:pt idx="14">
                  <c:v>11.5</c:v>
                </c:pt>
                <c:pt idx="15">
                  <c:v>7.1</c:v>
                </c:pt>
                <c:pt idx="16">
                  <c:v>4.3</c:v>
                </c:pt>
                <c:pt idx="17">
                  <c:v>5</c:v>
                </c:pt>
                <c:pt idx="18">
                  <c:v>5.6</c:v>
                </c:pt>
                <c:pt idx="19">
                  <c:v>5.7</c:v>
                </c:pt>
                <c:pt idx="20">
                  <c:v>6.1</c:v>
                </c:pt>
                <c:pt idx="21">
                  <c:v>4.5999999999999996</c:v>
                </c:pt>
                <c:pt idx="22">
                  <c:v>6.4</c:v>
                </c:pt>
                <c:pt idx="23">
                  <c:v>5.3</c:v>
                </c:pt>
              </c:numCache>
            </c:numRef>
          </c:val>
          <c:smooth val="0"/>
          <c:extLst>
            <c:ext xmlns:c16="http://schemas.microsoft.com/office/drawing/2014/chart" uri="{C3380CC4-5D6E-409C-BE32-E72D297353CC}">
              <c16:uniqueId val="{00000000-E322-4807-8510-6693A439AC77}"/>
            </c:ext>
          </c:extLst>
        </c:ser>
        <c:dLbls>
          <c:showLegendKey val="0"/>
          <c:showVal val="0"/>
          <c:showCatName val="0"/>
          <c:showSerName val="0"/>
          <c:showPercent val="0"/>
          <c:showBubbleSize val="0"/>
        </c:dLbls>
        <c:smooth val="0"/>
        <c:axId val="399690960"/>
        <c:axId val="399688216"/>
      </c:lineChart>
      <c:catAx>
        <c:axId val="39969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688216"/>
        <c:crossesAt val="-3"/>
        <c:auto val="1"/>
        <c:lblAlgn val="ctr"/>
        <c:lblOffset val="100"/>
        <c:tickLblSkip val="1"/>
        <c:tickMarkSkip val="1"/>
        <c:noMultiLvlLbl val="0"/>
      </c:catAx>
      <c:valAx>
        <c:axId val="39968821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0960"/>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7.3909052982895282E-2"/>
          <c:h val="4.0558920664404682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2078697948267"/>
          <c:y val="8.6068597791534709E-2"/>
          <c:w val="0.87261154424156184"/>
          <c:h val="0.64399299343602145"/>
        </c:manualLayout>
      </c:layout>
      <c:lineChart>
        <c:grouping val="standard"/>
        <c:varyColors val="0"/>
        <c:ser>
          <c:idx val="0"/>
          <c:order val="0"/>
          <c:tx>
            <c:strRef>
              <c:f>'Inflation  '!$C$45</c:f>
              <c:strCache>
                <c:ptCount val="1"/>
                <c:pt idx="0">
                  <c:v>CPI </c:v>
                </c:pt>
              </c:strCache>
            </c:strRef>
          </c:tx>
          <c:spPr>
            <a:ln w="15875">
              <a:solidFill>
                <a:srgbClr val="993300"/>
              </a:solidFill>
              <a:prstDash val="solid"/>
            </a:ln>
          </c:spPr>
          <c:marker>
            <c:symbol val="none"/>
          </c:marker>
          <c:cat>
            <c:multiLvlStrRef>
              <c:f>'Inflation  '!$D$43:$CN$44</c:f>
              <c:multiLvlStrCache>
                <c:ptCount val="89"/>
                <c:lvl>
                  <c:pt idx="0">
                    <c:v>M</c:v>
                  </c:pt>
                  <c:pt idx="2">
                    <c:v>J</c:v>
                  </c:pt>
                  <c:pt idx="3">
                    <c:v>S</c:v>
                  </c:pt>
                  <c:pt idx="4">
                    <c:v>D</c:v>
                  </c:pt>
                  <c:pt idx="5">
                    <c:v>M</c:v>
                  </c:pt>
                  <c:pt idx="6">
                    <c:v>J</c:v>
                  </c:pt>
                  <c:pt idx="7">
                    <c:v>S</c:v>
                  </c:pt>
                  <c:pt idx="8">
                    <c:v>D</c:v>
                  </c:pt>
                  <c:pt idx="9">
                    <c:v>M</c:v>
                  </c:pt>
                  <c:pt idx="10">
                    <c:v>J</c:v>
                  </c:pt>
                  <c:pt idx="11">
                    <c:v>S</c:v>
                  </c:pt>
                  <c:pt idx="12">
                    <c:v>D</c:v>
                  </c:pt>
                  <c:pt idx="13">
                    <c:v>M</c:v>
                  </c:pt>
                  <c:pt idx="14">
                    <c:v>J</c:v>
                  </c:pt>
                  <c:pt idx="15">
                    <c:v>S</c:v>
                  </c:pt>
                  <c:pt idx="16">
                    <c:v>D</c:v>
                  </c:pt>
                  <c:pt idx="17">
                    <c:v>M</c:v>
                  </c:pt>
                  <c:pt idx="18">
                    <c:v>J</c:v>
                  </c:pt>
                  <c:pt idx="19">
                    <c:v>S</c:v>
                  </c:pt>
                  <c:pt idx="20">
                    <c:v>D</c:v>
                  </c:pt>
                  <c:pt idx="21">
                    <c:v>M</c:v>
                  </c:pt>
                  <c:pt idx="22">
                    <c:v>J</c:v>
                  </c:pt>
                  <c:pt idx="23">
                    <c:v>S</c:v>
                  </c:pt>
                  <c:pt idx="24">
                    <c:v>D</c:v>
                  </c:pt>
                  <c:pt idx="25">
                    <c:v>M</c:v>
                  </c:pt>
                  <c:pt idx="26">
                    <c:v>J</c:v>
                  </c:pt>
                  <c:pt idx="27">
                    <c:v>S</c:v>
                  </c:pt>
                  <c:pt idx="28">
                    <c:v>D</c:v>
                  </c:pt>
                  <c:pt idx="29">
                    <c:v>M</c:v>
                  </c:pt>
                  <c:pt idx="30">
                    <c:v>J</c:v>
                  </c:pt>
                  <c:pt idx="31">
                    <c:v>S</c:v>
                  </c:pt>
                  <c:pt idx="32">
                    <c:v>D</c:v>
                  </c:pt>
                  <c:pt idx="33">
                    <c:v>M</c:v>
                  </c:pt>
                  <c:pt idx="34">
                    <c:v>J</c:v>
                  </c:pt>
                  <c:pt idx="35">
                    <c:v>S</c:v>
                  </c:pt>
                  <c:pt idx="36">
                    <c:v>D</c:v>
                  </c:pt>
                  <c:pt idx="37">
                    <c:v>M</c:v>
                  </c:pt>
                  <c:pt idx="38">
                    <c:v>J</c:v>
                  </c:pt>
                  <c:pt idx="39">
                    <c:v>S</c:v>
                  </c:pt>
                  <c:pt idx="40">
                    <c:v>D</c:v>
                  </c:pt>
                  <c:pt idx="41">
                    <c:v>M</c:v>
                  </c:pt>
                  <c:pt idx="42">
                    <c:v>J</c:v>
                  </c:pt>
                  <c:pt idx="43">
                    <c:v>S</c:v>
                  </c:pt>
                  <c:pt idx="44">
                    <c:v>D</c:v>
                  </c:pt>
                  <c:pt idx="45">
                    <c:v>M</c:v>
                  </c:pt>
                  <c:pt idx="46">
                    <c:v>J</c:v>
                  </c:pt>
                  <c:pt idx="47">
                    <c:v>S</c:v>
                  </c:pt>
                  <c:pt idx="48">
                    <c:v>D</c:v>
                  </c:pt>
                  <c:pt idx="49">
                    <c:v>M</c:v>
                  </c:pt>
                  <c:pt idx="50">
                    <c:v>J</c:v>
                  </c:pt>
                  <c:pt idx="51">
                    <c:v>S</c:v>
                  </c:pt>
                  <c:pt idx="52">
                    <c:v>D</c:v>
                  </c:pt>
                  <c:pt idx="53">
                    <c:v>M</c:v>
                  </c:pt>
                  <c:pt idx="54">
                    <c:v>J</c:v>
                  </c:pt>
                  <c:pt idx="55">
                    <c:v>S</c:v>
                  </c:pt>
                  <c:pt idx="56">
                    <c:v>D</c:v>
                  </c:pt>
                  <c:pt idx="57">
                    <c:v>M</c:v>
                  </c:pt>
                  <c:pt idx="58">
                    <c:v>J</c:v>
                  </c:pt>
                  <c:pt idx="59">
                    <c:v>S</c:v>
                  </c:pt>
                  <c:pt idx="60">
                    <c:v>D</c:v>
                  </c:pt>
                  <c:pt idx="61">
                    <c:v>M</c:v>
                  </c:pt>
                  <c:pt idx="62">
                    <c:v>J</c:v>
                  </c:pt>
                  <c:pt idx="63">
                    <c:v>S</c:v>
                  </c:pt>
                  <c:pt idx="64">
                    <c:v>D</c:v>
                  </c:pt>
                  <c:pt idx="65">
                    <c:v>M</c:v>
                  </c:pt>
                  <c:pt idx="66">
                    <c:v>J</c:v>
                  </c:pt>
                  <c:pt idx="67">
                    <c:v>S</c:v>
                  </c:pt>
                  <c:pt idx="68">
                    <c:v>D</c:v>
                  </c:pt>
                  <c:pt idx="69">
                    <c:v>M</c:v>
                  </c:pt>
                  <c:pt idx="70">
                    <c:v>J</c:v>
                  </c:pt>
                  <c:pt idx="71">
                    <c:v>S</c:v>
                  </c:pt>
                  <c:pt idx="72">
                    <c:v>D</c:v>
                  </c:pt>
                  <c:pt idx="73">
                    <c:v>M</c:v>
                  </c:pt>
                  <c:pt idx="74">
                    <c:v>J</c:v>
                  </c:pt>
                  <c:pt idx="75">
                    <c:v>S</c:v>
                  </c:pt>
                  <c:pt idx="76">
                    <c:v>D</c:v>
                  </c:pt>
                  <c:pt idx="77">
                    <c:v>M</c:v>
                  </c:pt>
                  <c:pt idx="78">
                    <c:v>J</c:v>
                  </c:pt>
                  <c:pt idx="79">
                    <c:v>S</c:v>
                  </c:pt>
                  <c:pt idx="80">
                    <c:v>D</c:v>
                  </c:pt>
                  <c:pt idx="81">
                    <c:v>M</c:v>
                  </c:pt>
                  <c:pt idx="82">
                    <c:v>J</c:v>
                  </c:pt>
                  <c:pt idx="83">
                    <c:v>S</c:v>
                  </c:pt>
                  <c:pt idx="84">
                    <c:v>D</c:v>
                  </c:pt>
                  <c:pt idx="85">
                    <c:v>M</c:v>
                  </c:pt>
                  <c:pt idx="86">
                    <c:v>J</c:v>
                  </c:pt>
                  <c:pt idx="87">
                    <c:v>S</c:v>
                  </c:pt>
                  <c:pt idx="88">
                    <c:v>D</c:v>
                  </c:pt>
                </c:lvl>
                <c:lvl>
                  <c:pt idx="0">
                    <c:v>1994</c:v>
                  </c:pt>
                  <c:pt idx="5">
                    <c:v>1995</c:v>
                  </c:pt>
                  <c:pt idx="9">
                    <c:v>1996</c:v>
                  </c:pt>
                  <c:pt idx="13">
                    <c:v>1997</c:v>
                  </c:pt>
                  <c:pt idx="17">
                    <c:v>1998</c:v>
                  </c:pt>
                  <c:pt idx="21">
                    <c:v>1999</c:v>
                  </c:pt>
                  <c:pt idx="25">
                    <c:v>2000</c:v>
                  </c:pt>
                  <c:pt idx="29">
                    <c:v>2001</c:v>
                  </c:pt>
                  <c:pt idx="33">
                    <c:v>2002</c:v>
                  </c:pt>
                  <c:pt idx="37">
                    <c:v>2003</c:v>
                  </c:pt>
                  <c:pt idx="41">
                    <c:v>2004</c:v>
                  </c:pt>
                  <c:pt idx="45">
                    <c:v>2005</c:v>
                  </c:pt>
                  <c:pt idx="49">
                    <c:v>2006</c:v>
                  </c:pt>
                  <c:pt idx="53">
                    <c:v>2007</c:v>
                  </c:pt>
                  <c:pt idx="57">
                    <c:v>2008</c:v>
                  </c:pt>
                  <c:pt idx="61">
                    <c:v>2009</c:v>
                  </c:pt>
                  <c:pt idx="65">
                    <c:v>2010</c:v>
                  </c:pt>
                  <c:pt idx="69">
                    <c:v>2011</c:v>
                  </c:pt>
                  <c:pt idx="73">
                    <c:v>2012</c:v>
                  </c:pt>
                  <c:pt idx="77">
                    <c:v>2013</c:v>
                  </c:pt>
                  <c:pt idx="81">
                    <c:v>2014</c:v>
                  </c:pt>
                  <c:pt idx="85">
                    <c:v>2014</c:v>
                  </c:pt>
                </c:lvl>
              </c:multiLvlStrCache>
            </c:multiLvlStrRef>
          </c:cat>
          <c:val>
            <c:numRef>
              <c:f>'Inflation  '!$D$45:$CN$45</c:f>
              <c:numCache>
                <c:formatCode>0.0</c:formatCode>
                <c:ptCount val="89"/>
                <c:pt idx="0">
                  <c:v>9.6690745326061922</c:v>
                </c:pt>
                <c:pt idx="2">
                  <c:v>7.1544990447711898</c:v>
                </c:pt>
                <c:pt idx="3">
                  <c:v>9.1298236892189308</c:v>
                </c:pt>
                <c:pt idx="4">
                  <c:v>9.7990149990723641</c:v>
                </c:pt>
                <c:pt idx="5">
                  <c:v>9.9593442253082856</c:v>
                </c:pt>
                <c:pt idx="6">
                  <c:v>10.65216088388572</c:v>
                </c:pt>
                <c:pt idx="7">
                  <c:v>7.7265495256930494</c:v>
                </c:pt>
                <c:pt idx="8">
                  <c:v>6.5617362329769779</c:v>
                </c:pt>
                <c:pt idx="9">
                  <c:v>6.5085679673837493</c:v>
                </c:pt>
                <c:pt idx="10">
                  <c:v>6.0804774256866922</c:v>
                </c:pt>
                <c:pt idx="11">
                  <c:v>7.6291228387665333</c:v>
                </c:pt>
                <c:pt idx="12">
                  <c:v>9.1451219295645814</c:v>
                </c:pt>
                <c:pt idx="13">
                  <c:v>9.6107740626719895</c:v>
                </c:pt>
                <c:pt idx="14">
                  <c:v>9.3789086252066056</c:v>
                </c:pt>
                <c:pt idx="15">
                  <c:v>8.6163234263308741</c:v>
                </c:pt>
                <c:pt idx="16">
                  <c:v>6.8816620113169469</c:v>
                </c:pt>
                <c:pt idx="17">
                  <c:v>6.5767284991568031</c:v>
                </c:pt>
                <c:pt idx="18">
                  <c:v>6.9565217391304168</c:v>
                </c:pt>
                <c:pt idx="19">
                  <c:v>7.2505091649695208</c:v>
                </c:pt>
                <c:pt idx="20">
                  <c:v>7.4074074074073737</c:v>
                </c:pt>
                <c:pt idx="21">
                  <c:v>7.2784810126582</c:v>
                </c:pt>
                <c:pt idx="22">
                  <c:v>7.00735578784355</c:v>
                </c:pt>
                <c:pt idx="23">
                  <c:v>6.7603494113178675</c:v>
                </c:pt>
                <c:pt idx="24">
                  <c:v>6.7091454272864004</c:v>
                </c:pt>
                <c:pt idx="25">
                  <c:v>7.1902654867256555</c:v>
                </c:pt>
                <c:pt idx="26">
                  <c:v>7.8509406657019554</c:v>
                </c:pt>
                <c:pt idx="27">
                  <c:v>8.0398434720736276</c:v>
                </c:pt>
                <c:pt idx="28">
                  <c:v>7.7976817702845036</c:v>
                </c:pt>
                <c:pt idx="29">
                  <c:v>7.602339181286899</c:v>
                </c:pt>
                <c:pt idx="30">
                  <c:v>6.5414290506544459</c:v>
                </c:pt>
                <c:pt idx="31">
                  <c:v>6.0915377016796501</c:v>
                </c:pt>
                <c:pt idx="32">
                  <c:v>6.2235255783646082</c:v>
                </c:pt>
                <c:pt idx="33">
                  <c:v>7.4168797953960697</c:v>
                </c:pt>
                <c:pt idx="34">
                  <c:v>8.7216624685135145</c:v>
                </c:pt>
                <c:pt idx="35">
                  <c:v>9.9317194289264332</c:v>
                </c:pt>
                <c:pt idx="36">
                  <c:v>11.134969325153342</c:v>
                </c:pt>
                <c:pt idx="37">
                  <c:v>9.5238095238098239</c:v>
                </c:pt>
                <c:pt idx="38">
                  <c:v>7.5296843324648144</c:v>
                </c:pt>
                <c:pt idx="39">
                  <c:v>6.0700169395815573</c:v>
                </c:pt>
                <c:pt idx="40">
                  <c:v>4.1954181617438469</c:v>
                </c:pt>
                <c:pt idx="41">
                  <c:v>4.4565217391298928</c:v>
                </c:pt>
                <c:pt idx="42">
                  <c:v>4.6054403447347125</c:v>
                </c:pt>
                <c:pt idx="43">
                  <c:v>3.8860793186055398</c:v>
                </c:pt>
                <c:pt idx="44">
                  <c:v>4.3708609271523313</c:v>
                </c:pt>
                <c:pt idx="45">
                  <c:v>3.4339229968782359</c:v>
                </c:pt>
                <c:pt idx="46">
                  <c:v>3.7332646755918963</c:v>
                </c:pt>
                <c:pt idx="47">
                  <c:v>4.5605944145526545</c:v>
                </c:pt>
                <c:pt idx="48">
                  <c:v>4.0609137055842792</c:v>
                </c:pt>
                <c:pt idx="49">
                  <c:v>4.2002012072437367</c:v>
                </c:pt>
                <c:pt idx="50">
                  <c:v>4.2194092827006591</c:v>
                </c:pt>
                <c:pt idx="51">
                  <c:v>4.9742710120071365</c:v>
                </c:pt>
                <c:pt idx="52">
                  <c:v>4.9756097560975654</c:v>
                </c:pt>
                <c:pt idx="53">
                  <c:v>5.2377504223990012</c:v>
                </c:pt>
                <c:pt idx="54">
                  <c:v>6.3586568230530771</c:v>
                </c:pt>
                <c:pt idx="55">
                  <c:v>6.489262371615534</c:v>
                </c:pt>
                <c:pt idx="56">
                  <c:v>7.9228624535311098</c:v>
                </c:pt>
                <c:pt idx="57">
                  <c:v>9.4036697247708911</c:v>
                </c:pt>
                <c:pt idx="58">
                  <c:v>10.971786833855557</c:v>
                </c:pt>
                <c:pt idx="59">
                  <c:v>13.217886891714127</c:v>
                </c:pt>
                <c:pt idx="60">
                  <c:v>11.603875134553521</c:v>
                </c:pt>
                <c:pt idx="61">
                  <c:v>8.377192982456183</c:v>
                </c:pt>
                <c:pt idx="62">
                  <c:v>7.7711357813833315</c:v>
                </c:pt>
                <c:pt idx="63">
                  <c:v>6.4182194616977606</c:v>
                </c:pt>
                <c:pt idx="64">
                  <c:v>6.0805258833197318</c:v>
                </c:pt>
                <c:pt idx="65">
                  <c:v>5.6657223796034328</c:v>
                </c:pt>
                <c:pt idx="66">
                  <c:v>4.5166402535657735</c:v>
                </c:pt>
                <c:pt idx="67">
                  <c:v>3.463035019455174</c:v>
                </c:pt>
                <c:pt idx="68">
                  <c:v>3.4469403563129664</c:v>
                </c:pt>
                <c:pt idx="69">
                  <c:v>3.8299502106472261</c:v>
                </c:pt>
                <c:pt idx="70">
                  <c:v>4.624715693707393</c:v>
                </c:pt>
                <c:pt idx="71">
                  <c:v>5.4531778864234326</c:v>
                </c:pt>
                <c:pt idx="72">
                  <c:v>6.0651441407711282</c:v>
                </c:pt>
                <c:pt idx="73">
                  <c:v>6.1232017705643349</c:v>
                </c:pt>
                <c:pt idx="74">
                  <c:v>5.7608695652173969</c:v>
                </c:pt>
                <c:pt idx="75">
                  <c:v>5.0998573466476849</c:v>
                </c:pt>
                <c:pt idx="76">
                  <c:v>5.6477232615602668</c:v>
                </c:pt>
                <c:pt idx="77">
                  <c:v>5.7003823427184575</c:v>
                </c:pt>
                <c:pt idx="78">
                  <c:v>5.6526207605344325</c:v>
                </c:pt>
                <c:pt idx="79">
                  <c:v>6.2436375975572167</c:v>
                </c:pt>
                <c:pt idx="80">
                  <c:v>5.4126294687607546</c:v>
                </c:pt>
                <c:pt idx="81">
                  <c:v>5.9191055573824203</c:v>
                </c:pt>
                <c:pt idx="82">
                  <c:v>6.4526588845651656</c:v>
                </c:pt>
                <c:pt idx="83">
                  <c:v>6.228042159054592</c:v>
                </c:pt>
                <c:pt idx="84">
                  <c:v>5.7369255150551357</c:v>
                </c:pt>
              </c:numCache>
            </c:numRef>
          </c:val>
          <c:smooth val="0"/>
          <c:extLst>
            <c:ext xmlns:c16="http://schemas.microsoft.com/office/drawing/2014/chart" uri="{C3380CC4-5D6E-409C-BE32-E72D297353CC}">
              <c16:uniqueId val="{00000000-2589-4BCC-8924-A1481228976E}"/>
            </c:ext>
          </c:extLst>
        </c:ser>
        <c:dLbls>
          <c:showLegendKey val="0"/>
          <c:showVal val="0"/>
          <c:showCatName val="0"/>
          <c:showSerName val="0"/>
          <c:showPercent val="0"/>
          <c:showBubbleSize val="0"/>
        </c:dLbls>
        <c:smooth val="0"/>
        <c:axId val="399687432"/>
        <c:axId val="399688608"/>
      </c:lineChart>
      <c:catAx>
        <c:axId val="399687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688608"/>
        <c:crossesAt val="-3"/>
        <c:auto val="1"/>
        <c:lblAlgn val="ctr"/>
        <c:lblOffset val="100"/>
        <c:tickLblSkip val="1"/>
        <c:tickMarkSkip val="1"/>
        <c:noMultiLvlLbl val="0"/>
      </c:catAx>
      <c:valAx>
        <c:axId val="399688608"/>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687432"/>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0.10386024506651176"/>
          <c:h val="6.1349722589024158E-2"/>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977" r="0.75000000000000977"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BOND POINTS SPREAD</a:t>
            </a:r>
          </a:p>
        </c:rich>
      </c:tx>
      <c:layout>
        <c:manualLayout>
          <c:xMode val="edge"/>
          <c:yMode val="edge"/>
          <c:x val="4.3325571657628403E-2"/>
          <c:y val="3.2608794271086483E-2"/>
        </c:manualLayout>
      </c:layout>
      <c:overlay val="0"/>
      <c:spPr>
        <a:noFill/>
        <a:ln w="25400">
          <a:noFill/>
        </a:ln>
      </c:spPr>
    </c:title>
    <c:autoTitleDeleted val="0"/>
    <c:plotArea>
      <c:layout>
        <c:manualLayout>
          <c:layoutTarget val="inner"/>
          <c:xMode val="edge"/>
          <c:yMode val="edge"/>
          <c:x val="7.2599531615925514E-2"/>
          <c:y val="0.15217445147776687"/>
          <c:w val="0.91100702576112358"/>
          <c:h val="0.61232100713672544"/>
        </c:manualLayout>
      </c:layout>
      <c:lineChart>
        <c:grouping val="standard"/>
        <c:varyColors val="0"/>
        <c:ser>
          <c:idx val="0"/>
          <c:order val="0"/>
          <c:tx>
            <c:strRef>
              <c:f>'Bondpoints Spread '!$D$9</c:f>
              <c:strCache>
                <c:ptCount val="1"/>
                <c:pt idx="0">
                  <c:v>Bond Points Spread</c:v>
                </c:pt>
              </c:strCache>
            </c:strRef>
          </c:tx>
          <c:spPr>
            <a:ln w="25400">
              <a:solidFill>
                <a:srgbClr val="FF6600"/>
              </a:solidFill>
              <a:prstDash val="solid"/>
            </a:ln>
          </c:spPr>
          <c:marker>
            <c:symbol val="none"/>
          </c:marker>
          <c:cat>
            <c:numRef>
              <c:f>'Bondpoints Spread '!$E$8:$X$8</c:f>
              <c:numCache>
                <c:formatCode>yyyy</c:formatCode>
                <c:ptCount val="20"/>
                <c:pt idx="0">
                  <c:v>36160</c:v>
                </c:pt>
                <c:pt idx="1">
                  <c:v>36525</c:v>
                </c:pt>
                <c:pt idx="2">
                  <c:v>36891</c:v>
                </c:pt>
                <c:pt idx="3">
                  <c:v>37256</c:v>
                </c:pt>
                <c:pt idx="4">
                  <c:v>37621</c:v>
                </c:pt>
                <c:pt idx="5">
                  <c:v>37986</c:v>
                </c:pt>
                <c:pt idx="6">
                  <c:v>38352</c:v>
                </c:pt>
                <c:pt idx="7">
                  <c:v>38717</c:v>
                </c:pt>
                <c:pt idx="8">
                  <c:v>39082</c:v>
                </c:pt>
                <c:pt idx="9">
                  <c:v>39447</c:v>
                </c:pt>
                <c:pt idx="10">
                  <c:v>39813</c:v>
                </c:pt>
                <c:pt idx="11">
                  <c:v>40178</c:v>
                </c:pt>
                <c:pt idx="12">
                  <c:v>40543</c:v>
                </c:pt>
                <c:pt idx="13">
                  <c:v>40908</c:v>
                </c:pt>
                <c:pt idx="14">
                  <c:v>41274</c:v>
                </c:pt>
                <c:pt idx="15">
                  <c:v>41275</c:v>
                </c:pt>
                <c:pt idx="16">
                  <c:v>41641</c:v>
                </c:pt>
                <c:pt idx="17">
                  <c:v>42007</c:v>
                </c:pt>
                <c:pt idx="18">
                  <c:v>42371</c:v>
                </c:pt>
                <c:pt idx="19">
                  <c:v>42738</c:v>
                </c:pt>
              </c:numCache>
            </c:numRef>
          </c:cat>
          <c:val>
            <c:numRef>
              <c:f>'Bondpoints Spread '!$E$9:$X$9</c:f>
              <c:numCache>
                <c:formatCode>General</c:formatCode>
                <c:ptCount val="20"/>
                <c:pt idx="0">
                  <c:v>397</c:v>
                </c:pt>
                <c:pt idx="1">
                  <c:v>422</c:v>
                </c:pt>
                <c:pt idx="2">
                  <c:v>332</c:v>
                </c:pt>
                <c:pt idx="3">
                  <c:v>311</c:v>
                </c:pt>
                <c:pt idx="4">
                  <c:v>270</c:v>
                </c:pt>
                <c:pt idx="5">
                  <c:v>175</c:v>
                </c:pt>
                <c:pt idx="6">
                  <c:v>141</c:v>
                </c:pt>
                <c:pt idx="7">
                  <c:v>95</c:v>
                </c:pt>
                <c:pt idx="8">
                  <c:v>90</c:v>
                </c:pt>
                <c:pt idx="9">
                  <c:v>100</c:v>
                </c:pt>
                <c:pt idx="10">
                  <c:v>328</c:v>
                </c:pt>
                <c:pt idx="11">
                  <c:v>299</c:v>
                </c:pt>
                <c:pt idx="12">
                  <c:v>167</c:v>
                </c:pt>
                <c:pt idx="13">
                  <c:v>195</c:v>
                </c:pt>
                <c:pt idx="14">
                  <c:v>206</c:v>
                </c:pt>
                <c:pt idx="15">
                  <c:v>234</c:v>
                </c:pt>
                <c:pt idx="16">
                  <c:v>231</c:v>
                </c:pt>
                <c:pt idx="17">
                  <c:v>296</c:v>
                </c:pt>
                <c:pt idx="18">
                  <c:v>343</c:v>
                </c:pt>
                <c:pt idx="19">
                  <c:v>267</c:v>
                </c:pt>
              </c:numCache>
            </c:numRef>
          </c:val>
          <c:smooth val="0"/>
          <c:extLst>
            <c:ext xmlns:c16="http://schemas.microsoft.com/office/drawing/2014/chart" uri="{C3380CC4-5D6E-409C-BE32-E72D297353CC}">
              <c16:uniqueId val="{00000000-2A30-4263-AAED-AA6E58CF19E1}"/>
            </c:ext>
          </c:extLst>
        </c:ser>
        <c:dLbls>
          <c:showLegendKey val="0"/>
          <c:showVal val="0"/>
          <c:showCatName val="0"/>
          <c:showSerName val="0"/>
          <c:showPercent val="0"/>
          <c:showBubbleSize val="0"/>
        </c:dLbls>
        <c:smooth val="0"/>
        <c:axId val="399685472"/>
        <c:axId val="399691744"/>
      </c:lineChart>
      <c:catAx>
        <c:axId val="399685472"/>
        <c:scaling>
          <c:orientation val="minMax"/>
        </c:scaling>
        <c:delete val="0"/>
        <c:axPos val="b"/>
        <c:numFmt formatCode="yy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744"/>
        <c:crosses val="autoZero"/>
        <c:auto val="0"/>
        <c:lblAlgn val="ctr"/>
        <c:lblOffset val="100"/>
        <c:tickLblSkip val="1"/>
        <c:tickMarkSkip val="1"/>
        <c:noMultiLvlLbl val="1"/>
      </c:catAx>
      <c:valAx>
        <c:axId val="399691744"/>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basis points</a:t>
                </a:r>
              </a:p>
            </c:rich>
          </c:tx>
          <c:layout>
            <c:manualLayout>
              <c:xMode val="edge"/>
              <c:yMode val="edge"/>
              <c:x val="1.522248434898945E-2"/>
              <c:y val="0.34420401153559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54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Expenditure on R&amp;D </a:t>
            </a:r>
          </a:p>
        </c:rich>
      </c:tx>
      <c:layout>
        <c:manualLayout>
          <c:xMode val="edge"/>
          <c:yMode val="edge"/>
          <c:x val="4.4707971615384055E-2"/>
          <c:y val="1.1721611721611722E-2"/>
        </c:manualLayout>
      </c:layout>
      <c:overlay val="0"/>
    </c:title>
    <c:autoTitleDeleted val="0"/>
    <c:plotArea>
      <c:layout>
        <c:manualLayout>
          <c:layoutTarget val="inner"/>
          <c:xMode val="edge"/>
          <c:yMode val="edge"/>
          <c:x val="4.999389791324492E-2"/>
          <c:y val="9.7545960601078743E-2"/>
          <c:w val="0.8936474006134596"/>
          <c:h val="0.67555017161317321"/>
        </c:manualLayout>
      </c:layout>
      <c:barChart>
        <c:barDir val="col"/>
        <c:grouping val="stacked"/>
        <c:varyColors val="0"/>
        <c:ser>
          <c:idx val="0"/>
          <c:order val="0"/>
          <c:tx>
            <c:strRef>
              <c:f>'R&amp;D  '!$D$59</c:f>
              <c:strCache>
                <c:ptCount val="1"/>
                <c:pt idx="0">
                  <c:v>Business enterprise</c:v>
                </c:pt>
              </c:strCache>
            </c:strRef>
          </c:tx>
          <c:spPr>
            <a:solidFill>
              <a:srgbClr val="FCD5B5"/>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'!$F$59:$AC$59</c:f>
              <c:numCache>
                <c:formatCode>#\ ###\ ###</c:formatCode>
                <c:ptCount val="24"/>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pt idx="22">
                  <c:v>13290951000</c:v>
                </c:pt>
                <c:pt idx="23">
                  <c:v>13814995000</c:v>
                </c:pt>
              </c:numCache>
            </c:numRef>
          </c:val>
          <c:extLst>
            <c:ext xmlns:c16="http://schemas.microsoft.com/office/drawing/2014/chart" uri="{C3380CC4-5D6E-409C-BE32-E72D297353CC}">
              <c16:uniqueId val="{00000000-9D7E-4900-9969-8B56214816C6}"/>
            </c:ext>
          </c:extLst>
        </c:ser>
        <c:ser>
          <c:idx val="1"/>
          <c:order val="1"/>
          <c:tx>
            <c:strRef>
              <c:f>'R&amp;D  '!$D$60</c:f>
              <c:strCache>
                <c:ptCount val="1"/>
                <c:pt idx="0">
                  <c:v>Government</c:v>
                </c:pt>
              </c:strCache>
            </c:strRef>
          </c:tx>
          <c:spPr>
            <a:solidFill>
              <a:srgbClr val="F8A662"/>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'!$F$60:$AC$60</c:f>
              <c:numCache>
                <c:formatCode>#\ ###\ ###</c:formatCode>
                <c:ptCount val="24"/>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pt idx="22">
                  <c:v>1893010000</c:v>
                </c:pt>
                <c:pt idx="23">
                  <c:v>2013021000</c:v>
                </c:pt>
              </c:numCache>
            </c:numRef>
          </c:val>
          <c:extLst>
            <c:ext xmlns:c16="http://schemas.microsoft.com/office/drawing/2014/chart" uri="{C3380CC4-5D6E-409C-BE32-E72D297353CC}">
              <c16:uniqueId val="{00000001-9D7E-4900-9969-8B56214816C6}"/>
            </c:ext>
          </c:extLst>
        </c:ser>
        <c:ser>
          <c:idx val="2"/>
          <c:order val="2"/>
          <c:tx>
            <c:strRef>
              <c:f>'R&amp;D  '!$D$61</c:f>
              <c:strCache>
                <c:ptCount val="1"/>
                <c:pt idx="0">
                  <c:v>Higher education</c:v>
                </c:pt>
              </c:strCache>
            </c:strRef>
          </c:tx>
          <c:spPr>
            <a:solidFill>
              <a:srgbClr val="E46C0A"/>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'!$F$61:$AC$61</c:f>
              <c:numCache>
                <c:formatCode>#\ ###\ ###</c:formatCode>
                <c:ptCount val="24"/>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pt idx="22">
                  <c:v>8377575000</c:v>
                </c:pt>
                <c:pt idx="23">
                  <c:v>9876623000</c:v>
                </c:pt>
              </c:numCache>
            </c:numRef>
          </c:val>
          <c:extLst>
            <c:ext xmlns:c16="http://schemas.microsoft.com/office/drawing/2014/chart" uri="{C3380CC4-5D6E-409C-BE32-E72D297353CC}">
              <c16:uniqueId val="{00000002-9D7E-4900-9969-8B56214816C6}"/>
            </c:ext>
          </c:extLst>
        </c:ser>
        <c:ser>
          <c:idx val="3"/>
          <c:order val="3"/>
          <c:tx>
            <c:strRef>
              <c:f>'R&amp;D  '!$D$62</c:f>
              <c:strCache>
                <c:ptCount val="1"/>
                <c:pt idx="0">
                  <c:v>Not-for-profit</c:v>
                </c:pt>
              </c:strCache>
            </c:strRef>
          </c:tx>
          <c:spPr>
            <a:solidFill>
              <a:srgbClr val="984807"/>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'!$F$62:$AC$62</c:f>
              <c:numCache>
                <c:formatCode>#\ ###\ ###</c:formatCode>
                <c:ptCount val="24"/>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pt idx="22">
                  <c:v>778772000</c:v>
                </c:pt>
                <c:pt idx="23">
                  <c:v>891142000</c:v>
                </c:pt>
              </c:numCache>
            </c:numRef>
          </c:val>
          <c:extLst>
            <c:ext xmlns:c16="http://schemas.microsoft.com/office/drawing/2014/chart" uri="{C3380CC4-5D6E-409C-BE32-E72D297353CC}">
              <c16:uniqueId val="{00000003-9D7E-4900-9969-8B56214816C6}"/>
            </c:ext>
          </c:extLst>
        </c:ser>
        <c:ser>
          <c:idx val="4"/>
          <c:order val="4"/>
          <c:tx>
            <c:strRef>
              <c:f>'R&amp;D  '!$D$63</c:f>
              <c:strCache>
                <c:ptCount val="1"/>
                <c:pt idx="0">
                  <c:v>Science councils</c:v>
                </c:pt>
              </c:strCache>
            </c:strRef>
          </c:tx>
          <c:spPr>
            <a:solidFill>
              <a:srgbClr val="C83C14"/>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'!$F$63:$AC$63</c:f>
              <c:numCache>
                <c:formatCode>#\ ###\ ###</c:formatCode>
                <c:ptCount val="24"/>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pt idx="22">
                  <c:v>5004669000</c:v>
                </c:pt>
                <c:pt idx="23">
                  <c:v>5740897000</c:v>
                </c:pt>
              </c:numCache>
            </c:numRef>
          </c:val>
          <c:extLst>
            <c:ext xmlns:c16="http://schemas.microsoft.com/office/drawing/2014/chart" uri="{C3380CC4-5D6E-409C-BE32-E72D297353CC}">
              <c16:uniqueId val="{00000004-9D7E-4900-9969-8B56214816C6}"/>
            </c:ext>
          </c:extLst>
        </c:ser>
        <c:dLbls>
          <c:showLegendKey val="0"/>
          <c:showVal val="0"/>
          <c:showCatName val="0"/>
          <c:showSerName val="0"/>
          <c:showPercent val="0"/>
          <c:showBubbleSize val="0"/>
        </c:dLbls>
        <c:gapWidth val="75"/>
        <c:overlap val="100"/>
        <c:axId val="399685864"/>
        <c:axId val="399692528"/>
      </c:barChart>
      <c:lineChart>
        <c:grouping val="standard"/>
        <c:varyColors val="0"/>
        <c:ser>
          <c:idx val="5"/>
          <c:order val="5"/>
          <c:tx>
            <c:strRef>
              <c:f>'R&amp;D  '!$D$65</c:f>
              <c:strCache>
                <c:ptCount val="1"/>
                <c:pt idx="0">
                  <c:v>% of GDP</c:v>
                </c:pt>
              </c:strCache>
            </c:strRef>
          </c:tx>
          <c:spPr>
            <a:ln w="25400">
              <a:solidFill>
                <a:srgbClr val="FF6600"/>
              </a:solidFill>
            </a:ln>
          </c:spPr>
          <c:marker>
            <c:spPr>
              <a:ln>
                <a:solidFill>
                  <a:srgbClr val="FF6600"/>
                </a:solidFill>
              </a:ln>
            </c:spPr>
          </c:marker>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'!$F$65:$AC$65</c:f>
              <c:numCache>
                <c:formatCode>General</c:formatCode>
                <c:ptCount val="24"/>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pt idx="22">
                  <c:v>0.77</c:v>
                </c:pt>
                <c:pt idx="23">
                  <c:v>0.8</c:v>
                </c:pt>
              </c:numCache>
            </c:numRef>
          </c:val>
          <c:smooth val="0"/>
          <c:extLst>
            <c:ext xmlns:c16="http://schemas.microsoft.com/office/drawing/2014/chart" uri="{C3380CC4-5D6E-409C-BE32-E72D297353CC}">
              <c16:uniqueId val="{00000005-9D7E-4900-9969-8B56214816C6}"/>
            </c:ext>
          </c:extLst>
        </c:ser>
        <c:dLbls>
          <c:showLegendKey val="0"/>
          <c:showVal val="0"/>
          <c:showCatName val="0"/>
          <c:showSerName val="0"/>
          <c:showPercent val="0"/>
          <c:showBubbleSize val="0"/>
        </c:dLbls>
        <c:marker val="1"/>
        <c:smooth val="0"/>
        <c:axId val="399692920"/>
        <c:axId val="399686256"/>
      </c:lineChart>
      <c:catAx>
        <c:axId val="399685864"/>
        <c:scaling>
          <c:orientation val="minMax"/>
        </c:scaling>
        <c:delete val="0"/>
        <c:axPos val="b"/>
        <c:numFmt formatCode="General" sourceLinked="1"/>
        <c:majorTickMark val="none"/>
        <c:minorTickMark val="none"/>
        <c:tickLblPos val="nextTo"/>
        <c:txPr>
          <a:bodyPr rot="5400000" vert="horz"/>
          <a:lstStyle/>
          <a:p>
            <a:pPr>
              <a:defRPr lang="en-US" sz="1000"/>
            </a:pPr>
            <a:endParaRPr lang="en-US"/>
          </a:p>
        </c:txPr>
        <c:crossAx val="399692528"/>
        <c:crosses val="autoZero"/>
        <c:auto val="1"/>
        <c:lblAlgn val="ctr"/>
        <c:lblOffset val="100"/>
        <c:noMultiLvlLbl val="0"/>
      </c:catAx>
      <c:valAx>
        <c:axId val="399692528"/>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lang="en-US" b="0"/>
                </a:pPr>
                <a:r>
                  <a:rPr lang="en-US" b="0"/>
                  <a:t>R'billions</a:t>
                </a:r>
              </a:p>
            </c:rich>
          </c:tx>
          <c:layout/>
          <c:overlay val="0"/>
        </c:title>
        <c:numFmt formatCode="General" sourceLinked="0"/>
        <c:majorTickMark val="out"/>
        <c:minorTickMark val="none"/>
        <c:tickLblPos val="nextTo"/>
        <c:spPr>
          <a:ln w="9525">
            <a:solidFill>
              <a:schemeClr val="bg1">
                <a:lumMod val="75000"/>
              </a:schemeClr>
            </a:solidFill>
          </a:ln>
        </c:spPr>
        <c:txPr>
          <a:bodyPr/>
          <a:lstStyle/>
          <a:p>
            <a:pPr>
              <a:defRPr lang="en-US" sz="1000"/>
            </a:pPr>
            <a:endParaRPr lang="en-US"/>
          </a:p>
        </c:txPr>
        <c:crossAx val="399685864"/>
        <c:crosses val="autoZero"/>
        <c:crossBetween val="between"/>
        <c:majorUnit val="2000000000"/>
        <c:dispUnits>
          <c:builtInUnit val="billions"/>
        </c:dispUnits>
      </c:valAx>
      <c:catAx>
        <c:axId val="399692920"/>
        <c:scaling>
          <c:orientation val="minMax"/>
        </c:scaling>
        <c:delete val="1"/>
        <c:axPos val="b"/>
        <c:numFmt formatCode="General" sourceLinked="1"/>
        <c:majorTickMark val="out"/>
        <c:minorTickMark val="none"/>
        <c:tickLblPos val="nextTo"/>
        <c:crossAx val="399686256"/>
        <c:crosses val="autoZero"/>
        <c:auto val="1"/>
        <c:lblAlgn val="ctr"/>
        <c:lblOffset val="100"/>
        <c:noMultiLvlLbl val="0"/>
      </c:catAx>
      <c:valAx>
        <c:axId val="399686256"/>
        <c:scaling>
          <c:orientation val="minMax"/>
          <c:max val="0.95000000000000062"/>
          <c:min val="0.55000000000000004"/>
        </c:scaling>
        <c:delete val="0"/>
        <c:axPos val="r"/>
        <c:title>
          <c:tx>
            <c:rich>
              <a:bodyPr rot="-5400000" vert="horz"/>
              <a:lstStyle/>
              <a:p>
                <a:pPr>
                  <a:defRPr lang="en-US" b="0"/>
                </a:pPr>
                <a:r>
                  <a:rPr lang="en-US" b="0"/>
                  <a:t>% of GDP</a:t>
                </a:r>
              </a:p>
            </c:rich>
          </c:tx>
          <c:layout/>
          <c:overlay val="0"/>
        </c:title>
        <c:numFmt formatCode="General" sourceLinked="1"/>
        <c:majorTickMark val="out"/>
        <c:minorTickMark val="none"/>
        <c:tickLblPos val="nextTo"/>
        <c:txPr>
          <a:bodyPr/>
          <a:lstStyle/>
          <a:p>
            <a:pPr>
              <a:defRPr lang="en-US" sz="1000"/>
            </a:pPr>
            <a:endParaRPr lang="en-US"/>
          </a:p>
        </c:txPr>
        <c:crossAx val="399692920"/>
        <c:crosses val="max"/>
        <c:crossBetween val="between"/>
        <c:majorUnit val="0.1"/>
      </c:valAx>
    </c:plotArea>
    <c:legend>
      <c:legendPos val="b"/>
      <c:layout/>
      <c:overlay val="0"/>
      <c:txPr>
        <a:bodyPr/>
        <a:lstStyle/>
        <a:p>
          <a:pPr>
            <a:defRPr lang="en-US"/>
          </a:pPr>
          <a:endParaRPr lang="en-US"/>
        </a:p>
      </c:txPr>
    </c:legend>
    <c:plotVisOnly val="1"/>
    <c:dispBlanksAs val="gap"/>
    <c:showDLblsOverMax val="0"/>
  </c:chart>
  <c:txPr>
    <a:bodyPr/>
    <a:lstStyle/>
    <a:p>
      <a:pPr>
        <a:defRPr sz="900"/>
      </a:pPr>
      <a:endParaRPr lang="en-US"/>
    </a:p>
  </c:txPr>
  <c:printSettings>
    <c:headerFooter/>
    <c:pageMargins b="0.75000000000000844" l="0.70000000000000062" r="0.70000000000000062" t="0.750000000000008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78878896176112E-2"/>
          <c:y val="6.2683993294612494E-2"/>
          <c:w val="0.89546932275911051"/>
          <c:h val="0.73291607031611317"/>
        </c:manualLayout>
      </c:layout>
      <c:lineChart>
        <c:grouping val="standard"/>
        <c:varyColors val="0"/>
        <c:ser>
          <c:idx val="0"/>
          <c:order val="0"/>
          <c:spPr>
            <a:ln w="15875">
              <a:solidFill>
                <a:srgbClr val="FF6600"/>
              </a:solidFill>
              <a:prstDash val="solid"/>
            </a:ln>
          </c:spPr>
          <c:marker>
            <c:symbol val="none"/>
          </c:marker>
          <c:cat>
            <c:multiLvlStrRef>
              <c:f>'GDP '!$D$60:$CI$61</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'GDP '!$D$62:$CI$62</c:f>
              <c:numCache>
                <c:formatCode>0.0</c:formatCode>
                <c:ptCount val="84"/>
                <c:pt idx="0">
                  <c:v>-0.56882299978329165</c:v>
                </c:pt>
                <c:pt idx="1">
                  <c:v>4.4104514770248127</c:v>
                </c:pt>
                <c:pt idx="2">
                  <c:v>4.5755211153102104</c:v>
                </c:pt>
                <c:pt idx="3">
                  <c:v>6.8455482249596855</c:v>
                </c:pt>
                <c:pt idx="4">
                  <c:v>1.4526669020042515</c:v>
                </c:pt>
                <c:pt idx="5">
                  <c:v>1.7879948352484298</c:v>
                </c:pt>
                <c:pt idx="6">
                  <c:v>1.7378476026035594</c:v>
                </c:pt>
                <c:pt idx="7">
                  <c:v>1.5880303373726701</c:v>
                </c:pt>
                <c:pt idx="8">
                  <c:v>5.7321595371055745</c:v>
                </c:pt>
                <c:pt idx="9">
                  <c:v>7.7052022605754944</c:v>
                </c:pt>
                <c:pt idx="10">
                  <c:v>4.6170729815531164</c:v>
                </c:pt>
                <c:pt idx="11">
                  <c:v>3.8480044584029871</c:v>
                </c:pt>
                <c:pt idx="12">
                  <c:v>1.1541025640912084</c:v>
                </c:pt>
                <c:pt idx="13">
                  <c:v>2.469329522299879</c:v>
                </c:pt>
                <c:pt idx="14">
                  <c:v>0.83825604314000657</c:v>
                </c:pt>
                <c:pt idx="15">
                  <c:v>0.60528963769586053</c:v>
                </c:pt>
                <c:pt idx="16">
                  <c:v>0.50652649384492765</c:v>
                </c:pt>
                <c:pt idx="17">
                  <c:v>0.5667910380350305</c:v>
                </c:pt>
                <c:pt idx="18">
                  <c:v>-0.87372637708889034</c:v>
                </c:pt>
                <c:pt idx="19">
                  <c:v>0.38708722146880703</c:v>
                </c:pt>
                <c:pt idx="20">
                  <c:v>3.7293234295857625</c:v>
                </c:pt>
                <c:pt idx="21">
                  <c:v>3.2216411057017558</c:v>
                </c:pt>
                <c:pt idx="22">
                  <c:v>4.4404269358685688</c:v>
                </c:pt>
                <c:pt idx="23">
                  <c:v>4.4718969599649272</c:v>
                </c:pt>
                <c:pt idx="24">
                  <c:v>4.5758022715120417</c:v>
                </c:pt>
                <c:pt idx="25">
                  <c:v>3.7315457274831543</c:v>
                </c:pt>
                <c:pt idx="26">
                  <c:v>4.0207206604008006</c:v>
                </c:pt>
                <c:pt idx="27">
                  <c:v>3.446709698974848</c:v>
                </c:pt>
                <c:pt idx="28">
                  <c:v>2.6230856866677144</c:v>
                </c:pt>
                <c:pt idx="29">
                  <c:v>2.0146632087566063</c:v>
                </c:pt>
                <c:pt idx="30">
                  <c:v>1.0666361289954462</c:v>
                </c:pt>
                <c:pt idx="31">
                  <c:v>3.1110855135721316</c:v>
                </c:pt>
                <c:pt idx="32">
                  <c:v>5.2924284098060603</c:v>
                </c:pt>
                <c:pt idx="33">
                  <c:v>4.9325000418816378</c:v>
                </c:pt>
                <c:pt idx="34">
                  <c:v>3.3216503268672648</c:v>
                </c:pt>
                <c:pt idx="35">
                  <c:v>2.6991500495235021</c:v>
                </c:pt>
                <c:pt idx="36">
                  <c:v>3.7531764032818993</c:v>
                </c:pt>
                <c:pt idx="37">
                  <c:v>1.9677572605739213</c:v>
                </c:pt>
                <c:pt idx="38">
                  <c:v>2.188320445632419</c:v>
                </c:pt>
                <c:pt idx="39">
                  <c:v>2.327483203645353</c:v>
                </c:pt>
                <c:pt idx="40">
                  <c:v>6.1944683527078492</c:v>
                </c:pt>
                <c:pt idx="41">
                  <c:v>5.7078837294311624</c:v>
                </c:pt>
                <c:pt idx="42">
                  <c:v>6.7026886167146138</c:v>
                </c:pt>
                <c:pt idx="43">
                  <c:v>4.3404056280374359</c:v>
                </c:pt>
                <c:pt idx="44">
                  <c:v>4.1289585309853605</c:v>
                </c:pt>
                <c:pt idx="45">
                  <c:v>7.3737951776069011</c:v>
                </c:pt>
                <c:pt idx="46">
                  <c:v>5.5671463307113367</c:v>
                </c:pt>
                <c:pt idx="47">
                  <c:v>2.7053484122573801</c:v>
                </c:pt>
                <c:pt idx="48">
                  <c:v>7.2147199226530567</c:v>
                </c:pt>
                <c:pt idx="49">
                  <c:v>5.8033950109959154</c:v>
                </c:pt>
                <c:pt idx="50">
                  <c:v>5.6400423927502885</c:v>
                </c:pt>
                <c:pt idx="51">
                  <c:v>5.646861823647753</c:v>
                </c:pt>
                <c:pt idx="52">
                  <c:v>6.6550968043899372</c:v>
                </c:pt>
                <c:pt idx="53">
                  <c:v>3.3185540413170012</c:v>
                </c:pt>
                <c:pt idx="54">
                  <c:v>4.770772853431815</c:v>
                </c:pt>
                <c:pt idx="55">
                  <c:v>5.7889758122643853</c:v>
                </c:pt>
                <c:pt idx="56">
                  <c:v>1.6914714233666972</c:v>
                </c:pt>
                <c:pt idx="57">
                  <c:v>4.9736319432639009</c:v>
                </c:pt>
                <c:pt idx="58">
                  <c:v>0.95933734197808374</c:v>
                </c:pt>
                <c:pt idx="59">
                  <c:v>-2.2579336248711779</c:v>
                </c:pt>
                <c:pt idx="60">
                  <c:v>-6.0782800497366622</c:v>
                </c:pt>
                <c:pt idx="61">
                  <c:v>-1.3656485490968429</c:v>
                </c:pt>
                <c:pt idx="62">
                  <c:v>0.93084880933691494</c:v>
                </c:pt>
                <c:pt idx="63">
                  <c:v>2.6938677703393088</c:v>
                </c:pt>
                <c:pt idx="64">
                  <c:v>4.800123095448483</c:v>
                </c:pt>
                <c:pt idx="65">
                  <c:v>2.4730446755976132</c:v>
                </c:pt>
                <c:pt idx="66">
                  <c:v>4.5599305427149961</c:v>
                </c:pt>
                <c:pt idx="67">
                  <c:v>4.470945145674321</c:v>
                </c:pt>
                <c:pt idx="68">
                  <c:v>3.732716238755307</c:v>
                </c:pt>
                <c:pt idx="69">
                  <c:v>2.1349992664698503</c:v>
                </c:pt>
                <c:pt idx="70">
                  <c:v>1.0514533241010593</c:v>
                </c:pt>
                <c:pt idx="71">
                  <c:v>3.1354710753329629</c:v>
                </c:pt>
                <c:pt idx="72">
                  <c:v>1.6642899696322599</c:v>
                </c:pt>
                <c:pt idx="73">
                  <c:v>3.6993530234988192</c:v>
                </c:pt>
                <c:pt idx="74">
                  <c:v>1.200714604255726</c:v>
                </c:pt>
                <c:pt idx="75">
                  <c:v>1.7879127297799391</c:v>
                </c:pt>
                <c:pt idx="76">
                  <c:v>1.5</c:v>
                </c:pt>
                <c:pt idx="77">
                  <c:v>4</c:v>
                </c:pt>
                <c:pt idx="78">
                  <c:v>1.6</c:v>
                </c:pt>
                <c:pt idx="79">
                  <c:v>4.9000000000000004</c:v>
                </c:pt>
                <c:pt idx="80">
                  <c:v>-1.5555437996301436</c:v>
                </c:pt>
                <c:pt idx="81">
                  <c:v>0.8</c:v>
                </c:pt>
                <c:pt idx="82">
                  <c:v>2.2000000000000002</c:v>
                </c:pt>
                <c:pt idx="83">
                  <c:v>4.0999999999999996</c:v>
                </c:pt>
              </c:numCache>
            </c:numRef>
          </c:val>
          <c:smooth val="0"/>
          <c:extLst>
            <c:ext xmlns:c16="http://schemas.microsoft.com/office/drawing/2014/chart" uri="{C3380CC4-5D6E-409C-BE32-E72D297353CC}">
              <c16:uniqueId val="{00000000-F657-41F8-8253-1B460B25EDE0}"/>
            </c:ext>
          </c:extLst>
        </c:ser>
        <c:dLbls>
          <c:showLegendKey val="0"/>
          <c:showVal val="0"/>
          <c:showCatName val="0"/>
          <c:showSerName val="0"/>
          <c:showPercent val="0"/>
          <c:showBubbleSize val="0"/>
        </c:dLbls>
        <c:smooth val="0"/>
        <c:axId val="397410936"/>
        <c:axId val="397411328"/>
      </c:lineChart>
      <c:catAx>
        <c:axId val="397410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397411328"/>
        <c:crossesAt val="-8"/>
        <c:auto val="1"/>
        <c:lblAlgn val="ctr"/>
        <c:lblOffset val="100"/>
        <c:tickLblSkip val="1"/>
        <c:tickMarkSkip val="1"/>
        <c:noMultiLvlLbl val="0"/>
      </c:catAx>
      <c:valAx>
        <c:axId val="397411328"/>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7410936"/>
        <c:crosses val="autoZero"/>
        <c:crossBetween val="between"/>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6383577052869"/>
          <c:y val="3.9541200041410138E-2"/>
          <c:w val="0.81370672415948009"/>
          <c:h val="0.7335546948742776"/>
        </c:manualLayout>
      </c:layout>
      <c:barChart>
        <c:barDir val="col"/>
        <c:grouping val="stacked"/>
        <c:varyColors val="0"/>
        <c:ser>
          <c:idx val="0"/>
          <c:order val="0"/>
          <c:tx>
            <c:strRef>
              <c:f>'R&amp;D  '!$D$59</c:f>
              <c:strCache>
                <c:ptCount val="1"/>
                <c:pt idx="0">
                  <c:v>Business enterprise</c:v>
                </c:pt>
              </c:strCache>
            </c:strRef>
          </c:tx>
          <c:spPr>
            <a:solidFill>
              <a:schemeClr val="accent2"/>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'!$F$59:$AC$59</c:f>
              <c:numCache>
                <c:formatCode>#\ ###\ ###</c:formatCode>
                <c:ptCount val="24"/>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pt idx="22">
                  <c:v>13290951000</c:v>
                </c:pt>
                <c:pt idx="23">
                  <c:v>13814995000</c:v>
                </c:pt>
              </c:numCache>
            </c:numRef>
          </c:val>
          <c:extLst>
            <c:ext xmlns:c16="http://schemas.microsoft.com/office/drawing/2014/chart" uri="{C3380CC4-5D6E-409C-BE32-E72D297353CC}">
              <c16:uniqueId val="{00000000-0244-42CF-A308-64C4E8A8C147}"/>
            </c:ext>
          </c:extLst>
        </c:ser>
        <c:ser>
          <c:idx val="1"/>
          <c:order val="1"/>
          <c:tx>
            <c:strRef>
              <c:f>'R&amp;D  '!$D$60</c:f>
              <c:strCache>
                <c:ptCount val="1"/>
                <c:pt idx="0">
                  <c:v>Government</c:v>
                </c:pt>
              </c:strCache>
            </c:strRef>
          </c:tx>
          <c:spPr>
            <a:solidFill>
              <a:srgbClr val="F2FC8E"/>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'!$F$60:$AC$60</c:f>
              <c:numCache>
                <c:formatCode>#\ ###\ ###</c:formatCode>
                <c:ptCount val="24"/>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pt idx="22">
                  <c:v>1893010000</c:v>
                </c:pt>
                <c:pt idx="23">
                  <c:v>2013021000</c:v>
                </c:pt>
              </c:numCache>
            </c:numRef>
          </c:val>
          <c:extLst>
            <c:ext xmlns:c16="http://schemas.microsoft.com/office/drawing/2014/chart" uri="{C3380CC4-5D6E-409C-BE32-E72D297353CC}">
              <c16:uniqueId val="{00000001-0244-42CF-A308-64C4E8A8C147}"/>
            </c:ext>
          </c:extLst>
        </c:ser>
        <c:ser>
          <c:idx val="2"/>
          <c:order val="2"/>
          <c:tx>
            <c:strRef>
              <c:f>'R&amp;D  '!$D$61</c:f>
              <c:strCache>
                <c:ptCount val="1"/>
                <c:pt idx="0">
                  <c:v>Higher education</c:v>
                </c:pt>
              </c:strCache>
            </c:strRef>
          </c:tx>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'!$F$61:$AC$61</c:f>
              <c:numCache>
                <c:formatCode>#\ ###\ ###</c:formatCode>
                <c:ptCount val="24"/>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pt idx="22">
                  <c:v>8377575000</c:v>
                </c:pt>
                <c:pt idx="23">
                  <c:v>9876623000</c:v>
                </c:pt>
              </c:numCache>
            </c:numRef>
          </c:val>
          <c:extLst>
            <c:ext xmlns:c16="http://schemas.microsoft.com/office/drawing/2014/chart" uri="{C3380CC4-5D6E-409C-BE32-E72D297353CC}">
              <c16:uniqueId val="{00000002-0244-42CF-A308-64C4E8A8C147}"/>
            </c:ext>
          </c:extLst>
        </c:ser>
        <c:ser>
          <c:idx val="3"/>
          <c:order val="3"/>
          <c:tx>
            <c:strRef>
              <c:f>'R&amp;D  '!$D$62</c:f>
              <c:strCache>
                <c:ptCount val="1"/>
                <c:pt idx="0">
                  <c:v>Not-for-profit</c:v>
                </c:pt>
              </c:strCache>
            </c:strRef>
          </c:tx>
          <c:spPr>
            <a:solidFill>
              <a:schemeClr val="accent6">
                <a:lumMod val="75000"/>
              </a:schemeClr>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'!$F$62:$AC$62</c:f>
              <c:numCache>
                <c:formatCode>#\ ###\ ###</c:formatCode>
                <c:ptCount val="24"/>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pt idx="22">
                  <c:v>778772000</c:v>
                </c:pt>
                <c:pt idx="23">
                  <c:v>891142000</c:v>
                </c:pt>
              </c:numCache>
            </c:numRef>
          </c:val>
          <c:extLst>
            <c:ext xmlns:c16="http://schemas.microsoft.com/office/drawing/2014/chart" uri="{C3380CC4-5D6E-409C-BE32-E72D297353CC}">
              <c16:uniqueId val="{00000003-0244-42CF-A308-64C4E8A8C147}"/>
            </c:ext>
          </c:extLst>
        </c:ser>
        <c:ser>
          <c:idx val="4"/>
          <c:order val="4"/>
          <c:tx>
            <c:strRef>
              <c:f>'R&amp;D  '!$D$63</c:f>
              <c:strCache>
                <c:ptCount val="1"/>
                <c:pt idx="0">
                  <c:v>Science councils</c:v>
                </c:pt>
              </c:strCache>
            </c:strRef>
          </c:tx>
          <c:spPr>
            <a:solidFill>
              <a:srgbClr val="C00000"/>
            </a:solidFill>
          </c:spPr>
          <c:invertIfNegative val="0"/>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'!$F$63:$AC$63</c:f>
              <c:numCache>
                <c:formatCode>#\ ###\ ###</c:formatCode>
                <c:ptCount val="24"/>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pt idx="22">
                  <c:v>5004669000</c:v>
                </c:pt>
                <c:pt idx="23">
                  <c:v>5740897000</c:v>
                </c:pt>
              </c:numCache>
            </c:numRef>
          </c:val>
          <c:extLst>
            <c:ext xmlns:c16="http://schemas.microsoft.com/office/drawing/2014/chart" uri="{C3380CC4-5D6E-409C-BE32-E72D297353CC}">
              <c16:uniqueId val="{00000004-0244-42CF-A308-64C4E8A8C147}"/>
            </c:ext>
          </c:extLst>
        </c:ser>
        <c:dLbls>
          <c:showLegendKey val="0"/>
          <c:showVal val="0"/>
          <c:showCatName val="0"/>
          <c:showSerName val="0"/>
          <c:showPercent val="0"/>
          <c:showBubbleSize val="0"/>
        </c:dLbls>
        <c:gapWidth val="75"/>
        <c:overlap val="100"/>
        <c:axId val="399687824"/>
        <c:axId val="399690176"/>
      </c:barChart>
      <c:lineChart>
        <c:grouping val="standard"/>
        <c:varyColors val="0"/>
        <c:ser>
          <c:idx val="5"/>
          <c:order val="5"/>
          <c:tx>
            <c:strRef>
              <c:f>'R&amp;D  '!$D$65</c:f>
              <c:strCache>
                <c:ptCount val="1"/>
                <c:pt idx="0">
                  <c:v>% of GDP</c:v>
                </c:pt>
              </c:strCache>
            </c:strRef>
          </c:tx>
          <c:spPr>
            <a:ln w="25400"/>
          </c:spPr>
          <c:cat>
            <c:strRef>
              <c:f>'R&amp;D  '!$F$58:$AC$58</c:f>
              <c:strCache>
                <c:ptCount val="24"/>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strCache>
            </c:strRef>
          </c:cat>
          <c:val>
            <c:numRef>
              <c:f>'R&amp;D  '!$F$65:$AC$65</c:f>
              <c:numCache>
                <c:formatCode>General</c:formatCode>
                <c:ptCount val="24"/>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pt idx="22">
                  <c:v>0.77</c:v>
                </c:pt>
                <c:pt idx="23">
                  <c:v>0.8</c:v>
                </c:pt>
              </c:numCache>
            </c:numRef>
          </c:val>
          <c:smooth val="0"/>
          <c:extLst>
            <c:ext xmlns:c16="http://schemas.microsoft.com/office/drawing/2014/chart" uri="{C3380CC4-5D6E-409C-BE32-E72D297353CC}">
              <c16:uniqueId val="{00000005-0244-42CF-A308-64C4E8A8C147}"/>
            </c:ext>
          </c:extLst>
        </c:ser>
        <c:dLbls>
          <c:showLegendKey val="0"/>
          <c:showVal val="0"/>
          <c:showCatName val="0"/>
          <c:showSerName val="0"/>
          <c:showPercent val="0"/>
          <c:showBubbleSize val="0"/>
        </c:dLbls>
        <c:marker val="1"/>
        <c:smooth val="0"/>
        <c:axId val="399689000"/>
        <c:axId val="401316104"/>
      </c:lineChart>
      <c:catAx>
        <c:axId val="3996878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399690176"/>
        <c:crosses val="autoZero"/>
        <c:auto val="1"/>
        <c:lblAlgn val="ctr"/>
        <c:lblOffset val="100"/>
        <c:noMultiLvlLbl val="0"/>
      </c:catAx>
      <c:valAx>
        <c:axId val="399690176"/>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b="0"/>
                </a:pPr>
                <a:r>
                  <a:rPr lang="en-US" b="0"/>
                  <a:t>R'billions</a:t>
                </a:r>
              </a:p>
            </c:rich>
          </c:tx>
          <c:layout>
            <c:manualLayout>
              <c:xMode val="edge"/>
              <c:yMode val="edge"/>
              <c:x val="2.9198068991376083E-2"/>
              <c:y val="0.34198165774521805"/>
            </c:manualLayout>
          </c:layout>
          <c:overlay val="0"/>
        </c:title>
        <c:numFmt formatCode="General" sourceLinked="0"/>
        <c:majorTickMark val="out"/>
        <c:minorTickMark val="none"/>
        <c:tickLblPos val="nextTo"/>
        <c:spPr>
          <a:ln w="9525">
            <a:solidFill>
              <a:schemeClr val="bg1">
                <a:lumMod val="75000"/>
              </a:schemeClr>
            </a:solidFill>
          </a:ln>
        </c:spPr>
        <c:crossAx val="399687824"/>
        <c:crosses val="autoZero"/>
        <c:crossBetween val="between"/>
        <c:majorUnit val="2000000000"/>
        <c:dispUnits>
          <c:builtInUnit val="billions"/>
        </c:dispUnits>
      </c:valAx>
      <c:catAx>
        <c:axId val="399689000"/>
        <c:scaling>
          <c:orientation val="minMax"/>
        </c:scaling>
        <c:delete val="1"/>
        <c:axPos val="b"/>
        <c:numFmt formatCode="General" sourceLinked="1"/>
        <c:majorTickMark val="out"/>
        <c:minorTickMark val="none"/>
        <c:tickLblPos val="nextTo"/>
        <c:crossAx val="401316104"/>
        <c:crosses val="autoZero"/>
        <c:auto val="1"/>
        <c:lblAlgn val="ctr"/>
        <c:lblOffset val="100"/>
        <c:noMultiLvlLbl val="0"/>
      </c:catAx>
      <c:valAx>
        <c:axId val="401316104"/>
        <c:scaling>
          <c:orientation val="minMax"/>
          <c:max val="0.95000000000000062"/>
          <c:min val="0.55000000000000004"/>
        </c:scaling>
        <c:delete val="0"/>
        <c:axPos val="r"/>
        <c:title>
          <c:tx>
            <c:rich>
              <a:bodyPr rot="-5400000" vert="horz"/>
              <a:lstStyle/>
              <a:p>
                <a:pPr>
                  <a:defRPr b="0"/>
                </a:pPr>
                <a:r>
                  <a:rPr lang="en-US" b="0"/>
                  <a:t>% of GDP</a:t>
                </a:r>
              </a:p>
            </c:rich>
          </c:tx>
          <c:overlay val="0"/>
        </c:title>
        <c:numFmt formatCode="General" sourceLinked="1"/>
        <c:majorTickMark val="out"/>
        <c:minorTickMark val="none"/>
        <c:tickLblPos val="nextTo"/>
        <c:crossAx val="399689000"/>
        <c:crosses val="max"/>
        <c:crossBetween val="between"/>
        <c:majorUnit val="0.1"/>
      </c:val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000000000000844" l="0.70000000000000062" r="0.70000000000000062" t="0.75000000000000844"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7355805730895213E-2"/>
          <c:y val="2.3148178985179721E-2"/>
        </c:manualLayout>
      </c:layout>
      <c:overlay val="0"/>
    </c:title>
    <c:autoTitleDeleted val="0"/>
    <c:plotArea>
      <c:layout/>
      <c:lineChart>
        <c:grouping val="standard"/>
        <c:varyColors val="0"/>
        <c:ser>
          <c:idx val="0"/>
          <c:order val="0"/>
          <c:tx>
            <c:strRef>
              <c:f>'Patents '!$D$10</c:f>
              <c:strCache>
                <c:ptCount val="1"/>
                <c:pt idx="0">
                  <c:v>Certificates</c:v>
                </c:pt>
              </c:strCache>
            </c:strRef>
          </c:tx>
          <c:spPr>
            <a:ln w="22225">
              <a:solidFill>
                <a:srgbClr val="FF6600"/>
              </a:solidFill>
            </a:ln>
          </c:spPr>
          <c:marker>
            <c:symbol val="none"/>
          </c:marker>
          <c:cat>
            <c:numRef>
              <c:f>'Patents '!$E$8:$N$8</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'Patents '!$E$10:$N$10</c:f>
              <c:numCache>
                <c:formatCode>###\ ###\ ###\ ###\ ###</c:formatCode>
                <c:ptCount val="10"/>
                <c:pt idx="0">
                  <c:v>5806</c:v>
                </c:pt>
                <c:pt idx="1">
                  <c:v>6709</c:v>
                </c:pt>
                <c:pt idx="2">
                  <c:v>5432</c:v>
                </c:pt>
                <c:pt idx="3">
                  <c:v>6513</c:v>
                </c:pt>
                <c:pt idx="4">
                  <c:v>7285</c:v>
                </c:pt>
                <c:pt idx="5">
                  <c:v>7740</c:v>
                </c:pt>
                <c:pt idx="6">
                  <c:v>10042</c:v>
                </c:pt>
              </c:numCache>
            </c:numRef>
          </c:val>
          <c:smooth val="0"/>
          <c:extLst>
            <c:ext xmlns:c16="http://schemas.microsoft.com/office/drawing/2014/chart" uri="{C3380CC4-5D6E-409C-BE32-E72D297353CC}">
              <c16:uniqueId val="{00000000-75C9-4471-9D62-599BF37DA209}"/>
            </c:ext>
          </c:extLst>
        </c:ser>
        <c:dLbls>
          <c:showLegendKey val="0"/>
          <c:showVal val="0"/>
          <c:showCatName val="0"/>
          <c:showSerName val="0"/>
          <c:showPercent val="0"/>
          <c:showBubbleSize val="0"/>
        </c:dLbls>
        <c:smooth val="0"/>
        <c:axId val="401314144"/>
        <c:axId val="401317672"/>
      </c:lineChart>
      <c:catAx>
        <c:axId val="401314144"/>
        <c:scaling>
          <c:orientation val="minMax"/>
        </c:scaling>
        <c:delete val="0"/>
        <c:axPos val="b"/>
        <c:numFmt formatCode="General" sourceLinked="1"/>
        <c:majorTickMark val="out"/>
        <c:minorTickMark val="none"/>
        <c:tickLblPos val="nextTo"/>
        <c:crossAx val="401317672"/>
        <c:crosses val="autoZero"/>
        <c:auto val="1"/>
        <c:lblAlgn val="ctr"/>
        <c:lblOffset val="100"/>
        <c:noMultiLvlLbl val="0"/>
      </c:catAx>
      <c:valAx>
        <c:axId val="401317672"/>
        <c:scaling>
          <c:orientation val="minMax"/>
        </c:scaling>
        <c:delete val="0"/>
        <c:axPos val="l"/>
        <c:majorGridlines>
          <c:spPr>
            <a:ln>
              <a:prstDash val="dash"/>
            </a:ln>
          </c:spPr>
        </c:majorGridlines>
        <c:numFmt formatCode="#\,##0" sourceLinked="0"/>
        <c:majorTickMark val="out"/>
        <c:minorTickMark val="none"/>
        <c:tickLblPos val="nextTo"/>
        <c:crossAx val="401314144"/>
        <c:crosses val="autoZero"/>
        <c:crossBetween val="between"/>
      </c:valAx>
    </c:plotArea>
    <c:plotVisOnly val="1"/>
    <c:dispBlanksAs val="gap"/>
    <c:showDLblsOverMax val="0"/>
  </c:chart>
  <c:txPr>
    <a:bodyPr/>
    <a:lstStyle/>
    <a:p>
      <a:pPr>
        <a:defRPr sz="8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Patents applicants by top fields of technology  (1997 to 2012)</a:t>
            </a:r>
          </a:p>
        </c:rich>
      </c:tx>
      <c:layout>
        <c:manualLayout>
          <c:xMode val="edge"/>
          <c:yMode val="edge"/>
          <c:x val="0.40234544295729763"/>
          <c:y val="2.8344669682247168E-2"/>
        </c:manualLayout>
      </c:layout>
      <c:overlay val="0"/>
    </c:title>
    <c:autoTitleDeleted val="0"/>
    <c:plotArea>
      <c:layout/>
      <c:pieChart>
        <c:varyColors val="1"/>
        <c:ser>
          <c:idx val="0"/>
          <c:order val="0"/>
          <c:tx>
            <c:strRef>
              <c:f>'Patents '!$E$34</c:f>
              <c:strCache>
                <c:ptCount val="1"/>
                <c:pt idx="0">
                  <c:v>Share</c:v>
                </c:pt>
              </c:strCache>
            </c:strRef>
          </c:tx>
          <c:dPt>
            <c:idx val="0"/>
            <c:bubble3D val="0"/>
            <c:extLst>
              <c:ext xmlns:c16="http://schemas.microsoft.com/office/drawing/2014/chart" uri="{C3380CC4-5D6E-409C-BE32-E72D297353CC}">
                <c16:uniqueId val="{00000000-BE33-4E48-9C84-9E7BFE429CF0}"/>
              </c:ext>
            </c:extLst>
          </c:dPt>
          <c:dPt>
            <c:idx val="1"/>
            <c:bubble3D val="0"/>
            <c:extLst>
              <c:ext xmlns:c16="http://schemas.microsoft.com/office/drawing/2014/chart" uri="{C3380CC4-5D6E-409C-BE32-E72D297353CC}">
                <c16:uniqueId val="{00000001-BE33-4E48-9C84-9E7BFE429CF0}"/>
              </c:ext>
            </c:extLst>
          </c:dPt>
          <c:dPt>
            <c:idx val="2"/>
            <c:bubble3D val="0"/>
            <c:extLst>
              <c:ext xmlns:c16="http://schemas.microsoft.com/office/drawing/2014/chart" uri="{C3380CC4-5D6E-409C-BE32-E72D297353CC}">
                <c16:uniqueId val="{00000002-BE33-4E48-9C84-9E7BFE429CF0}"/>
              </c:ext>
            </c:extLst>
          </c:dPt>
          <c:dPt>
            <c:idx val="3"/>
            <c:bubble3D val="0"/>
            <c:extLst>
              <c:ext xmlns:c16="http://schemas.microsoft.com/office/drawing/2014/chart" uri="{C3380CC4-5D6E-409C-BE32-E72D297353CC}">
                <c16:uniqueId val="{00000003-BE33-4E48-9C84-9E7BFE429CF0}"/>
              </c:ext>
            </c:extLst>
          </c:dPt>
          <c:dPt>
            <c:idx val="4"/>
            <c:bubble3D val="0"/>
            <c:extLst>
              <c:ext xmlns:c16="http://schemas.microsoft.com/office/drawing/2014/chart" uri="{C3380CC4-5D6E-409C-BE32-E72D297353CC}">
                <c16:uniqueId val="{00000004-BE33-4E48-9C84-9E7BFE429CF0}"/>
              </c:ext>
            </c:extLst>
          </c:dPt>
          <c:dPt>
            <c:idx val="5"/>
            <c:bubble3D val="0"/>
            <c:extLst>
              <c:ext xmlns:c16="http://schemas.microsoft.com/office/drawing/2014/chart" uri="{C3380CC4-5D6E-409C-BE32-E72D297353CC}">
                <c16:uniqueId val="{00000005-BE33-4E48-9C84-9E7BFE429CF0}"/>
              </c:ext>
            </c:extLst>
          </c:dPt>
          <c:dPt>
            <c:idx val="6"/>
            <c:bubble3D val="0"/>
            <c:extLst>
              <c:ext xmlns:c16="http://schemas.microsoft.com/office/drawing/2014/chart" uri="{C3380CC4-5D6E-409C-BE32-E72D297353CC}">
                <c16:uniqueId val="{00000006-BE33-4E48-9C84-9E7BFE429CF0}"/>
              </c:ext>
            </c:extLst>
          </c:dPt>
          <c:dPt>
            <c:idx val="7"/>
            <c:bubble3D val="0"/>
            <c:extLst>
              <c:ext xmlns:c16="http://schemas.microsoft.com/office/drawing/2014/chart" uri="{C3380CC4-5D6E-409C-BE32-E72D297353CC}">
                <c16:uniqueId val="{00000007-BE33-4E48-9C84-9E7BFE429CF0}"/>
              </c:ext>
            </c:extLst>
          </c:dPt>
          <c:dPt>
            <c:idx val="8"/>
            <c:bubble3D val="0"/>
            <c:extLst>
              <c:ext xmlns:c16="http://schemas.microsoft.com/office/drawing/2014/chart" uri="{C3380CC4-5D6E-409C-BE32-E72D297353CC}">
                <c16:uniqueId val="{00000008-BE33-4E48-9C84-9E7BFE429CF0}"/>
              </c:ext>
            </c:extLst>
          </c:dPt>
          <c:dPt>
            <c:idx val="9"/>
            <c:bubble3D val="0"/>
            <c:extLst>
              <c:ext xmlns:c16="http://schemas.microsoft.com/office/drawing/2014/chart" uri="{C3380CC4-5D6E-409C-BE32-E72D297353CC}">
                <c16:uniqueId val="{00000009-BE33-4E48-9C84-9E7BFE429CF0}"/>
              </c:ext>
            </c:extLst>
          </c:dPt>
          <c:dPt>
            <c:idx val="10"/>
            <c:bubble3D val="0"/>
            <c:extLst>
              <c:ext xmlns:c16="http://schemas.microsoft.com/office/drawing/2014/chart" uri="{C3380CC4-5D6E-409C-BE32-E72D297353CC}">
                <c16:uniqueId val="{0000000A-BE33-4E48-9C84-9E7BFE429CF0}"/>
              </c:ext>
            </c:extLst>
          </c:dPt>
          <c:cat>
            <c:strRef>
              <c:f>'Patents '!$D$35:$D$45</c:f>
              <c:strCache>
                <c:ptCount val="11"/>
                <c:pt idx="0">
                  <c:v>Civil engineering</c:v>
                </c:pt>
                <c:pt idx="1">
                  <c:v>Materials, metallurgy</c:v>
                </c:pt>
                <c:pt idx="2">
                  <c:v>Basic materials chemistry </c:v>
                </c:pt>
                <c:pt idx="3">
                  <c:v>Chemical engineering</c:v>
                </c:pt>
                <c:pt idx="4">
                  <c:v>Medical technology</c:v>
                </c:pt>
                <c:pt idx="5">
                  <c:v>Handling</c:v>
                </c:pt>
                <c:pt idx="6">
                  <c:v>Furniture, games</c:v>
                </c:pt>
                <c:pt idx="7">
                  <c:v>Other special machines</c:v>
                </c:pt>
                <c:pt idx="8">
                  <c:v>Transport</c:v>
                </c:pt>
                <c:pt idx="9">
                  <c:v>Electrical machinery, apparatus, energy</c:v>
                </c:pt>
                <c:pt idx="10">
                  <c:v>Others</c:v>
                </c:pt>
              </c:strCache>
            </c:strRef>
          </c:cat>
          <c:val>
            <c:numRef>
              <c:f>'Patents '!$E$35:$E$45</c:f>
              <c:numCache>
                <c:formatCode>General</c:formatCode>
                <c:ptCount val="11"/>
                <c:pt idx="0">
                  <c:v>6.86</c:v>
                </c:pt>
                <c:pt idx="1">
                  <c:v>6.71</c:v>
                </c:pt>
                <c:pt idx="2">
                  <c:v>6.4</c:v>
                </c:pt>
                <c:pt idx="3">
                  <c:v>6.17</c:v>
                </c:pt>
                <c:pt idx="4">
                  <c:v>5.54</c:v>
                </c:pt>
                <c:pt idx="5">
                  <c:v>4.92</c:v>
                </c:pt>
                <c:pt idx="6">
                  <c:v>4.47</c:v>
                </c:pt>
                <c:pt idx="7">
                  <c:v>4.53</c:v>
                </c:pt>
                <c:pt idx="8">
                  <c:v>3.78</c:v>
                </c:pt>
                <c:pt idx="9">
                  <c:v>3.62</c:v>
                </c:pt>
                <c:pt idx="10">
                  <c:v>47</c:v>
                </c:pt>
              </c:numCache>
            </c:numRef>
          </c:val>
          <c:extLst>
            <c:ext xmlns:c16="http://schemas.microsoft.com/office/drawing/2014/chart" uri="{C3380CC4-5D6E-409C-BE32-E72D297353CC}">
              <c16:uniqueId val="{0000000B-BE33-4E48-9C84-9E7BFE429CF0}"/>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txPr>
    <a:bodyPr/>
    <a:lstStyle/>
    <a:p>
      <a:pPr>
        <a:defRPr sz="800">
          <a:latin typeface="Arial Narrow" pitchFamily="34" charset="0"/>
        </a:defRPr>
      </a:pPr>
      <a:endParaRPr lang="en-US"/>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Trade'!$A$53</c:f>
              <c:strCache>
                <c:ptCount val="1"/>
                <c:pt idx="0">
                  <c:v>Exports (constant 2000 prices) R'billions</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Trade'!$B$53:$P$53</c:f>
              <c:numCache>
                <c:formatCode>General</c:formatCode>
                <c:ptCount val="15"/>
                <c:pt idx="0">
                  <c:v>160.21498</c:v>
                </c:pt>
                <c:pt idx="1">
                  <c:v>176.84388000000001</c:v>
                </c:pt>
                <c:pt idx="2">
                  <c:v>181.23876999999999</c:v>
                </c:pt>
                <c:pt idx="3">
                  <c:v>201.06291000000002</c:v>
                </c:pt>
                <c:pt idx="4">
                  <c:v>215.54748000000001</c:v>
                </c:pt>
                <c:pt idx="5">
                  <c:v>226.96107999999998</c:v>
                </c:pt>
                <c:pt idx="6">
                  <c:v>234.32900000000001</c:v>
                </c:pt>
                <c:pt idx="7">
                  <c:v>237.28399999999999</c:v>
                </c:pt>
                <c:pt idx="8">
                  <c:v>257.01100000000002</c:v>
                </c:pt>
                <c:pt idx="9">
                  <c:v>263.161</c:v>
                </c:pt>
                <c:pt idx="10">
                  <c:v>265.76400000000001</c:v>
                </c:pt>
                <c:pt idx="11">
                  <c:v>266.05500000000001</c:v>
                </c:pt>
                <c:pt idx="12">
                  <c:v>273.69400000000002</c:v>
                </c:pt>
                <c:pt idx="13">
                  <c:v>295.58</c:v>
                </c:pt>
                <c:pt idx="14">
                  <c:v>312.173</c:v>
                </c:pt>
              </c:numCache>
            </c:numRef>
          </c:val>
          <c:smooth val="0"/>
          <c:extLst>
            <c:ext xmlns:c16="http://schemas.microsoft.com/office/drawing/2014/chart" uri="{C3380CC4-5D6E-409C-BE32-E72D297353CC}">
              <c16:uniqueId val="{00000000-0167-48A7-86D3-CD68B025A8B6}"/>
            </c:ext>
          </c:extLst>
        </c:ser>
        <c:ser>
          <c:idx val="2"/>
          <c:order val="2"/>
          <c:tx>
            <c:strRef>
              <c:f>'[2]Foreign Trade'!$A$55</c:f>
              <c:strCache>
                <c:ptCount val="1"/>
                <c:pt idx="0">
                  <c:v>Volume of Trade (2000=base)</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Trade'!$B$55:$P$55</c:f>
              <c:numCache>
                <c:formatCode>General</c:formatCode>
                <c:ptCount val="15"/>
                <c:pt idx="0">
                  <c:v>62.34</c:v>
                </c:pt>
                <c:pt idx="1">
                  <c:v>68.81</c:v>
                </c:pt>
                <c:pt idx="2">
                  <c:v>70.52</c:v>
                </c:pt>
                <c:pt idx="3">
                  <c:v>78.23</c:v>
                </c:pt>
                <c:pt idx="4">
                  <c:v>83.87</c:v>
                </c:pt>
                <c:pt idx="5">
                  <c:v>87.14</c:v>
                </c:pt>
                <c:pt idx="6">
                  <c:v>91.17</c:v>
                </c:pt>
                <c:pt idx="7">
                  <c:v>85.65</c:v>
                </c:pt>
                <c:pt idx="8">
                  <c:v>100</c:v>
                </c:pt>
                <c:pt idx="9">
                  <c:v>102.31</c:v>
                </c:pt>
                <c:pt idx="10">
                  <c:v>103.41</c:v>
                </c:pt>
                <c:pt idx="11">
                  <c:v>103.52</c:v>
                </c:pt>
                <c:pt idx="12">
                  <c:v>106.49</c:v>
                </c:pt>
                <c:pt idx="13">
                  <c:v>115.01</c:v>
                </c:pt>
                <c:pt idx="14">
                  <c:v>121.46</c:v>
                </c:pt>
              </c:numCache>
            </c:numRef>
          </c:val>
          <c:smooth val="0"/>
          <c:extLst>
            <c:ext xmlns:c16="http://schemas.microsoft.com/office/drawing/2014/chart" uri="{C3380CC4-5D6E-409C-BE32-E72D297353CC}">
              <c16:uniqueId val="{00000001-0167-48A7-86D3-CD68B025A8B6}"/>
            </c:ext>
          </c:extLst>
        </c:ser>
        <c:dLbls>
          <c:showLegendKey val="0"/>
          <c:showVal val="0"/>
          <c:showCatName val="0"/>
          <c:showSerName val="0"/>
          <c:showPercent val="0"/>
          <c:showBubbleSize val="0"/>
        </c:dLbls>
        <c:marker val="1"/>
        <c:smooth val="0"/>
        <c:axId val="401320416"/>
        <c:axId val="401316496"/>
      </c:lineChart>
      <c:lineChart>
        <c:grouping val="standard"/>
        <c:varyColors val="0"/>
        <c:ser>
          <c:idx val="1"/>
          <c:order val="1"/>
          <c:tx>
            <c:strRef>
              <c:f>'[2]Foreign Trade'!$A$54</c:f>
              <c:strCache>
                <c:ptCount val="1"/>
                <c:pt idx="0">
                  <c:v>Ratio of exports to GDP </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Trade'!$B$54:$P$54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2-0167-48A7-86D3-CD68B025A8B6}"/>
            </c:ext>
          </c:extLst>
        </c:ser>
        <c:dLbls>
          <c:showLegendKey val="0"/>
          <c:showVal val="0"/>
          <c:showCatName val="0"/>
          <c:showSerName val="0"/>
          <c:showPercent val="0"/>
          <c:showBubbleSize val="0"/>
        </c:dLbls>
        <c:marker val="1"/>
        <c:smooth val="0"/>
        <c:axId val="401318456"/>
        <c:axId val="401319240"/>
      </c:lineChart>
      <c:catAx>
        <c:axId val="40132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75" b="0" i="0" u="none" strike="noStrike" baseline="0">
                <a:solidFill>
                  <a:srgbClr val="000000"/>
                </a:solidFill>
                <a:latin typeface="Arial"/>
                <a:ea typeface="Arial"/>
                <a:cs typeface="Arial"/>
              </a:defRPr>
            </a:pPr>
            <a:endParaRPr lang="en-US"/>
          </a:p>
        </c:txPr>
        <c:crossAx val="401316496"/>
        <c:crosses val="autoZero"/>
        <c:auto val="1"/>
        <c:lblAlgn val="ctr"/>
        <c:lblOffset val="100"/>
        <c:tickMarkSkip val="1"/>
        <c:noMultiLvlLbl val="0"/>
      </c:catAx>
      <c:valAx>
        <c:axId val="40131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416"/>
        <c:crosses val="autoZero"/>
        <c:crossBetween val="between"/>
      </c:valAx>
      <c:catAx>
        <c:axId val="401318456"/>
        <c:scaling>
          <c:orientation val="minMax"/>
        </c:scaling>
        <c:delete val="1"/>
        <c:axPos val="b"/>
        <c:numFmt formatCode="General" sourceLinked="1"/>
        <c:majorTickMark val="out"/>
        <c:minorTickMark val="none"/>
        <c:tickLblPos val="nextTo"/>
        <c:crossAx val="401319240"/>
        <c:crosses val="autoZero"/>
        <c:auto val="1"/>
        <c:lblAlgn val="ctr"/>
        <c:lblOffset val="100"/>
        <c:noMultiLvlLbl val="0"/>
      </c:catAx>
      <c:valAx>
        <c:axId val="40131924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845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Trade'!$B$74</c:f>
              <c:strCache>
                <c:ptCount val="1"/>
                <c:pt idx="0">
                  <c:v>Ratio of exports to GDP (%)</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Trade'!$C$74:$Q$74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0-599A-4659-A89A-82E2964E0409}"/>
            </c:ext>
          </c:extLst>
        </c:ser>
        <c:ser>
          <c:idx val="1"/>
          <c:order val="1"/>
          <c:tx>
            <c:strRef>
              <c:f>'[2]Foreign Trade'!$B$75</c:f>
              <c:strCache>
                <c:ptCount val="1"/>
                <c:pt idx="0">
                  <c:v>Trade balance to GDP ratio</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Trade'!$C$75:$Q$75</c:f>
              <c:numCache>
                <c:formatCode>General</c:formatCode>
                <c:ptCount val="15"/>
                <c:pt idx="0">
                  <c:v>1.5</c:v>
                </c:pt>
                <c:pt idx="1">
                  <c:v>2.13</c:v>
                </c:pt>
                <c:pt idx="2">
                  <c:v>0.01</c:v>
                </c:pt>
                <c:pt idx="3">
                  <c:v>-1.65</c:v>
                </c:pt>
                <c:pt idx="4">
                  <c:v>-1.1499999999999999</c:v>
                </c:pt>
                <c:pt idx="5">
                  <c:v>-1.49</c:v>
                </c:pt>
                <c:pt idx="6">
                  <c:v>-1.76</c:v>
                </c:pt>
                <c:pt idx="7">
                  <c:v>-0.51</c:v>
                </c:pt>
                <c:pt idx="8">
                  <c:v>-0.13</c:v>
                </c:pt>
                <c:pt idx="9">
                  <c:v>0.28000000000000003</c:v>
                </c:pt>
                <c:pt idx="10">
                  <c:v>0.83</c:v>
                </c:pt>
                <c:pt idx="11">
                  <c:v>-1.08</c:v>
                </c:pt>
                <c:pt idx="12">
                  <c:v>-3.2</c:v>
                </c:pt>
                <c:pt idx="13">
                  <c:v>-4.03</c:v>
                </c:pt>
                <c:pt idx="14">
                  <c:v>-6.45</c:v>
                </c:pt>
              </c:numCache>
            </c:numRef>
          </c:val>
          <c:smooth val="0"/>
          <c:extLst>
            <c:ext xmlns:c16="http://schemas.microsoft.com/office/drawing/2014/chart" uri="{C3380CC4-5D6E-409C-BE32-E72D297353CC}">
              <c16:uniqueId val="{00000001-599A-4659-A89A-82E2964E0409}"/>
            </c:ext>
          </c:extLst>
        </c:ser>
        <c:dLbls>
          <c:showLegendKey val="0"/>
          <c:showVal val="0"/>
          <c:showCatName val="0"/>
          <c:showSerName val="0"/>
          <c:showPercent val="0"/>
          <c:showBubbleSize val="0"/>
        </c:dLbls>
        <c:marker val="1"/>
        <c:smooth val="0"/>
        <c:axId val="401319632"/>
        <c:axId val="401316888"/>
      </c:lineChart>
      <c:lineChart>
        <c:grouping val="standard"/>
        <c:varyColors val="0"/>
        <c:ser>
          <c:idx val="2"/>
          <c:order val="2"/>
          <c:tx>
            <c:strRef>
              <c:f>'[2]Foreign Trade'!$B$76</c:f>
              <c:strCache>
                <c:ptCount val="1"/>
                <c:pt idx="0">
                  <c:v>ZAR/US$</c:v>
                </c:pt>
              </c:strCache>
            </c:strRef>
          </c:tx>
          <c:val>
            <c:numRef>
              <c:f>'[2]Foreign Trade'!$C$76:$Q$76</c:f>
              <c:numCache>
                <c:formatCode>General</c:formatCode>
                <c:ptCount val="15"/>
                <c:pt idx="0">
                  <c:v>2.8516000000000004</c:v>
                </c:pt>
                <c:pt idx="1">
                  <c:v>3.2667000000000002</c:v>
                </c:pt>
                <c:pt idx="2">
                  <c:v>3.5497000000000001</c:v>
                </c:pt>
                <c:pt idx="3">
                  <c:v>3.6269999999999998</c:v>
                </c:pt>
                <c:pt idx="4">
                  <c:v>4.2964000000000002</c:v>
                </c:pt>
                <c:pt idx="5">
                  <c:v>4.6073000000000004</c:v>
                </c:pt>
                <c:pt idx="6">
                  <c:v>5.5316000000000001</c:v>
                </c:pt>
                <c:pt idx="7">
                  <c:v>6.1130999999999993</c:v>
                </c:pt>
                <c:pt idx="8">
                  <c:v>6.9352999999999998</c:v>
                </c:pt>
                <c:pt idx="9">
                  <c:v>8.6030999999999995</c:v>
                </c:pt>
                <c:pt idx="10">
                  <c:v>10.516500000000001</c:v>
                </c:pt>
                <c:pt idx="11">
                  <c:v>7.5647000000000002</c:v>
                </c:pt>
                <c:pt idx="12">
                  <c:v>6.4499000000000004</c:v>
                </c:pt>
                <c:pt idx="13">
                  <c:v>6.3623000000000003</c:v>
                </c:pt>
                <c:pt idx="14">
                  <c:v>6.7671999999999999</c:v>
                </c:pt>
              </c:numCache>
            </c:numRef>
          </c:val>
          <c:smooth val="0"/>
          <c:extLst>
            <c:ext xmlns:c16="http://schemas.microsoft.com/office/drawing/2014/chart" uri="{C3380CC4-5D6E-409C-BE32-E72D297353CC}">
              <c16:uniqueId val="{00000002-599A-4659-A89A-82E2964E0409}"/>
            </c:ext>
          </c:extLst>
        </c:ser>
        <c:dLbls>
          <c:showLegendKey val="0"/>
          <c:showVal val="0"/>
          <c:showCatName val="0"/>
          <c:showSerName val="0"/>
          <c:showPercent val="0"/>
          <c:showBubbleSize val="0"/>
        </c:dLbls>
        <c:marker val="1"/>
        <c:smooth val="0"/>
        <c:axId val="401320024"/>
        <c:axId val="401320808"/>
      </c:lineChart>
      <c:catAx>
        <c:axId val="40131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6888"/>
        <c:crosses val="autoZero"/>
        <c:auto val="1"/>
        <c:lblAlgn val="ctr"/>
        <c:lblOffset val="100"/>
        <c:tickMarkSkip val="1"/>
        <c:noMultiLvlLbl val="0"/>
      </c:catAx>
      <c:valAx>
        <c:axId val="401316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9632"/>
        <c:crosses val="autoZero"/>
        <c:crossBetween val="between"/>
      </c:valAx>
      <c:catAx>
        <c:axId val="401320024"/>
        <c:scaling>
          <c:orientation val="minMax"/>
        </c:scaling>
        <c:delete val="1"/>
        <c:axPos val="b"/>
        <c:majorTickMark val="out"/>
        <c:minorTickMark val="none"/>
        <c:tickLblPos val="nextTo"/>
        <c:crossAx val="401320808"/>
        <c:crosses val="autoZero"/>
        <c:auto val="1"/>
        <c:lblAlgn val="ctr"/>
        <c:lblOffset val="100"/>
        <c:noMultiLvlLbl val="0"/>
      </c:catAx>
      <c:valAx>
        <c:axId val="4013208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02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 '!$D$123</c:f>
              <c:strCache>
                <c:ptCount val="1"/>
                <c:pt idx="0">
                  <c:v>Merchandise Imports (% of GDP) </c:v>
                </c:pt>
              </c:strCache>
            </c:strRef>
          </c:tx>
          <c:marker>
            <c:symbol val="none"/>
          </c:marker>
          <c:cat>
            <c:multiLvlStrRef>
              <c:f>'Foreign Trade '!$V$121:$DD$122</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'!$V$123:$DD$123</c:f>
              <c:numCache>
                <c:formatCode>0.0</c:formatCode>
                <c:ptCount val="87"/>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F429-4562-A016-04753E16F0EA}"/>
            </c:ext>
          </c:extLst>
        </c:ser>
        <c:ser>
          <c:idx val="1"/>
          <c:order val="1"/>
          <c:tx>
            <c:strRef>
              <c:f>'Foreign Trade '!$D$124</c:f>
              <c:strCache>
                <c:ptCount val="1"/>
                <c:pt idx="0">
                  <c:v>Merchandise Exports (% of GDP) </c:v>
                </c:pt>
              </c:strCache>
            </c:strRef>
          </c:tx>
          <c:marker>
            <c:symbol val="none"/>
          </c:marker>
          <c:cat>
            <c:multiLvlStrRef>
              <c:f>'Foreign Trade '!$V$121:$DD$122</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'!$V$124:$DD$124</c:f>
              <c:numCache>
                <c:formatCode>0.0</c:formatCode>
                <c:ptCount val="87"/>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F429-4562-A016-04753E16F0EA}"/>
            </c:ext>
          </c:extLst>
        </c:ser>
        <c:dLbls>
          <c:showLegendKey val="0"/>
          <c:showVal val="0"/>
          <c:showCatName val="0"/>
          <c:showSerName val="0"/>
          <c:showPercent val="0"/>
          <c:showBubbleSize val="0"/>
        </c:dLbls>
        <c:marker val="1"/>
        <c:smooth val="0"/>
        <c:axId val="401313752"/>
        <c:axId val="401314536"/>
      </c:lineChart>
      <c:lineChart>
        <c:grouping val="standard"/>
        <c:varyColors val="0"/>
        <c:ser>
          <c:idx val="2"/>
          <c:order val="2"/>
          <c:tx>
            <c:strRef>
              <c:f>'Foreign Trade '!$D$125</c:f>
              <c:strCache>
                <c:ptCount val="1"/>
                <c:pt idx="0">
                  <c:v>Balance on current account  (% GDP)</c:v>
                </c:pt>
              </c:strCache>
            </c:strRef>
          </c:tx>
          <c:marker>
            <c:symbol val="none"/>
          </c:marker>
          <c:cat>
            <c:multiLvlStrRef>
              <c:f>'Foreign Trade '!$V$121:$DD$122</c:f>
              <c:multiLvlStrCache>
                <c:ptCount val="87"/>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'!$V$125:$DD$125</c:f>
              <c:numCache>
                <c:formatCode>0.0</c:formatCode>
                <c:ptCount val="87"/>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F429-4562-A016-04753E16F0EA}"/>
            </c:ext>
          </c:extLst>
        </c:ser>
        <c:dLbls>
          <c:showLegendKey val="0"/>
          <c:showVal val="0"/>
          <c:showCatName val="0"/>
          <c:showSerName val="0"/>
          <c:showPercent val="0"/>
          <c:showBubbleSize val="0"/>
        </c:dLbls>
        <c:marker val="1"/>
        <c:smooth val="0"/>
        <c:axId val="401315320"/>
        <c:axId val="401314928"/>
      </c:lineChart>
      <c:catAx>
        <c:axId val="401313752"/>
        <c:scaling>
          <c:orientation val="minMax"/>
        </c:scaling>
        <c:delete val="0"/>
        <c:axPos val="b"/>
        <c:numFmt formatCode="General" sourceLinked="0"/>
        <c:majorTickMark val="out"/>
        <c:minorTickMark val="none"/>
        <c:tickLblPos val="nextTo"/>
        <c:crossAx val="401314536"/>
        <c:crosses val="autoZero"/>
        <c:auto val="1"/>
        <c:lblAlgn val="ctr"/>
        <c:lblOffset val="100"/>
        <c:noMultiLvlLbl val="0"/>
      </c:catAx>
      <c:valAx>
        <c:axId val="401314536"/>
        <c:scaling>
          <c:orientation val="minMax"/>
        </c:scaling>
        <c:delete val="0"/>
        <c:axPos val="l"/>
        <c:majorGridlines/>
        <c:numFmt formatCode="0.0" sourceLinked="1"/>
        <c:majorTickMark val="out"/>
        <c:minorTickMark val="none"/>
        <c:tickLblPos val="nextTo"/>
        <c:crossAx val="401313752"/>
        <c:crosses val="autoZero"/>
        <c:crossBetween val="between"/>
      </c:valAx>
      <c:valAx>
        <c:axId val="401314928"/>
        <c:scaling>
          <c:orientation val="minMax"/>
        </c:scaling>
        <c:delete val="0"/>
        <c:axPos val="r"/>
        <c:numFmt formatCode="0.0" sourceLinked="1"/>
        <c:majorTickMark val="out"/>
        <c:minorTickMark val="none"/>
        <c:tickLblPos val="nextTo"/>
        <c:crossAx val="401315320"/>
        <c:crosses val="max"/>
        <c:crossBetween val="between"/>
      </c:valAx>
      <c:catAx>
        <c:axId val="401315320"/>
        <c:scaling>
          <c:orientation val="minMax"/>
        </c:scaling>
        <c:delete val="1"/>
        <c:axPos val="b"/>
        <c:numFmt formatCode="General" sourceLinked="1"/>
        <c:majorTickMark val="out"/>
        <c:minorTickMark val="none"/>
        <c:tickLblPos val="nextTo"/>
        <c:crossAx val="4013149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Balance of payments </a:t>
            </a:r>
          </a:p>
        </c:rich>
      </c:tx>
      <c:layout/>
      <c:overlay val="0"/>
    </c:title>
    <c:autoTitleDeleted val="0"/>
    <c:plotArea>
      <c:layout>
        <c:manualLayout>
          <c:layoutTarget val="inner"/>
          <c:xMode val="edge"/>
          <c:yMode val="edge"/>
          <c:x val="5.5608813112897809E-2"/>
          <c:y val="0.11345029239766082"/>
          <c:w val="0.89338147283172253"/>
          <c:h val="0.63483590044665472"/>
        </c:manualLayout>
      </c:layout>
      <c:lineChart>
        <c:grouping val="standard"/>
        <c:varyColors val="0"/>
        <c:ser>
          <c:idx val="0"/>
          <c:order val="0"/>
          <c:tx>
            <c:strRef>
              <c:f>'Foreign Trade '!$D$123</c:f>
              <c:strCache>
                <c:ptCount val="1"/>
                <c:pt idx="0">
                  <c:v>Merchandise Imports (% of GDP) </c:v>
                </c:pt>
              </c:strCache>
            </c:strRef>
          </c:tx>
          <c:spPr>
            <a:ln w="25400">
              <a:solidFill>
                <a:srgbClr val="FF6600"/>
              </a:solidFill>
            </a:ln>
          </c:spPr>
          <c:marker>
            <c:symbol val="none"/>
          </c:marker>
          <c:cat>
            <c:strRef>
              <c:f>'Foreign Trade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'Foreign Trade '!$E$8:$AB$8</c:f>
              <c:numCache>
                <c:formatCode>0.0</c:formatCode>
                <c:ptCount val="24"/>
                <c:pt idx="0" formatCode="General">
                  <c:v>15.7</c:v>
                </c:pt>
                <c:pt idx="1">
                  <c:v>17.600000000000001</c:v>
                </c:pt>
                <c:pt idx="2">
                  <c:v>18.7</c:v>
                </c:pt>
                <c:pt idx="3">
                  <c:v>18.899999999999999</c:v>
                </c:pt>
                <c:pt idx="4">
                  <c:v>19.8</c:v>
                </c:pt>
                <c:pt idx="5">
                  <c:v>18</c:v>
                </c:pt>
                <c:pt idx="6">
                  <c:v>20</c:v>
                </c:pt>
                <c:pt idx="7">
                  <c:v>21.1</c:v>
                </c:pt>
                <c:pt idx="8">
                  <c:v>23.2</c:v>
                </c:pt>
                <c:pt idx="9">
                  <c:v>20</c:v>
                </c:pt>
                <c:pt idx="10">
                  <c:v>21.1</c:v>
                </c:pt>
                <c:pt idx="11">
                  <c:v>22</c:v>
                </c:pt>
                <c:pt idx="12">
                  <c:v>25.8</c:v>
                </c:pt>
                <c:pt idx="13">
                  <c:v>27.1</c:v>
                </c:pt>
                <c:pt idx="14">
                  <c:v>31.4</c:v>
                </c:pt>
                <c:pt idx="15">
                  <c:v>22.4</c:v>
                </c:pt>
                <c:pt idx="16">
                  <c:v>22.2</c:v>
                </c:pt>
                <c:pt idx="17">
                  <c:v>24.7</c:v>
                </c:pt>
                <c:pt idx="18">
                  <c:v>26.4</c:v>
                </c:pt>
                <c:pt idx="19">
                  <c:v>28.4</c:v>
                </c:pt>
                <c:pt idx="20">
                  <c:v>28.1</c:v>
                </c:pt>
                <c:pt idx="21">
                  <c:v>26.6</c:v>
                </c:pt>
                <c:pt idx="22">
                  <c:v>25.1</c:v>
                </c:pt>
                <c:pt idx="23">
                  <c:v>23.8</c:v>
                </c:pt>
              </c:numCache>
            </c:numRef>
          </c:val>
          <c:smooth val="0"/>
          <c:extLst>
            <c:ext xmlns:c16="http://schemas.microsoft.com/office/drawing/2014/chart" uri="{C3380CC4-5D6E-409C-BE32-E72D297353CC}">
              <c16:uniqueId val="{00000000-8246-499E-9B83-FFE003E10E6F}"/>
            </c:ext>
          </c:extLst>
        </c:ser>
        <c:ser>
          <c:idx val="1"/>
          <c:order val="1"/>
          <c:tx>
            <c:strRef>
              <c:f>'Foreign Trade '!$D$124</c:f>
              <c:strCache>
                <c:ptCount val="1"/>
                <c:pt idx="0">
                  <c:v>Merchandise Exports (% of GDP) </c:v>
                </c:pt>
              </c:strCache>
            </c:strRef>
          </c:tx>
          <c:spPr>
            <a:ln w="25400">
              <a:solidFill>
                <a:srgbClr val="BE4B48"/>
              </a:solidFill>
            </a:ln>
          </c:spPr>
          <c:marker>
            <c:symbol val="none"/>
          </c:marker>
          <c:cat>
            <c:strRef>
              <c:f>'Foreign Trade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'Foreign Trade '!$E$9:$AB$9</c:f>
              <c:numCache>
                <c:formatCode>0.0</c:formatCode>
                <c:ptCount val="24"/>
                <c:pt idx="0" formatCode="General">
                  <c:v>18.8</c:v>
                </c:pt>
                <c:pt idx="1">
                  <c:v>19.2</c:v>
                </c:pt>
                <c:pt idx="2">
                  <c:v>20.7</c:v>
                </c:pt>
                <c:pt idx="3">
                  <c:v>20.5</c:v>
                </c:pt>
                <c:pt idx="4">
                  <c:v>21.1</c:v>
                </c:pt>
                <c:pt idx="5">
                  <c:v>20.9</c:v>
                </c:pt>
                <c:pt idx="6">
                  <c:v>23.5</c:v>
                </c:pt>
                <c:pt idx="7">
                  <c:v>25.4</c:v>
                </c:pt>
                <c:pt idx="8">
                  <c:v>27.4</c:v>
                </c:pt>
                <c:pt idx="9">
                  <c:v>22</c:v>
                </c:pt>
                <c:pt idx="10">
                  <c:v>21</c:v>
                </c:pt>
                <c:pt idx="11">
                  <c:v>21.9</c:v>
                </c:pt>
                <c:pt idx="12">
                  <c:v>24.5</c:v>
                </c:pt>
                <c:pt idx="13">
                  <c:v>26.2</c:v>
                </c:pt>
                <c:pt idx="14">
                  <c:v>30.8</c:v>
                </c:pt>
                <c:pt idx="15">
                  <c:v>23.5</c:v>
                </c:pt>
                <c:pt idx="16">
                  <c:v>24.3</c:v>
                </c:pt>
                <c:pt idx="17">
                  <c:v>26.3</c:v>
                </c:pt>
                <c:pt idx="18">
                  <c:v>25.3</c:v>
                </c:pt>
                <c:pt idx="19">
                  <c:v>26.4</c:v>
                </c:pt>
                <c:pt idx="20">
                  <c:v>26.7</c:v>
                </c:pt>
                <c:pt idx="21">
                  <c:v>25.4</c:v>
                </c:pt>
                <c:pt idx="22">
                  <c:v>25.9</c:v>
                </c:pt>
                <c:pt idx="23">
                  <c:v>25.3</c:v>
                </c:pt>
              </c:numCache>
            </c:numRef>
          </c:val>
          <c:smooth val="0"/>
          <c:extLst>
            <c:ext xmlns:c16="http://schemas.microsoft.com/office/drawing/2014/chart" uri="{C3380CC4-5D6E-409C-BE32-E72D297353CC}">
              <c16:uniqueId val="{00000001-8246-499E-9B83-FFE003E10E6F}"/>
            </c:ext>
          </c:extLst>
        </c:ser>
        <c:dLbls>
          <c:showLegendKey val="0"/>
          <c:showVal val="0"/>
          <c:showCatName val="0"/>
          <c:showSerName val="0"/>
          <c:showPercent val="0"/>
          <c:showBubbleSize val="0"/>
        </c:dLbls>
        <c:marker val="1"/>
        <c:smooth val="0"/>
        <c:axId val="402111440"/>
        <c:axId val="402106736"/>
      </c:lineChart>
      <c:lineChart>
        <c:grouping val="standard"/>
        <c:varyColors val="0"/>
        <c:ser>
          <c:idx val="2"/>
          <c:order val="2"/>
          <c:tx>
            <c:strRef>
              <c:f>'Foreign Trade '!$D$125</c:f>
              <c:strCache>
                <c:ptCount val="1"/>
                <c:pt idx="0">
                  <c:v>Balance on current account  (% GDP)</c:v>
                </c:pt>
              </c:strCache>
            </c:strRef>
          </c:tx>
          <c:spPr>
            <a:ln w="25400">
              <a:solidFill>
                <a:srgbClr val="FFC600"/>
              </a:solidFill>
            </a:ln>
          </c:spPr>
          <c:marker>
            <c:symbol val="none"/>
          </c:marker>
          <c:cat>
            <c:strRef>
              <c:f>'Foreign Trade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'Foreign Trade '!$E$11:$AB$11</c:f>
              <c:numCache>
                <c:formatCode>0.0</c:formatCode>
                <c:ptCount val="24"/>
                <c:pt idx="0" formatCode="General">
                  <c:v>0</c:v>
                </c:pt>
                <c:pt idx="1">
                  <c:v>-1.6</c:v>
                </c:pt>
                <c:pt idx="2">
                  <c:v>-1.1000000000000001</c:v>
                </c:pt>
                <c:pt idx="3">
                  <c:v>-1.5</c:v>
                </c:pt>
                <c:pt idx="4">
                  <c:v>-1.7</c:v>
                </c:pt>
                <c:pt idx="5">
                  <c:v>-0.5</c:v>
                </c:pt>
                <c:pt idx="6">
                  <c:v>-0.1</c:v>
                </c:pt>
                <c:pt idx="7">
                  <c:v>0.3</c:v>
                </c:pt>
                <c:pt idx="8">
                  <c:v>0.9</c:v>
                </c:pt>
                <c:pt idx="9">
                  <c:v>-0.8</c:v>
                </c:pt>
                <c:pt idx="10">
                  <c:v>-2.8</c:v>
                </c:pt>
                <c:pt idx="11">
                  <c:v>-3.1</c:v>
                </c:pt>
                <c:pt idx="12">
                  <c:v>-4.5</c:v>
                </c:pt>
                <c:pt idx="13">
                  <c:v>-5.4</c:v>
                </c:pt>
                <c:pt idx="14">
                  <c:v>-5.5</c:v>
                </c:pt>
                <c:pt idx="15">
                  <c:v>-2.7</c:v>
                </c:pt>
                <c:pt idx="16">
                  <c:v>-1.5</c:v>
                </c:pt>
                <c:pt idx="17">
                  <c:v>-2.2000000000000002</c:v>
                </c:pt>
                <c:pt idx="18">
                  <c:v>-5.0999999999999996</c:v>
                </c:pt>
                <c:pt idx="19">
                  <c:v>-5.8</c:v>
                </c:pt>
                <c:pt idx="20">
                  <c:v>-5.0999999999999996</c:v>
                </c:pt>
                <c:pt idx="21">
                  <c:v>-4.5999999999999996</c:v>
                </c:pt>
                <c:pt idx="22">
                  <c:v>-2.8</c:v>
                </c:pt>
                <c:pt idx="23">
                  <c:v>-2.5</c:v>
                </c:pt>
              </c:numCache>
            </c:numRef>
          </c:val>
          <c:smooth val="0"/>
          <c:extLst>
            <c:ext xmlns:c16="http://schemas.microsoft.com/office/drawing/2014/chart" uri="{C3380CC4-5D6E-409C-BE32-E72D297353CC}">
              <c16:uniqueId val="{00000002-8246-499E-9B83-FFE003E10E6F}"/>
            </c:ext>
          </c:extLst>
        </c:ser>
        <c:dLbls>
          <c:showLegendKey val="0"/>
          <c:showVal val="0"/>
          <c:showCatName val="0"/>
          <c:showSerName val="0"/>
          <c:showPercent val="0"/>
          <c:showBubbleSize val="0"/>
        </c:dLbls>
        <c:marker val="1"/>
        <c:smooth val="0"/>
        <c:axId val="402111832"/>
        <c:axId val="402109480"/>
      </c:lineChart>
      <c:catAx>
        <c:axId val="402111440"/>
        <c:scaling>
          <c:orientation val="minMax"/>
        </c:scaling>
        <c:delete val="0"/>
        <c:axPos val="b"/>
        <c:numFmt formatCode="General" sourceLinked="1"/>
        <c:majorTickMark val="out"/>
        <c:minorTickMark val="none"/>
        <c:tickLblPos val="nextTo"/>
        <c:crossAx val="402106736"/>
        <c:crosses val="autoZero"/>
        <c:auto val="1"/>
        <c:lblAlgn val="ctr"/>
        <c:lblOffset val="100"/>
        <c:noMultiLvlLbl val="0"/>
      </c:catAx>
      <c:valAx>
        <c:axId val="402106736"/>
        <c:scaling>
          <c:orientation val="minMax"/>
        </c:scaling>
        <c:delete val="0"/>
        <c:axPos val="l"/>
        <c:majorGridlines>
          <c:spPr>
            <a:ln w="6350">
              <a:prstDash val="sysDash"/>
            </a:ln>
          </c:spPr>
        </c:majorGridlines>
        <c:title>
          <c:tx>
            <c:rich>
              <a:bodyPr/>
              <a:lstStyle/>
              <a:p>
                <a:pPr>
                  <a:defRPr/>
                </a:pPr>
                <a:r>
                  <a:rPr lang="en-US"/>
                  <a:t>Imports and Exports as % of GDP</a:t>
                </a:r>
              </a:p>
            </c:rich>
          </c:tx>
          <c:layout>
            <c:manualLayout>
              <c:xMode val="edge"/>
              <c:yMode val="edge"/>
              <c:x val="1.6339869281045753E-2"/>
              <c:y val="0.21231005663765715"/>
            </c:manualLayout>
          </c:layout>
          <c:overlay val="0"/>
        </c:title>
        <c:numFmt formatCode="General" sourceLinked="1"/>
        <c:majorTickMark val="none"/>
        <c:minorTickMark val="none"/>
        <c:tickLblPos val="nextTo"/>
        <c:crossAx val="402111440"/>
        <c:crosses val="autoZero"/>
        <c:crossBetween val="between"/>
      </c:valAx>
      <c:valAx>
        <c:axId val="402109480"/>
        <c:scaling>
          <c:orientation val="minMax"/>
        </c:scaling>
        <c:delete val="0"/>
        <c:axPos val="r"/>
        <c:title>
          <c:tx>
            <c:rich>
              <a:bodyPr rot="-5400000" vert="horz"/>
              <a:lstStyle/>
              <a:p>
                <a:pPr>
                  <a:defRPr/>
                </a:pPr>
                <a:r>
                  <a:rPr lang="en-US"/>
                  <a:t>Balance on current account as % of GDP</a:t>
                </a:r>
              </a:p>
            </c:rich>
          </c:tx>
          <c:layout>
            <c:manualLayout>
              <c:xMode val="edge"/>
              <c:yMode val="edge"/>
              <c:x val="0.97097747080922847"/>
              <c:y val="0.16192614081134596"/>
            </c:manualLayout>
          </c:layout>
          <c:overlay val="0"/>
        </c:title>
        <c:numFmt formatCode="General" sourceLinked="1"/>
        <c:majorTickMark val="out"/>
        <c:minorTickMark val="none"/>
        <c:tickLblPos val="nextTo"/>
        <c:crossAx val="402111832"/>
        <c:crosses val="max"/>
        <c:crossBetween val="between"/>
      </c:valAx>
      <c:catAx>
        <c:axId val="402111832"/>
        <c:scaling>
          <c:orientation val="minMax"/>
        </c:scaling>
        <c:delete val="1"/>
        <c:axPos val="b"/>
        <c:numFmt formatCode="General" sourceLinked="1"/>
        <c:majorTickMark val="out"/>
        <c:minorTickMark val="none"/>
        <c:tickLblPos val="nextTo"/>
        <c:crossAx val="402109480"/>
        <c:crosses val="autoZero"/>
        <c:auto val="1"/>
        <c:lblAlgn val="ctr"/>
        <c:lblOffset val="100"/>
        <c:noMultiLvlLbl val="0"/>
      </c:catAx>
    </c:plotArea>
    <c:legend>
      <c:legendPos val="b"/>
      <c:layout/>
      <c:overlay val="0"/>
    </c:legend>
    <c:plotVisOnly val="1"/>
    <c:dispBlanksAs val="gap"/>
    <c:showDLblsOverMax val="0"/>
  </c:chart>
  <c:txPr>
    <a:bodyPr/>
    <a:lstStyle/>
    <a:p>
      <a:pPr>
        <a:defRPr sz="1000">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 '!$D$123</c:f>
              <c:strCache>
                <c:ptCount val="1"/>
                <c:pt idx="0">
                  <c:v>Merchandise Imports (% of GDP) </c:v>
                </c:pt>
              </c:strCache>
            </c:strRef>
          </c:tx>
          <c:spPr>
            <a:ln w="12700">
              <a:solidFill>
                <a:srgbClr val="FFC000"/>
              </a:solidFill>
            </a:ln>
          </c:spPr>
          <c:marker>
            <c:symbol val="none"/>
          </c:marker>
          <c:cat>
            <c:multiLvlStrRef>
              <c:f>'Foreign Trade '!$V$121:$DE$122</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'!$V$123:$DE$123</c:f>
              <c:numCache>
                <c:formatCode>0.0</c:formatCode>
                <c:ptCount val="88"/>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4679-4B53-9ABF-12DF7D2153F7}"/>
            </c:ext>
          </c:extLst>
        </c:ser>
        <c:ser>
          <c:idx val="1"/>
          <c:order val="1"/>
          <c:tx>
            <c:strRef>
              <c:f>'Foreign Trade '!$D$124</c:f>
              <c:strCache>
                <c:ptCount val="1"/>
                <c:pt idx="0">
                  <c:v>Merchandise Exports (% of GDP) </c:v>
                </c:pt>
              </c:strCache>
            </c:strRef>
          </c:tx>
          <c:spPr>
            <a:ln w="12700">
              <a:solidFill>
                <a:schemeClr val="accent6">
                  <a:lumMod val="50000"/>
                </a:schemeClr>
              </a:solidFill>
            </a:ln>
          </c:spPr>
          <c:marker>
            <c:symbol val="none"/>
          </c:marker>
          <c:cat>
            <c:multiLvlStrRef>
              <c:f>'Foreign Trade '!$V$121:$DE$122</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'!$V$124:$DE$124</c:f>
              <c:numCache>
                <c:formatCode>0.0</c:formatCode>
                <c:ptCount val="88"/>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4679-4B53-9ABF-12DF7D2153F7}"/>
            </c:ext>
          </c:extLst>
        </c:ser>
        <c:dLbls>
          <c:showLegendKey val="0"/>
          <c:showVal val="0"/>
          <c:showCatName val="0"/>
          <c:showSerName val="0"/>
          <c:showPercent val="0"/>
          <c:showBubbleSize val="0"/>
        </c:dLbls>
        <c:marker val="1"/>
        <c:smooth val="0"/>
        <c:axId val="402109872"/>
        <c:axId val="402113008"/>
      </c:lineChart>
      <c:lineChart>
        <c:grouping val="standard"/>
        <c:varyColors val="0"/>
        <c:ser>
          <c:idx val="2"/>
          <c:order val="2"/>
          <c:tx>
            <c:strRef>
              <c:f>'Foreign Trade '!$D$125</c:f>
              <c:strCache>
                <c:ptCount val="1"/>
                <c:pt idx="0">
                  <c:v>Balance on current account  (% GDP)</c:v>
                </c:pt>
              </c:strCache>
            </c:strRef>
          </c:tx>
          <c:spPr>
            <a:ln w="12700">
              <a:solidFill>
                <a:schemeClr val="accent6">
                  <a:lumMod val="75000"/>
                </a:schemeClr>
              </a:solidFill>
            </a:ln>
          </c:spPr>
          <c:marker>
            <c:symbol val="none"/>
          </c:marker>
          <c:cat>
            <c:multiLvlStrRef>
              <c:f>'Foreign Trade '!$V$121:$DE$122</c:f>
              <c:multiLvlStrCache>
                <c:ptCount val="88"/>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'Foreign Trade '!$V$125:$DE$125</c:f>
              <c:numCache>
                <c:formatCode>0.0</c:formatCode>
                <c:ptCount val="88"/>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4679-4B53-9ABF-12DF7D2153F7}"/>
            </c:ext>
          </c:extLst>
        </c:ser>
        <c:dLbls>
          <c:showLegendKey val="0"/>
          <c:showVal val="0"/>
          <c:showCatName val="0"/>
          <c:showSerName val="0"/>
          <c:showPercent val="0"/>
          <c:showBubbleSize val="0"/>
        </c:dLbls>
        <c:marker val="1"/>
        <c:smooth val="0"/>
        <c:axId val="402112224"/>
        <c:axId val="402107128"/>
      </c:lineChart>
      <c:catAx>
        <c:axId val="402109872"/>
        <c:scaling>
          <c:orientation val="minMax"/>
        </c:scaling>
        <c:delete val="0"/>
        <c:axPos val="b"/>
        <c:numFmt formatCode="General" sourceLinked="0"/>
        <c:majorTickMark val="out"/>
        <c:minorTickMark val="none"/>
        <c:tickLblPos val="nextTo"/>
        <c:crossAx val="402113008"/>
        <c:crosses val="autoZero"/>
        <c:auto val="1"/>
        <c:lblAlgn val="ctr"/>
        <c:lblOffset val="100"/>
        <c:noMultiLvlLbl val="0"/>
      </c:catAx>
      <c:valAx>
        <c:axId val="402113008"/>
        <c:scaling>
          <c:orientation val="minMax"/>
        </c:scaling>
        <c:delete val="0"/>
        <c:axPos val="l"/>
        <c:majorGridlines>
          <c:spPr>
            <a:ln>
              <a:prstDash val="sysDash"/>
            </a:ln>
          </c:spPr>
        </c:majorGridlines>
        <c:title>
          <c:tx>
            <c:rich>
              <a:bodyPr rot="-5400000" vert="horz"/>
              <a:lstStyle/>
              <a:p>
                <a:pPr>
                  <a:defRPr b="0"/>
                </a:pPr>
                <a:r>
                  <a:rPr lang="en-US" b="0"/>
                  <a:t>% of GDP</a:t>
                </a:r>
              </a:p>
            </c:rich>
          </c:tx>
          <c:overlay val="0"/>
        </c:title>
        <c:numFmt formatCode="0.0" sourceLinked="1"/>
        <c:majorTickMark val="out"/>
        <c:minorTickMark val="none"/>
        <c:tickLblPos val="nextTo"/>
        <c:crossAx val="402109872"/>
        <c:crosses val="autoZero"/>
        <c:crossBetween val="between"/>
      </c:valAx>
      <c:valAx>
        <c:axId val="402107128"/>
        <c:scaling>
          <c:orientation val="minMax"/>
        </c:scaling>
        <c:delete val="0"/>
        <c:axPos val="r"/>
        <c:title>
          <c:tx>
            <c:rich>
              <a:bodyPr rot="-5400000" vert="horz"/>
              <a:lstStyle/>
              <a:p>
                <a:pPr>
                  <a:defRPr b="0"/>
                </a:pPr>
                <a:r>
                  <a:rPr lang="en-US" b="0"/>
                  <a:t>Balance on current account</a:t>
                </a:r>
              </a:p>
            </c:rich>
          </c:tx>
          <c:overlay val="0"/>
        </c:title>
        <c:numFmt formatCode="0.0" sourceLinked="1"/>
        <c:majorTickMark val="out"/>
        <c:minorTickMark val="none"/>
        <c:tickLblPos val="nextTo"/>
        <c:crossAx val="402112224"/>
        <c:crosses val="max"/>
        <c:crossBetween val="between"/>
      </c:valAx>
      <c:catAx>
        <c:axId val="402112224"/>
        <c:scaling>
          <c:orientation val="minMax"/>
        </c:scaling>
        <c:delete val="1"/>
        <c:axPos val="b"/>
        <c:numFmt formatCode="General" sourceLinked="1"/>
        <c:majorTickMark val="out"/>
        <c:minorTickMark val="none"/>
        <c:tickLblPos val="nextTo"/>
        <c:crossAx val="402107128"/>
        <c:crosses val="autoZero"/>
        <c:auto val="1"/>
        <c:lblAlgn val="ctr"/>
        <c:lblOffset val="100"/>
        <c:noMultiLvlLbl val="0"/>
      </c:cat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0" i="0" u="none" strike="noStrike" baseline="0">
                <a:solidFill>
                  <a:srgbClr val="000000"/>
                </a:solidFill>
                <a:latin typeface="Arial"/>
                <a:ea typeface="Arial"/>
                <a:cs typeface="Arial"/>
              </a:defRPr>
            </a:pPr>
            <a:r>
              <a:rPr lang="en-US"/>
              <a:t>SA'Competitivie Outlook </a:t>
            </a:r>
          </a:p>
        </c:rich>
      </c:tx>
      <c:overlay val="0"/>
      <c:spPr>
        <a:noFill/>
        <a:ln w="25400">
          <a:noFill/>
        </a:ln>
      </c:spPr>
    </c:title>
    <c:autoTitleDeleted val="0"/>
    <c:plotArea>
      <c:layout/>
      <c:barChart>
        <c:barDir val="col"/>
        <c:grouping val="clustered"/>
        <c:varyColors val="0"/>
        <c:ser>
          <c:idx val="0"/>
          <c:order val="0"/>
          <c:tx>
            <c:strRef>
              <c:f>[2]Competitiveness!$E$8</c:f>
              <c:strCache>
                <c:ptCount val="1"/>
                <c:pt idx="0">
                  <c:v>2005-2006 </c:v>
                </c:pt>
              </c:strCache>
            </c:strRef>
          </c:tx>
          <c:spPr>
            <a:solidFill>
              <a:srgbClr val="9999FF"/>
            </a:solidFill>
            <a:ln w="25400">
              <a:solidFill>
                <a:srgbClr val="00008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[2]Competitiveness!$E$9:$E$22</c:f>
              <c:numCache>
                <c:formatCode>General</c:formatCode>
                <c:ptCount val="14"/>
                <c:pt idx="0">
                  <c:v>26</c:v>
                </c:pt>
                <c:pt idx="1">
                  <c:v>27</c:v>
                </c:pt>
                <c:pt idx="2">
                  <c:v>25</c:v>
                </c:pt>
                <c:pt idx="3">
                  <c:v>40</c:v>
                </c:pt>
                <c:pt idx="4">
                  <c:v>37</c:v>
                </c:pt>
                <c:pt idx="5">
                  <c:v>45</c:v>
                </c:pt>
                <c:pt idx="6">
                  <c:v>36</c:v>
                </c:pt>
                <c:pt idx="7">
                  <c:v>41</c:v>
                </c:pt>
                <c:pt idx="8">
                  <c:v>48</c:v>
                </c:pt>
                <c:pt idx="9">
                  <c:v>58</c:v>
                </c:pt>
                <c:pt idx="10">
                  <c:v>55</c:v>
                </c:pt>
                <c:pt idx="11">
                  <c:v>66</c:v>
                </c:pt>
                <c:pt idx="12">
                  <c:v>68</c:v>
                </c:pt>
                <c:pt idx="13">
                  <c:v>81</c:v>
                </c:pt>
              </c:numCache>
            </c:numRef>
          </c:val>
          <c:extLst>
            <c:ext xmlns:c16="http://schemas.microsoft.com/office/drawing/2014/chart" uri="{C3380CC4-5D6E-409C-BE32-E72D297353CC}">
              <c16:uniqueId val="{00000000-28B1-406E-9C75-D13154E5EB17}"/>
            </c:ext>
          </c:extLst>
        </c:ser>
        <c:ser>
          <c:idx val="1"/>
          <c:order val="1"/>
          <c:tx>
            <c:strRef>
              <c:f>[2]Competitiveness!$F$8</c:f>
              <c:strCache>
                <c:ptCount val="1"/>
                <c:pt idx="0">
                  <c:v>2006-2007 </c:v>
                </c:pt>
              </c:strCache>
            </c:strRef>
          </c:tx>
          <c:spPr>
            <a:solidFill>
              <a:srgbClr val="993366"/>
            </a:solidFill>
            <a:ln w="25400">
              <a:noFill/>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[2]Competitiveness!$F$9:$F$22</c:f>
              <c:numCache>
                <c:formatCode>General</c:formatCode>
                <c:ptCount val="14"/>
                <c:pt idx="0">
                  <c:v>19</c:v>
                </c:pt>
                <c:pt idx="1">
                  <c:v>27</c:v>
                </c:pt>
                <c:pt idx="2">
                  <c:v>26</c:v>
                </c:pt>
                <c:pt idx="3">
                  <c:v>39</c:v>
                </c:pt>
                <c:pt idx="4">
                  <c:v>37</c:v>
                </c:pt>
                <c:pt idx="5">
                  <c:v>36</c:v>
                </c:pt>
                <c:pt idx="6">
                  <c:v>44</c:v>
                </c:pt>
                <c:pt idx="7">
                  <c:v>38</c:v>
                </c:pt>
                <c:pt idx="8">
                  <c:v>45</c:v>
                </c:pt>
                <c:pt idx="9">
                  <c:v>52</c:v>
                </c:pt>
                <c:pt idx="10">
                  <c:v>55</c:v>
                </c:pt>
                <c:pt idx="11">
                  <c:v>66</c:v>
                </c:pt>
                <c:pt idx="12">
                  <c:v>73</c:v>
                </c:pt>
                <c:pt idx="13">
                  <c:v>57</c:v>
                </c:pt>
              </c:numCache>
            </c:numRef>
          </c:val>
          <c:extLst>
            <c:ext xmlns:c16="http://schemas.microsoft.com/office/drawing/2014/chart" uri="{C3380CC4-5D6E-409C-BE32-E72D297353CC}">
              <c16:uniqueId val="{00000001-28B1-406E-9C75-D13154E5EB17}"/>
            </c:ext>
          </c:extLst>
        </c:ser>
        <c:ser>
          <c:idx val="2"/>
          <c:order val="2"/>
          <c:tx>
            <c:strRef>
              <c:f>[2]Competitiveness!$G$8</c:f>
              <c:strCache>
                <c:ptCount val="1"/>
                <c:pt idx="0">
                  <c:v>2007-2008</c:v>
                </c:pt>
              </c:strCache>
            </c:strRef>
          </c:tx>
          <c:spPr>
            <a:solidFill>
              <a:srgbClr val="FFFFCC"/>
            </a:solidFill>
            <a:ln w="12700">
              <a:solidFill>
                <a:srgbClr val="00000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[2]Competitiveness!$G$9:$G$22</c:f>
              <c:numCache>
                <c:formatCode>General</c:formatCode>
                <c:ptCount val="14"/>
                <c:pt idx="0">
                  <c:v>21</c:v>
                </c:pt>
                <c:pt idx="1">
                  <c:v>26</c:v>
                </c:pt>
                <c:pt idx="2">
                  <c:v>27</c:v>
                </c:pt>
                <c:pt idx="3">
                  <c:v>38</c:v>
                </c:pt>
                <c:pt idx="4">
                  <c:v>41</c:v>
                </c:pt>
                <c:pt idx="5">
                  <c:v>44</c:v>
                </c:pt>
                <c:pt idx="6">
                  <c:v>45</c:v>
                </c:pt>
                <c:pt idx="7">
                  <c:v>47</c:v>
                </c:pt>
                <c:pt idx="8">
                  <c:v>51</c:v>
                </c:pt>
                <c:pt idx="9">
                  <c:v>52</c:v>
                </c:pt>
                <c:pt idx="10">
                  <c:v>60</c:v>
                </c:pt>
                <c:pt idx="11">
                  <c:v>72</c:v>
                </c:pt>
                <c:pt idx="12">
                  <c:v>74</c:v>
                </c:pt>
                <c:pt idx="13">
                  <c:v>76</c:v>
                </c:pt>
              </c:numCache>
            </c:numRef>
          </c:val>
          <c:extLst>
            <c:ext xmlns:c16="http://schemas.microsoft.com/office/drawing/2014/chart" uri="{C3380CC4-5D6E-409C-BE32-E72D297353CC}">
              <c16:uniqueId val="{00000002-28B1-406E-9C75-D13154E5EB17}"/>
            </c:ext>
          </c:extLst>
        </c:ser>
        <c:dLbls>
          <c:showLegendKey val="0"/>
          <c:showVal val="0"/>
          <c:showCatName val="0"/>
          <c:showSerName val="0"/>
          <c:showPercent val="0"/>
          <c:showBubbleSize val="0"/>
        </c:dLbls>
        <c:gapWidth val="150"/>
        <c:axId val="402112616"/>
        <c:axId val="402113400"/>
      </c:barChart>
      <c:catAx>
        <c:axId val="40211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3400"/>
        <c:crosses val="autoZero"/>
        <c:auto val="1"/>
        <c:lblAlgn val="ctr"/>
        <c:lblOffset val="100"/>
        <c:tickLblSkip val="1"/>
        <c:tickMarkSkip val="1"/>
        <c:noMultiLvlLbl val="0"/>
      </c:catAx>
      <c:valAx>
        <c:axId val="402113400"/>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ranking</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2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layout>
        <c:manualLayout>
          <c:xMode val="edge"/>
          <c:yMode val="edge"/>
          <c:x val="0.19384114418852727"/>
          <c:y val="1.5920398009950248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spPr>
            <a:ln w="25400">
              <a:solidFill>
                <a:schemeClr val="accent4">
                  <a:lumMod val="60000"/>
                  <a:lumOff val="40000"/>
                </a:schemeClr>
              </a:solidFill>
            </a:ln>
          </c:spPr>
          <c:marker>
            <c:symbol val="none"/>
          </c:marker>
          <c:cat>
            <c:strRef>
              <c:f>'Competitiveness '!$E$7:$Q$7</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'Competitiveness '!$E$13:$Q$13</c:f>
              <c:numCache>
                <c:formatCode>General</c:formatCode>
                <c:ptCount val="13"/>
                <c:pt idx="0">
                  <c:v>42</c:v>
                </c:pt>
                <c:pt idx="1">
                  <c:v>36</c:v>
                </c:pt>
                <c:pt idx="2">
                  <c:v>44</c:v>
                </c:pt>
                <c:pt idx="3">
                  <c:v>45</c:v>
                </c:pt>
                <c:pt idx="4">
                  <c:v>45</c:v>
                </c:pt>
                <c:pt idx="5">
                  <c:v>54</c:v>
                </c:pt>
                <c:pt idx="6">
                  <c:v>50</c:v>
                </c:pt>
                <c:pt idx="7">
                  <c:v>52</c:v>
                </c:pt>
                <c:pt idx="8">
                  <c:v>53</c:v>
                </c:pt>
                <c:pt idx="9">
                  <c:v>56</c:v>
                </c:pt>
                <c:pt idx="10">
                  <c:v>49</c:v>
                </c:pt>
                <c:pt idx="11">
                  <c:v>47</c:v>
                </c:pt>
                <c:pt idx="12">
                  <c:v>61</c:v>
                </c:pt>
              </c:numCache>
            </c:numRef>
          </c:val>
          <c:smooth val="0"/>
          <c:extLst>
            <c:ext xmlns:c16="http://schemas.microsoft.com/office/drawing/2014/chart" uri="{C3380CC4-5D6E-409C-BE32-E72D297353CC}">
              <c16:uniqueId val="{00000000-AD20-4743-B516-09BE7C154CF2}"/>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lineChart>
        <c:grouping val="standard"/>
        <c:varyColors val="0"/>
        <c:ser>
          <c:idx val="0"/>
          <c:order val="0"/>
          <c:tx>
            <c:strRef>
              <c:f>'[2]GDP Capita'!$D$9</c:f>
              <c:strCache>
                <c:ptCount val="1"/>
                <c:pt idx="0">
                  <c:v>Per Capita GDP</c:v>
                </c:pt>
              </c:strCache>
            </c:strRef>
          </c:tx>
          <c:spPr>
            <a:ln w="12700">
              <a:solidFill>
                <a:srgbClr val="000080"/>
              </a:solidFill>
              <a:prstDash val="solid"/>
            </a:ln>
          </c:spPr>
          <c:marker>
            <c:symbol val="none"/>
          </c:marker>
          <c:cat>
            <c:strRef>
              <c:f>'[2]GDP Capita'!$E$8:$Q$8</c:f>
              <c:strCach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strCache>
            </c:strRef>
          </c:cat>
          <c:val>
            <c:numRef>
              <c:f>'[2]GDP Capita'!$E$9:$Q$9</c:f>
              <c:numCache>
                <c:formatCode>General</c:formatCode>
                <c:ptCount val="13"/>
                <c:pt idx="0">
                  <c:v>1.1000000000000001</c:v>
                </c:pt>
                <c:pt idx="1">
                  <c:v>1</c:v>
                </c:pt>
                <c:pt idx="2">
                  <c:v>2.1</c:v>
                </c:pt>
                <c:pt idx="3">
                  <c:v>0.5</c:v>
                </c:pt>
                <c:pt idx="4">
                  <c:v>-1.6</c:v>
                </c:pt>
                <c:pt idx="5">
                  <c:v>0.2</c:v>
                </c:pt>
                <c:pt idx="6">
                  <c:v>2.1</c:v>
                </c:pt>
                <c:pt idx="7">
                  <c:v>0.8</c:v>
                </c:pt>
                <c:pt idx="8">
                  <c:v>1.9</c:v>
                </c:pt>
                <c:pt idx="9">
                  <c:v>1.5</c:v>
                </c:pt>
                <c:pt idx="10">
                  <c:v>3.4</c:v>
                </c:pt>
                <c:pt idx="11">
                  <c:v>3.6</c:v>
                </c:pt>
                <c:pt idx="12">
                  <c:v>4</c:v>
                </c:pt>
              </c:numCache>
            </c:numRef>
          </c:val>
          <c:smooth val="0"/>
          <c:extLst>
            <c:ext xmlns:c16="http://schemas.microsoft.com/office/drawing/2014/chart" uri="{C3380CC4-5D6E-409C-BE32-E72D297353CC}">
              <c16:uniqueId val="{00000000-B1CF-4603-A76C-AA476DE88F31}"/>
            </c:ext>
          </c:extLst>
        </c:ser>
        <c:dLbls>
          <c:showLegendKey val="0"/>
          <c:showVal val="0"/>
          <c:showCatName val="0"/>
          <c:showSerName val="0"/>
          <c:showPercent val="0"/>
          <c:showBubbleSize val="0"/>
        </c:dLbls>
        <c:smooth val="0"/>
        <c:axId val="397412112"/>
        <c:axId val="399074184"/>
      </c:lineChart>
      <c:catAx>
        <c:axId val="397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9074184"/>
        <c:crosses val="autoZero"/>
        <c:auto val="1"/>
        <c:lblAlgn val="ctr"/>
        <c:lblOffset val="100"/>
        <c:tickLblSkip val="1"/>
        <c:tickMarkSkip val="1"/>
        <c:noMultiLvlLbl val="0"/>
      </c:catAx>
      <c:valAx>
        <c:axId val="399074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112"/>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rPr>
              <a:t>SA Global competitiveness -IMD</a:t>
            </a:r>
            <a:endParaRPr lang="en-ZA" sz="1050">
              <a:effectLst/>
            </a:endParaRPr>
          </a:p>
        </c:rich>
      </c:tx>
      <c:layout>
        <c:manualLayout>
          <c:xMode val="edge"/>
          <c:yMode val="edge"/>
          <c:x val="0.27089297645894128"/>
          <c:y val="4.0016759953198623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marker>
            <c:symbol val="none"/>
          </c:marker>
          <c:cat>
            <c:numRef>
              <c:f>'Competitiveness '!$E$25:$R$25</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'Competitiveness '!$E$32:$R$32</c:f>
              <c:numCache>
                <c:formatCode>General</c:formatCode>
                <c:ptCount val="14"/>
                <c:pt idx="0">
                  <c:v>37</c:v>
                </c:pt>
                <c:pt idx="1">
                  <c:v>38</c:v>
                </c:pt>
                <c:pt idx="2">
                  <c:v>50</c:v>
                </c:pt>
                <c:pt idx="3">
                  <c:v>53</c:v>
                </c:pt>
                <c:pt idx="4">
                  <c:v>48</c:v>
                </c:pt>
                <c:pt idx="5">
                  <c:v>44</c:v>
                </c:pt>
                <c:pt idx="6">
                  <c:v>52</c:v>
                </c:pt>
                <c:pt idx="7">
                  <c:v>50</c:v>
                </c:pt>
                <c:pt idx="8">
                  <c:v>53</c:v>
                </c:pt>
                <c:pt idx="9">
                  <c:v>52</c:v>
                </c:pt>
                <c:pt idx="10">
                  <c:v>53</c:v>
                </c:pt>
                <c:pt idx="11">
                  <c:v>52</c:v>
                </c:pt>
                <c:pt idx="12">
                  <c:v>53</c:v>
                </c:pt>
                <c:pt idx="13">
                  <c:v>53</c:v>
                </c:pt>
              </c:numCache>
            </c:numRef>
          </c:val>
          <c:smooth val="0"/>
          <c:extLst>
            <c:ext xmlns:c16="http://schemas.microsoft.com/office/drawing/2014/chart" uri="{C3380CC4-5D6E-409C-BE32-E72D297353CC}">
              <c16:uniqueId val="{00000000-242D-47C0-9FDC-C3B3555CA878}"/>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TOTAL EMPLOYMENT</a:t>
            </a:r>
          </a:p>
        </c:rich>
      </c:tx>
      <c:layout>
        <c:manualLayout>
          <c:xMode val="edge"/>
          <c:yMode val="edge"/>
          <c:x val="3.5490459675323938E-2"/>
          <c:y val="1.4577368169887854E-2"/>
        </c:manualLayout>
      </c:layout>
      <c:overlay val="0"/>
      <c:spPr>
        <a:noFill/>
        <a:ln w="25400">
          <a:noFill/>
        </a:ln>
      </c:spPr>
    </c:title>
    <c:autoTitleDeleted val="0"/>
    <c:plotArea>
      <c:layout>
        <c:manualLayout>
          <c:layoutTarget val="inner"/>
          <c:xMode val="edge"/>
          <c:yMode val="edge"/>
          <c:x val="7.8337391288056904E-2"/>
          <c:y val="0.12419263456090654"/>
          <c:w val="0.9072748888973885"/>
          <c:h val="0.75823396013175404"/>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cat>
            <c:numRef>
              <c:f>'Employed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'Employed  '!$E$13:$U$13</c:f>
              <c:numCache>
                <c:formatCode>_ * #\ ##0_ ;_ * \-#\ ##0_ ;_ * "-"??_ ;_ @_ </c:formatCode>
                <c:ptCount val="17"/>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pt idx="15" formatCode="###\ ###\ ###\ ###">
                  <c:v>15780</c:v>
                </c:pt>
                <c:pt idx="16" formatCode="###\ ###\ ###\ ###">
                  <c:v>16169</c:v>
                </c:pt>
              </c:numCache>
            </c:numRef>
          </c:val>
          <c:smooth val="0"/>
          <c:extLst>
            <c:ext xmlns:c16="http://schemas.microsoft.com/office/drawing/2014/chart" uri="{C3380CC4-5D6E-409C-BE32-E72D297353CC}">
              <c16:uniqueId val="{00000000-AAB6-4DF1-9911-0921D7215B69}"/>
            </c:ext>
          </c:extLst>
        </c:ser>
        <c:dLbls>
          <c:showLegendKey val="0"/>
          <c:showVal val="0"/>
          <c:showCatName val="0"/>
          <c:showSerName val="0"/>
          <c:showPercent val="0"/>
          <c:showBubbleSize val="0"/>
        </c:dLbls>
        <c:smooth val="0"/>
        <c:axId val="400480088"/>
        <c:axId val="400478912"/>
      </c:lineChart>
      <c:catAx>
        <c:axId val="40048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78912"/>
        <c:crossesAt val="11000"/>
        <c:auto val="1"/>
        <c:lblAlgn val="ctr"/>
        <c:lblOffset val="100"/>
        <c:tickLblSkip val="1"/>
        <c:tickMarkSkip val="1"/>
        <c:noMultiLvlLbl val="0"/>
      </c:catAx>
      <c:valAx>
        <c:axId val="400478912"/>
        <c:scaling>
          <c:orientation val="minMax"/>
          <c:max val="16500"/>
          <c:min val="11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80088"/>
        <c:crosses val="autoZero"/>
        <c:crossBetween val="between"/>
        <c:majorUnit val="500"/>
        <c:minorUnit val="4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7460243940096"/>
          <c:y val="5.4248048539387105E-2"/>
          <c:w val="0.8641375636868921"/>
          <c:h val="0.77529868425537707"/>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val>
            <c:numRef>
              <c:f>'Employed  '!$E$13:$S$13</c:f>
              <c:numCache>
                <c:formatCode>_ * #\ ##0_ ;_ * \-#\ ##0_ ;_ * "-"??_ ;_ @_ </c:formatCode>
                <c:ptCount val="15"/>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'[34]Employed '!$E$102:$S$103</c15:sqref>
                        </c15:formulaRef>
                      </c:ext>
                    </c:extLst>
                    <c:multiLvlStrCache>
                      <c:ptCount val="15"/>
                      <c:lvl>
                        <c:pt idx="0">
                          <c:v>S</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lvl>
                        <c:pt idx="0">
                          <c:v>2001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multiLvlStrCache>
                  </c:multiLvlStrRef>
                </c15:cat>
              </c15:filteredCategoryTitle>
            </c:ext>
            <c:ext xmlns:c16="http://schemas.microsoft.com/office/drawing/2014/chart" uri="{C3380CC4-5D6E-409C-BE32-E72D297353CC}">
              <c16:uniqueId val="{00000000-B2BA-407F-8A15-67BB3FDBD50E}"/>
            </c:ext>
          </c:extLst>
        </c:ser>
        <c:dLbls>
          <c:showLegendKey val="0"/>
          <c:showVal val="0"/>
          <c:showCatName val="0"/>
          <c:showSerName val="0"/>
          <c:showPercent val="0"/>
          <c:showBubbleSize val="0"/>
        </c:dLbls>
        <c:smooth val="0"/>
        <c:axId val="400477736"/>
        <c:axId val="400474208"/>
      </c:lineChart>
      <c:catAx>
        <c:axId val="400477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0474208"/>
        <c:crossesAt val="11000"/>
        <c:auto val="1"/>
        <c:lblAlgn val="ctr"/>
        <c:lblOffset val="100"/>
        <c:tickLblSkip val="1"/>
        <c:tickMarkSkip val="1"/>
        <c:noMultiLvlLbl val="0"/>
      </c:catAx>
      <c:valAx>
        <c:axId val="400474208"/>
        <c:scaling>
          <c:orientation val="minMax"/>
          <c:max val="16000"/>
          <c:min val="11000"/>
        </c:scaling>
        <c:delete val="0"/>
        <c:axPos val="l"/>
        <c:majorGridlines>
          <c:spPr>
            <a:ln w="3175">
              <a:solidFill>
                <a:srgbClr val="969696"/>
              </a:solidFill>
              <a:prstDash val="sysDash"/>
            </a:ln>
          </c:spPr>
        </c:majorGridlines>
        <c:title>
          <c:tx>
            <c:rich>
              <a:bodyPr/>
              <a:lstStyle/>
              <a:p>
                <a:pPr>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a:pPr>
            <a:endParaRPr lang="en-US"/>
          </a:p>
        </c:txPr>
        <c:crossAx val="400477736"/>
        <c:crosses val="autoZero"/>
        <c:crossBetween val="between"/>
        <c:majorUnit val="500"/>
        <c:minorUnit val="4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88" r="0.75000000000000588"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1837243944392E-2"/>
          <c:y val="0.12738726533271627"/>
          <c:w val="0.90312608027655084"/>
          <c:h val="0.66822858484971714"/>
        </c:manualLayout>
      </c:layout>
      <c:lineChart>
        <c:grouping val="standard"/>
        <c:varyColors val="0"/>
        <c:ser>
          <c:idx val="1"/>
          <c:order val="0"/>
          <c:tx>
            <c:strRef>
              <c:f>'Unempl '!$D$77</c:f>
              <c:strCache>
                <c:ptCount val="1"/>
                <c:pt idx="0">
                  <c:v>15 - 24</c:v>
                </c:pt>
              </c:strCache>
            </c:strRef>
          </c:tx>
          <c:spPr>
            <a:ln w="15875"/>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'!$E$77:$U$77</c:f>
              <c:numCache>
                <c:formatCode>0.0</c:formatCode>
                <c:ptCount val="17"/>
                <c:pt idx="0">
                  <c:v>49.556608498903657</c:v>
                </c:pt>
                <c:pt idx="1">
                  <c:v>52.365488698625505</c:v>
                </c:pt>
                <c:pt idx="2">
                  <c:v>54.827733170732408</c:v>
                </c:pt>
                <c:pt idx="3">
                  <c:v>51.047144480847152</c:v>
                </c:pt>
                <c:pt idx="4">
                  <c:v>48.313051977952036</c:v>
                </c:pt>
                <c:pt idx="5">
                  <c:v>46.662747889266548</c:v>
                </c:pt>
                <c:pt idx="6">
                  <c:v>46.483378566700999</c:v>
                </c:pt>
                <c:pt idx="7">
                  <c:v>45.61432465079168</c:v>
                </c:pt>
                <c:pt idx="8">
                  <c:v>48.335652094750827</c:v>
                </c:pt>
                <c:pt idx="9">
                  <c:v>51.211586095188466</c:v>
                </c:pt>
                <c:pt idx="10">
                  <c:v>50.281651701226124</c:v>
                </c:pt>
                <c:pt idx="11">
                  <c:v>51.698207753618561</c:v>
                </c:pt>
                <c:pt idx="12">
                  <c:v>51.425685294707677</c:v>
                </c:pt>
                <c:pt idx="13">
                  <c:v>51.290864961635428</c:v>
                </c:pt>
                <c:pt idx="14">
                  <c:v>50.130442400407723</c:v>
                </c:pt>
                <c:pt idx="15">
                  <c:v>53.348435626122793</c:v>
                </c:pt>
                <c:pt idx="16">
                  <c:v>53.393903405785714</c:v>
                </c:pt>
              </c:numCache>
            </c:numRef>
          </c:val>
          <c:smooth val="0"/>
          <c:extLst>
            <c:ext xmlns:c16="http://schemas.microsoft.com/office/drawing/2014/chart" uri="{C3380CC4-5D6E-409C-BE32-E72D297353CC}">
              <c16:uniqueId val="{00000000-348A-4395-80DE-B41B4462A6FE}"/>
            </c:ext>
          </c:extLst>
        </c:ser>
        <c:ser>
          <c:idx val="2"/>
          <c:order val="1"/>
          <c:tx>
            <c:strRef>
              <c:f>'Unempl '!$D$78</c:f>
              <c:strCache>
                <c:ptCount val="1"/>
                <c:pt idx="0">
                  <c:v>25 - 34</c:v>
                </c:pt>
              </c:strCache>
            </c:strRef>
          </c:tx>
          <c:spPr>
            <a:ln w="25400">
              <a:solidFill>
                <a:srgbClr val="BE4B48"/>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'!$E$78:$U$78</c:f>
              <c:numCache>
                <c:formatCode>0.0</c:formatCode>
                <c:ptCount val="17"/>
                <c:pt idx="0">
                  <c:v>30.006583046640955</c:v>
                </c:pt>
                <c:pt idx="1">
                  <c:v>31.279821135541802</c:v>
                </c:pt>
                <c:pt idx="2">
                  <c:v>31.050283981445975</c:v>
                </c:pt>
                <c:pt idx="3">
                  <c:v>28.60780720592475</c:v>
                </c:pt>
                <c:pt idx="4">
                  <c:v>28.082964613263144</c:v>
                </c:pt>
                <c:pt idx="5">
                  <c:v>25.955049151476818</c:v>
                </c:pt>
                <c:pt idx="6">
                  <c:v>26.009564159105924</c:v>
                </c:pt>
                <c:pt idx="7">
                  <c:v>25.840552427776831</c:v>
                </c:pt>
                <c:pt idx="8">
                  <c:v>28.082684668804671</c:v>
                </c:pt>
                <c:pt idx="9">
                  <c:v>29.261616346284651</c:v>
                </c:pt>
                <c:pt idx="10">
                  <c:v>29.899373983783157</c:v>
                </c:pt>
                <c:pt idx="11">
                  <c:v>29.565182557813518</c:v>
                </c:pt>
                <c:pt idx="12">
                  <c:v>29.111088787376804</c:v>
                </c:pt>
                <c:pt idx="13">
                  <c:v>30.077564142101188</c:v>
                </c:pt>
                <c:pt idx="14">
                  <c:v>30.186378438074414</c:v>
                </c:pt>
                <c:pt idx="15">
                  <c:v>31.664757250929309</c:v>
                </c:pt>
                <c:pt idx="16">
                  <c:v>33.056109109497648</c:v>
                </c:pt>
              </c:numCache>
            </c:numRef>
          </c:val>
          <c:smooth val="0"/>
          <c:extLst>
            <c:ext xmlns:c16="http://schemas.microsoft.com/office/drawing/2014/chart" uri="{C3380CC4-5D6E-409C-BE32-E72D297353CC}">
              <c16:uniqueId val="{00000001-348A-4395-80DE-B41B4462A6FE}"/>
            </c:ext>
          </c:extLst>
        </c:ser>
        <c:ser>
          <c:idx val="3"/>
          <c:order val="2"/>
          <c:tx>
            <c:strRef>
              <c:f>'Unempl '!$D$79</c:f>
              <c:strCache>
                <c:ptCount val="1"/>
                <c:pt idx="0">
                  <c:v>35 - 44</c:v>
                </c:pt>
              </c:strCache>
            </c:strRef>
          </c:tx>
          <c:spPr>
            <a:ln w="25400">
              <a:solidFill>
                <a:srgbClr val="FFC600"/>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'!$E$79:$U$79</c:f>
              <c:numCache>
                <c:formatCode>0.0</c:formatCode>
                <c:ptCount val="17"/>
                <c:pt idx="0">
                  <c:v>15.348552168548469</c:v>
                </c:pt>
                <c:pt idx="1">
                  <c:v>16.727720869361381</c:v>
                </c:pt>
                <c:pt idx="2">
                  <c:v>16.436128287012679</c:v>
                </c:pt>
                <c:pt idx="3">
                  <c:v>15.309559486335328</c:v>
                </c:pt>
                <c:pt idx="4">
                  <c:v>14.705728618206923</c:v>
                </c:pt>
                <c:pt idx="5">
                  <c:v>14.734966545056366</c:v>
                </c:pt>
                <c:pt idx="6">
                  <c:v>13.512775447998388</c:v>
                </c:pt>
                <c:pt idx="7">
                  <c:v>15.955901048925055</c:v>
                </c:pt>
                <c:pt idx="8">
                  <c:v>16.584563029049672</c:v>
                </c:pt>
                <c:pt idx="9">
                  <c:v>17.693728516011891</c:v>
                </c:pt>
                <c:pt idx="10">
                  <c:v>18.090229302861054</c:v>
                </c:pt>
                <c:pt idx="11">
                  <c:v>18.187009451508718</c:v>
                </c:pt>
                <c:pt idx="12">
                  <c:v>18.588248762915565</c:v>
                </c:pt>
                <c:pt idx="13">
                  <c:v>19.094579058322445</c:v>
                </c:pt>
                <c:pt idx="14">
                  <c:v>19.518242457226449</c:v>
                </c:pt>
                <c:pt idx="15">
                  <c:v>21.140483132434824</c:v>
                </c:pt>
                <c:pt idx="16">
                  <c:v>21.985828119422994</c:v>
                </c:pt>
              </c:numCache>
            </c:numRef>
          </c:val>
          <c:smooth val="0"/>
          <c:extLst>
            <c:ext xmlns:c16="http://schemas.microsoft.com/office/drawing/2014/chart" uri="{C3380CC4-5D6E-409C-BE32-E72D297353CC}">
              <c16:uniqueId val="{00000002-348A-4395-80DE-B41B4462A6FE}"/>
            </c:ext>
          </c:extLst>
        </c:ser>
        <c:ser>
          <c:idx val="4"/>
          <c:order val="3"/>
          <c:tx>
            <c:strRef>
              <c:f>'Unempl '!$D$80</c:f>
              <c:strCache>
                <c:ptCount val="1"/>
                <c:pt idx="0">
                  <c:v>45 - 54</c:v>
                </c:pt>
              </c:strCache>
            </c:strRef>
          </c:tx>
          <c:spPr>
            <a:ln w="25400">
              <a:solidFill>
                <a:srgbClr val="00B050"/>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'!$E$80:$U$80</c:f>
              <c:numCache>
                <c:formatCode>0.0</c:formatCode>
                <c:ptCount val="17"/>
                <c:pt idx="0">
                  <c:v>11.413586942521773</c:v>
                </c:pt>
                <c:pt idx="1">
                  <c:v>13.255828788899427</c:v>
                </c:pt>
                <c:pt idx="2">
                  <c:v>12.562898806553372</c:v>
                </c:pt>
                <c:pt idx="3">
                  <c:v>10.643161935657966</c:v>
                </c:pt>
                <c:pt idx="4">
                  <c:v>10.560847323939962</c:v>
                </c:pt>
                <c:pt idx="5">
                  <c:v>9.9807886244265802</c:v>
                </c:pt>
                <c:pt idx="6">
                  <c:v>10.378274219367707</c:v>
                </c:pt>
                <c:pt idx="7">
                  <c:v>10.262524243664069</c:v>
                </c:pt>
                <c:pt idx="8">
                  <c:v>11.216521355769235</c:v>
                </c:pt>
                <c:pt idx="9">
                  <c:v>12.601007273356682</c:v>
                </c:pt>
                <c:pt idx="10">
                  <c:v>12.601867539017034</c:v>
                </c:pt>
                <c:pt idx="11">
                  <c:v>12.80590961334333</c:v>
                </c:pt>
                <c:pt idx="12">
                  <c:v>12.769495079856002</c:v>
                </c:pt>
                <c:pt idx="13">
                  <c:v>13.374628573906866</c:v>
                </c:pt>
                <c:pt idx="14">
                  <c:v>14.07522840397036</c:v>
                </c:pt>
                <c:pt idx="15">
                  <c:v>14.843637471922699</c:v>
                </c:pt>
                <c:pt idx="16">
                  <c:v>15.920460816512314</c:v>
                </c:pt>
              </c:numCache>
            </c:numRef>
          </c:val>
          <c:smooth val="0"/>
          <c:extLst>
            <c:ext xmlns:c16="http://schemas.microsoft.com/office/drawing/2014/chart" uri="{C3380CC4-5D6E-409C-BE32-E72D297353CC}">
              <c16:uniqueId val="{00000003-348A-4395-80DE-B41B4462A6FE}"/>
            </c:ext>
          </c:extLst>
        </c:ser>
        <c:ser>
          <c:idx val="5"/>
          <c:order val="4"/>
          <c:tx>
            <c:strRef>
              <c:f>'Unempl '!$D$81</c:f>
              <c:strCache>
                <c:ptCount val="1"/>
                <c:pt idx="0">
                  <c:v>55 - 64</c:v>
                </c:pt>
              </c:strCache>
            </c:strRef>
          </c:tx>
          <c:spPr>
            <a:ln w="25400">
              <a:solidFill>
                <a:srgbClr val="3D96AE"/>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'!$E$81:$U$81</c:f>
              <c:numCache>
                <c:formatCode>0.0</c:formatCode>
                <c:ptCount val="17"/>
                <c:pt idx="0">
                  <c:v>8.3886179986402318</c:v>
                </c:pt>
                <c:pt idx="1">
                  <c:v>9.2104286438743177</c:v>
                </c:pt>
                <c:pt idx="2">
                  <c:v>8.3836251103396613</c:v>
                </c:pt>
                <c:pt idx="3">
                  <c:v>6.458066643082133</c:v>
                </c:pt>
                <c:pt idx="4">
                  <c:v>6.9382843179818439</c:v>
                </c:pt>
                <c:pt idx="5">
                  <c:v>5.1909668005062457</c:v>
                </c:pt>
                <c:pt idx="6">
                  <c:v>5.6456566792137934</c:v>
                </c:pt>
                <c:pt idx="7">
                  <c:v>6.7434230431741833</c:v>
                </c:pt>
                <c:pt idx="8">
                  <c:v>6.248783077057853</c:v>
                </c:pt>
                <c:pt idx="9">
                  <c:v>7.5805969331481302</c:v>
                </c:pt>
                <c:pt idx="10">
                  <c:v>6.209235517416734</c:v>
                </c:pt>
                <c:pt idx="11">
                  <c:v>7.0401361858174418</c:v>
                </c:pt>
                <c:pt idx="12">
                  <c:v>7.6987400495165517</c:v>
                </c:pt>
                <c:pt idx="13">
                  <c:v>7.6526536126624354</c:v>
                </c:pt>
                <c:pt idx="14">
                  <c:v>8.694483992374046</c:v>
                </c:pt>
                <c:pt idx="15">
                  <c:v>9.0434368930705578</c:v>
                </c:pt>
                <c:pt idx="16">
                  <c:v>9.4892141374650567</c:v>
                </c:pt>
              </c:numCache>
            </c:numRef>
          </c:val>
          <c:smooth val="0"/>
          <c:extLst>
            <c:ext xmlns:c16="http://schemas.microsoft.com/office/drawing/2014/chart" uri="{C3380CC4-5D6E-409C-BE32-E72D297353CC}">
              <c16:uniqueId val="{00000004-348A-4395-80DE-B41B4462A6FE}"/>
            </c:ext>
          </c:extLst>
        </c:ser>
        <c:ser>
          <c:idx val="0"/>
          <c:order val="5"/>
          <c:tx>
            <c:strRef>
              <c:f>'Unempl '!$E$6</c:f>
              <c:strCache>
                <c:ptCount val="1"/>
                <c:pt idx="0">
                  <c:v>Unemployment (broad and narrow)</c:v>
                </c:pt>
              </c:strCache>
            </c:strRef>
          </c:tx>
          <c:spPr>
            <a:ln>
              <a:solidFill>
                <a:schemeClr val="tx1"/>
              </a:solidFill>
            </a:ln>
          </c:spPr>
          <c:marker>
            <c:symbol val="none"/>
          </c:marker>
          <c:cat>
            <c:numRef>
              <c:f>'Unempl '!$E$7:$U$7</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'Unempl '!$E$8:$U$8</c:f>
              <c:numCache>
                <c:formatCode>0.0</c:formatCode>
                <c:ptCount val="17"/>
                <c:pt idx="0">
                  <c:v>25.370740413489695</c:v>
                </c:pt>
                <c:pt idx="1">
                  <c:v>27.18050850150826</c:v>
                </c:pt>
                <c:pt idx="2">
                  <c:v>27.11576670202453</c:v>
                </c:pt>
                <c:pt idx="3">
                  <c:v>24.7</c:v>
                </c:pt>
                <c:pt idx="4">
                  <c:v>23.8</c:v>
                </c:pt>
                <c:pt idx="5">
                  <c:v>22.6</c:v>
                </c:pt>
                <c:pt idx="6">
                  <c:v>22.3</c:v>
                </c:pt>
                <c:pt idx="7">
                  <c:v>22.5</c:v>
                </c:pt>
                <c:pt idx="8">
                  <c:v>23.7</c:v>
                </c:pt>
                <c:pt idx="9">
                  <c:v>24.9</c:v>
                </c:pt>
                <c:pt idx="10">
                  <c:v>24.8</c:v>
                </c:pt>
                <c:pt idx="11">
                  <c:v>24.9</c:v>
                </c:pt>
                <c:pt idx="12">
                  <c:v>24.7</c:v>
                </c:pt>
                <c:pt idx="13">
                  <c:v>25.1</c:v>
                </c:pt>
                <c:pt idx="14">
                  <c:v>25.3</c:v>
                </c:pt>
                <c:pt idx="15">
                  <c:v>26.7</c:v>
                </c:pt>
                <c:pt idx="16">
                  <c:v>27.5</c:v>
                </c:pt>
              </c:numCache>
            </c:numRef>
          </c:val>
          <c:smooth val="0"/>
          <c:extLst>
            <c:ext xmlns:c16="http://schemas.microsoft.com/office/drawing/2014/chart" uri="{C3380CC4-5D6E-409C-BE32-E72D297353CC}">
              <c16:uniqueId val="{00000005-348A-4395-80DE-B41B4462A6FE}"/>
            </c:ext>
          </c:extLst>
        </c:ser>
        <c:dLbls>
          <c:showLegendKey val="0"/>
          <c:showVal val="0"/>
          <c:showCatName val="0"/>
          <c:showSerName val="0"/>
          <c:showPercent val="0"/>
          <c:showBubbleSize val="0"/>
        </c:dLbls>
        <c:smooth val="0"/>
        <c:axId val="400475384"/>
        <c:axId val="400476952"/>
      </c:lineChart>
      <c:catAx>
        <c:axId val="400475384"/>
        <c:scaling>
          <c:orientation val="minMax"/>
        </c:scaling>
        <c:delete val="0"/>
        <c:axPos val="b"/>
        <c:numFmt formatCode="General" sourceLinked="1"/>
        <c:majorTickMark val="out"/>
        <c:minorTickMark val="none"/>
        <c:tickLblPos val="nextTo"/>
        <c:txPr>
          <a:bodyPr rot="0" vert="horz"/>
          <a:lstStyle/>
          <a:p>
            <a:pPr>
              <a:defRPr sz="800" baseline="0">
                <a:latin typeface="Arial" panose="020B0604020202020204" pitchFamily="34" charset="0"/>
              </a:defRPr>
            </a:pPr>
            <a:endParaRPr lang="en-US"/>
          </a:p>
        </c:txPr>
        <c:crossAx val="400476952"/>
        <c:crosses val="autoZero"/>
        <c:auto val="1"/>
        <c:lblAlgn val="ctr"/>
        <c:lblOffset val="100"/>
        <c:noMultiLvlLbl val="0"/>
      </c:catAx>
      <c:valAx>
        <c:axId val="400476952"/>
        <c:scaling>
          <c:orientation val="minMax"/>
        </c:scaling>
        <c:delete val="0"/>
        <c:axPos val="l"/>
        <c:majorGridlines>
          <c:spPr>
            <a:ln>
              <a:solidFill>
                <a:sysClr val="window" lastClr="FFFFFF">
                  <a:lumMod val="65000"/>
                </a:sysClr>
              </a:solidFill>
              <a:prstDash val="dash"/>
            </a:ln>
          </c:spPr>
        </c:majorGridlines>
        <c:title>
          <c:tx>
            <c:rich>
              <a:bodyPr/>
              <a:lstStyle/>
              <a:p>
                <a:pPr>
                  <a:defRPr sz="800" baseline="0">
                    <a:latin typeface="Arial" panose="020B0604020202020204" pitchFamily="34" charset="0"/>
                  </a:defRPr>
                </a:pPr>
                <a:r>
                  <a:rPr lang="en-ZA" sz="800" baseline="0">
                    <a:latin typeface="Arial" panose="020B0604020202020204" pitchFamily="34" charset="0"/>
                  </a:rPr>
                  <a:t>%</a:t>
                </a:r>
              </a:p>
            </c:rich>
          </c:tx>
          <c:layout>
            <c:manualLayout>
              <c:xMode val="edge"/>
              <c:yMode val="edge"/>
              <c:x val="1.6052912216286574E-2"/>
              <c:y val="0.41579694444516263"/>
            </c:manualLayout>
          </c:layout>
          <c:overlay val="0"/>
        </c:title>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0475384"/>
        <c:crosses val="autoZero"/>
        <c:crossBetween val="between"/>
      </c:valAx>
    </c:plotArea>
    <c:legend>
      <c:legendPos val="r"/>
      <c:legendEntry>
        <c:idx val="0"/>
        <c:delete val="1"/>
      </c:legendEntry>
      <c:layout>
        <c:manualLayout>
          <c:xMode val="edge"/>
          <c:yMode val="edge"/>
          <c:x val="5.6393476628040992E-2"/>
          <c:y val="0.90278026057553606"/>
          <c:w val="0.66066001569479493"/>
          <c:h val="9.7219766589228568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4026018486821"/>
          <c:y val="2.6812918951858621E-2"/>
          <c:w val="0.86338904738357003"/>
          <c:h val="0.91212272140571093"/>
        </c:manualLayout>
      </c:layout>
      <c:lineChart>
        <c:grouping val="standard"/>
        <c:varyColors val="0"/>
        <c:ser>
          <c:idx val="0"/>
          <c:order val="0"/>
          <c:spPr>
            <a:ln w="47625" cap="rnd">
              <a:solidFill>
                <a:schemeClr val="accent2">
                  <a:lumMod val="60000"/>
                  <a:lumOff val="40000"/>
                </a:schemeClr>
              </a:solidFill>
              <a:round/>
            </a:ln>
            <a:effectLst/>
          </c:spPr>
          <c:marker>
            <c:symbol val="none"/>
          </c:marker>
          <c:cat>
            <c:strRef>
              <c:f>'EPWP '!$E$7:$Q$7</c:f>
              <c:strCache>
                <c:ptCount val="13"/>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strCache>
            </c:strRef>
          </c:cat>
          <c:val>
            <c:numRef>
              <c:f>'EPWP '!$E$16:$Q$16</c:f>
              <c:numCache>
                <c:formatCode>#\ ###\ ##0</c:formatCode>
                <c:ptCount val="13"/>
                <c:pt idx="0">
                  <c:v>223410</c:v>
                </c:pt>
                <c:pt idx="1">
                  <c:v>866529</c:v>
                </c:pt>
                <c:pt idx="2">
                  <c:v>1089939</c:v>
                </c:pt>
                <c:pt idx="3" formatCode="_ * #\ ##0_ ;_ * \-#\ ##0_ ;_ * &quot;-&quot;??_ ;_ @_ ">
                  <c:v>1233995</c:v>
                </c:pt>
                <c:pt idx="4" formatCode="_ * #\ ##0_ ;_ * \-#\ ##0_ ;_ * &quot;-&quot;??_ ;_ @_ ">
                  <c:v>1804810</c:v>
                </c:pt>
                <c:pt idx="5" formatCode="_ * #\ ##0_ ;_ * \-#\ ##0_ ;_ * &quot;-&quot;??_ ;_ @_ ">
                  <c:v>2430669</c:v>
                </c:pt>
                <c:pt idx="6" formatCode="_ * #\ ##0_ ;_ * \-#\ ##0_ ;_ * &quot;-&quot;??_ ;_ @_ ">
                  <c:v>3073785</c:v>
                </c:pt>
                <c:pt idx="7" formatCode="_ * #\ ##0_ ;_ * \-#\ ##0_ ;_ * &quot;-&quot;??_ ;_ @_ ">
                  <c:v>3917244</c:v>
                </c:pt>
                <c:pt idx="8" formatCode="_ * #\ ##0_ ;_ * \-#\ ##0_ ;_ * &quot;-&quot;??_ ;_ @_ ">
                  <c:v>4858837</c:v>
                </c:pt>
                <c:pt idx="9" formatCode="_ * #\ ##0_ ;_ * \-#\ ##0_ ;_ * &quot;-&quot;??_ ;_ @_ ">
                  <c:v>5876102</c:v>
                </c:pt>
                <c:pt idx="10" formatCode="_ * #\ ##0_ ;_ * \-#\ ##0_ ;_ * &quot;-&quot;??_ ;_ @_ ">
                  <c:v>6980085</c:v>
                </c:pt>
                <c:pt idx="11" formatCode="_ * #\ ##0_ ;_ * \-#\ ##0_ ;_ * &quot;-&quot;??_ ;_ @_ ">
                  <c:v>7721625</c:v>
                </c:pt>
                <c:pt idx="12" formatCode="_ * #\ ##0_ ;_ * \-#\ ##0_ ;_ * &quot;-&quot;??_ ;_ @_ ">
                  <c:v>8500870</c:v>
                </c:pt>
              </c:numCache>
            </c:numRef>
          </c:val>
          <c:smooth val="0"/>
          <c:extLst>
            <c:ext xmlns:c16="http://schemas.microsoft.com/office/drawing/2014/chart" uri="{C3380CC4-5D6E-409C-BE32-E72D297353CC}">
              <c16:uniqueId val="{00000000-15CC-4046-8D67-7EF84737B6CC}"/>
            </c:ext>
          </c:extLst>
        </c:ser>
        <c:dLbls>
          <c:showLegendKey val="0"/>
          <c:showVal val="0"/>
          <c:showCatName val="0"/>
          <c:showSerName val="0"/>
          <c:showPercent val="0"/>
          <c:showBubbleSize val="0"/>
        </c:dLbls>
        <c:smooth val="0"/>
        <c:axId val="2121225392"/>
        <c:axId val="2121225808"/>
      </c:lineChart>
      <c:catAx>
        <c:axId val="21212253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121225808"/>
        <c:crosses val="autoZero"/>
        <c:auto val="1"/>
        <c:lblAlgn val="ctr"/>
        <c:lblOffset val="100"/>
        <c:noMultiLvlLbl val="0"/>
      </c:catAx>
      <c:valAx>
        <c:axId val="2121225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ZA" sz="1100" b="1"/>
                  <a:t>Work</a:t>
                </a:r>
                <a:r>
                  <a:rPr lang="en-ZA" sz="1100" b="1" baseline="0"/>
                  <a:t> opportunities</a:t>
                </a:r>
                <a:endParaRPr lang="en-ZA" sz="1100" b="1"/>
              </a:p>
            </c:rich>
          </c:tx>
          <c:layout>
            <c:manualLayout>
              <c:xMode val="edge"/>
              <c:yMode val="edge"/>
              <c:x val="2.0611916264090178E-2"/>
              <c:y val="0.4361101114645861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 ##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122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390084471676737E-2"/>
          <c:y val="4.1522491349480967E-2"/>
          <c:w val="0.94652210501416956"/>
          <c:h val="0.74482994124004398"/>
        </c:manualLayout>
      </c:layout>
      <c:barChart>
        <c:barDir val="col"/>
        <c:grouping val="clustered"/>
        <c:varyColors val="0"/>
        <c:ser>
          <c:idx val="5"/>
          <c:order val="0"/>
          <c:tx>
            <c:strRef>
              <c:f>'BM  '!$D$48</c:f>
              <c:strCache>
                <c:ptCount val="1"/>
                <c:pt idx="0">
                  <c:v>Black Top managers</c:v>
                </c:pt>
              </c:strCache>
            </c:strRef>
          </c:tx>
          <c:spPr>
            <a:solidFill>
              <a:srgbClr val="FCD5B5"/>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'!$E$48:$U$48</c:f>
              <c:numCache>
                <c:formatCode>0.0%</c:formatCode>
                <c:ptCount val="17"/>
                <c:pt idx="0">
                  <c:v>0.127</c:v>
                </c:pt>
                <c:pt idx="1">
                  <c:v>0.251</c:v>
                </c:pt>
                <c:pt idx="2">
                  <c:v>0.184</c:v>
                </c:pt>
                <c:pt idx="3">
                  <c:v>0.23799999999999996</c:v>
                </c:pt>
                <c:pt idx="4">
                  <c:v>0.21100000000000002</c:v>
                </c:pt>
                <c:pt idx="5">
                  <c:v>0.27199999999999996</c:v>
                </c:pt>
                <c:pt idx="6">
                  <c:v>0.222</c:v>
                </c:pt>
                <c:pt idx="7">
                  <c:v>0.28799999999999998</c:v>
                </c:pt>
                <c:pt idx="8">
                  <c:v>0.24200000000000002</c:v>
                </c:pt>
                <c:pt idx="9">
                  <c:v>0.32200000000000001</c:v>
                </c:pt>
                <c:pt idx="10">
                  <c:v>0.24099999999999999</c:v>
                </c:pt>
                <c:pt idx="11">
                  <c:v>0.308</c:v>
                </c:pt>
                <c:pt idx="12">
                  <c:v>0.24199999999999999</c:v>
                </c:pt>
                <c:pt idx="13">
                  <c:v>0.33299999999999996</c:v>
                </c:pt>
                <c:pt idx="14">
                  <c:v>0.26700000000000002</c:v>
                </c:pt>
                <c:pt idx="15">
                  <c:v>0.27600000000000002</c:v>
                </c:pt>
                <c:pt idx="16">
                  <c:v>0.28100000000000003</c:v>
                </c:pt>
              </c:numCache>
            </c:numRef>
          </c:val>
          <c:extLst>
            <c:ext xmlns:c16="http://schemas.microsoft.com/office/drawing/2014/chart" uri="{C3380CC4-5D6E-409C-BE32-E72D297353CC}">
              <c16:uniqueId val="{00000000-C300-47A5-8909-5CE148B310A0}"/>
            </c:ext>
          </c:extLst>
        </c:ser>
        <c:ser>
          <c:idx val="6"/>
          <c:order val="1"/>
          <c:tx>
            <c:strRef>
              <c:f>'BM  '!$D$49</c:f>
              <c:strCache>
                <c:ptCount val="1"/>
                <c:pt idx="0">
                  <c:v>Black Senior Managers</c:v>
                </c:pt>
              </c:strCache>
            </c:strRef>
          </c:tx>
          <c:spPr>
            <a:solidFill>
              <a:srgbClr val="F8A662"/>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'!$E$49:$U$49</c:f>
              <c:numCache>
                <c:formatCode>0.0%</c:formatCode>
                <c:ptCount val="17"/>
                <c:pt idx="0">
                  <c:v>0.185</c:v>
                </c:pt>
                <c:pt idx="1">
                  <c:v>0.191</c:v>
                </c:pt>
                <c:pt idx="2">
                  <c:v>0.22800000000000001</c:v>
                </c:pt>
                <c:pt idx="3">
                  <c:v>0.27300000000000002</c:v>
                </c:pt>
                <c:pt idx="4">
                  <c:v>0.25700000000000001</c:v>
                </c:pt>
                <c:pt idx="5">
                  <c:v>0.27500000000000002</c:v>
                </c:pt>
                <c:pt idx="6">
                  <c:v>0.26899999999999996</c:v>
                </c:pt>
                <c:pt idx="7">
                  <c:v>0.32400000000000007</c:v>
                </c:pt>
                <c:pt idx="8">
                  <c:v>0.32500000000000001</c:v>
                </c:pt>
                <c:pt idx="9">
                  <c:v>0.35499999999999998</c:v>
                </c:pt>
                <c:pt idx="10">
                  <c:v>0.24099999999999999</c:v>
                </c:pt>
                <c:pt idx="11">
                  <c:v>0.29399999999999998</c:v>
                </c:pt>
                <c:pt idx="12">
                  <c:v>0.35</c:v>
                </c:pt>
                <c:pt idx="13">
                  <c:v>0.40100000000000002</c:v>
                </c:pt>
                <c:pt idx="14">
                  <c:v>0.376</c:v>
                </c:pt>
                <c:pt idx="15">
                  <c:v>0.38800000000000001</c:v>
                </c:pt>
                <c:pt idx="16">
                  <c:v>0.40400000000000003</c:v>
                </c:pt>
              </c:numCache>
            </c:numRef>
          </c:val>
          <c:extLst>
            <c:ext xmlns:c16="http://schemas.microsoft.com/office/drawing/2014/chart" uri="{C3380CC4-5D6E-409C-BE32-E72D297353CC}">
              <c16:uniqueId val="{00000001-C300-47A5-8909-5CE148B310A0}"/>
            </c:ext>
          </c:extLst>
        </c:ser>
        <c:ser>
          <c:idx val="7"/>
          <c:order val="2"/>
          <c:tx>
            <c:strRef>
              <c:f>'BM  '!$D$53</c:f>
              <c:strCache>
                <c:ptCount val="1"/>
                <c:pt idx="0">
                  <c:v>Female Top Managers</c:v>
                </c:pt>
              </c:strCache>
            </c:strRef>
          </c:tx>
          <c:spPr>
            <a:solidFill>
              <a:srgbClr val="E46C0A"/>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'!$E$53:$U$53</c:f>
              <c:numCache>
                <c:formatCode>0.0%</c:formatCode>
                <c:ptCount val="17"/>
                <c:pt idx="0">
                  <c:v>0.124</c:v>
                </c:pt>
                <c:pt idx="1">
                  <c:v>0.11899999999999999</c:v>
                </c:pt>
                <c:pt idx="2">
                  <c:v>0.13700000000000001</c:v>
                </c:pt>
                <c:pt idx="3">
                  <c:v>0.14000000000000001</c:v>
                </c:pt>
                <c:pt idx="4">
                  <c:v>0.151</c:v>
                </c:pt>
                <c:pt idx="5">
                  <c:v>0.17</c:v>
                </c:pt>
                <c:pt idx="6">
                  <c:v>0.216</c:v>
                </c:pt>
                <c:pt idx="7">
                  <c:v>0.20599999999999999</c:v>
                </c:pt>
                <c:pt idx="8">
                  <c:v>0.182</c:v>
                </c:pt>
                <c:pt idx="9">
                  <c:v>0.184</c:v>
                </c:pt>
                <c:pt idx="10">
                  <c:v>0.19</c:v>
                </c:pt>
                <c:pt idx="11">
                  <c:v>0.19</c:v>
                </c:pt>
                <c:pt idx="12">
                  <c:v>0.19800000000000001</c:v>
                </c:pt>
                <c:pt idx="13">
                  <c:v>0.20599999999999999</c:v>
                </c:pt>
                <c:pt idx="14">
                  <c:v>0.20899999999999999</c:v>
                </c:pt>
                <c:pt idx="15">
                  <c:v>0.214</c:v>
                </c:pt>
                <c:pt idx="16">
                  <c:v>0.22</c:v>
                </c:pt>
              </c:numCache>
            </c:numRef>
          </c:val>
          <c:extLst>
            <c:ext xmlns:c16="http://schemas.microsoft.com/office/drawing/2014/chart" uri="{C3380CC4-5D6E-409C-BE32-E72D297353CC}">
              <c16:uniqueId val="{00000002-C300-47A5-8909-5CE148B310A0}"/>
            </c:ext>
          </c:extLst>
        </c:ser>
        <c:ser>
          <c:idx val="8"/>
          <c:order val="3"/>
          <c:tx>
            <c:strRef>
              <c:f>'BM  '!$D$54</c:f>
              <c:strCache>
                <c:ptCount val="1"/>
                <c:pt idx="0">
                  <c:v>Female Senior Managers</c:v>
                </c:pt>
              </c:strCache>
            </c:strRef>
          </c:tx>
          <c:spPr>
            <a:solidFill>
              <a:srgbClr val="984807"/>
            </a:solidFill>
          </c:spPr>
          <c:invertIfNegative val="0"/>
          <c:cat>
            <c:strRef>
              <c:f>'BM  '!$E$47:$U$47</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'BM  '!$E$54:$U$54</c:f>
              <c:numCache>
                <c:formatCode>0.0%</c:formatCode>
                <c:ptCount val="17"/>
                <c:pt idx="0">
                  <c:v>0.21</c:v>
                </c:pt>
                <c:pt idx="1">
                  <c:v>0.17699999999999999</c:v>
                </c:pt>
                <c:pt idx="2">
                  <c:v>0.216</c:v>
                </c:pt>
                <c:pt idx="3">
                  <c:v>0.223</c:v>
                </c:pt>
                <c:pt idx="4">
                  <c:v>0.23699999999999999</c:v>
                </c:pt>
                <c:pt idx="5">
                  <c:v>0.23699999999999999</c:v>
                </c:pt>
                <c:pt idx="6">
                  <c:v>0.27400000000000002</c:v>
                </c:pt>
                <c:pt idx="7">
                  <c:v>0.253</c:v>
                </c:pt>
                <c:pt idx="8">
                  <c:v>0.28299999999999997</c:v>
                </c:pt>
                <c:pt idx="9">
                  <c:v>0.27200000000000002</c:v>
                </c:pt>
                <c:pt idx="10">
                  <c:v>0.19</c:v>
                </c:pt>
                <c:pt idx="11">
                  <c:v>0.28199999999999997</c:v>
                </c:pt>
                <c:pt idx="12">
                  <c:v>0.307</c:v>
                </c:pt>
                <c:pt idx="13">
                  <c:v>0.29899999999999999</c:v>
                </c:pt>
                <c:pt idx="14">
                  <c:v>0.32100000000000001</c:v>
                </c:pt>
                <c:pt idx="15">
                  <c:v>0.32400000000000001</c:v>
                </c:pt>
                <c:pt idx="16">
                  <c:v>0.33329999999999999</c:v>
                </c:pt>
              </c:numCache>
            </c:numRef>
          </c:val>
          <c:extLst>
            <c:ext xmlns:c16="http://schemas.microsoft.com/office/drawing/2014/chart" uri="{C3380CC4-5D6E-409C-BE32-E72D297353CC}">
              <c16:uniqueId val="{00000003-C300-47A5-8909-5CE148B310A0}"/>
            </c:ext>
          </c:extLst>
        </c:ser>
        <c:dLbls>
          <c:showLegendKey val="0"/>
          <c:showVal val="0"/>
          <c:showCatName val="0"/>
          <c:showSerName val="0"/>
          <c:showPercent val="0"/>
          <c:showBubbleSize val="0"/>
        </c:dLbls>
        <c:gapWidth val="150"/>
        <c:axId val="400476560"/>
        <c:axId val="400481264"/>
      </c:barChart>
      <c:catAx>
        <c:axId val="400476560"/>
        <c:scaling>
          <c:orientation val="minMax"/>
        </c:scaling>
        <c:delete val="0"/>
        <c:axPos val="b"/>
        <c:numFmt formatCode="General" sourceLinked="1"/>
        <c:majorTickMark val="out"/>
        <c:minorTickMark val="none"/>
        <c:tickLblPos val="nextTo"/>
        <c:crossAx val="400481264"/>
        <c:crosses val="autoZero"/>
        <c:auto val="1"/>
        <c:lblAlgn val="ctr"/>
        <c:lblOffset val="100"/>
        <c:noMultiLvlLbl val="0"/>
      </c:catAx>
      <c:valAx>
        <c:axId val="400481264"/>
        <c:scaling>
          <c:orientation val="minMax"/>
          <c:min val="0"/>
        </c:scaling>
        <c:delete val="0"/>
        <c:axPos val="l"/>
        <c:majorGridlines>
          <c:spPr>
            <a:ln>
              <a:prstDash val="dash"/>
            </a:ln>
          </c:spPr>
        </c:majorGridlines>
        <c:numFmt formatCode="0.0%" sourceLinked="1"/>
        <c:majorTickMark val="out"/>
        <c:minorTickMark val="none"/>
        <c:tickLblPos val="nextTo"/>
        <c:crossAx val="400476560"/>
        <c:crosses val="autoZero"/>
        <c:crossBetween val="between"/>
      </c:valAx>
    </c:plotArea>
    <c:legend>
      <c:legendPos val="b"/>
      <c:layout/>
      <c:overlay val="0"/>
      <c:spPr>
        <a:ln>
          <a:noFill/>
        </a:ln>
      </c:spPr>
    </c:legend>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'!$E$90:$X$90</c:f>
              <c:numCache>
                <c:formatCode>"R"\ #\ ##0</c:formatCode>
                <c:ptCount val="20"/>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pt idx="18" formatCode="#\ ###\ ##0">
                  <c:v>3300</c:v>
                </c:pt>
                <c:pt idx="19">
                  <c:v>19516</c:v>
                </c:pt>
              </c:numCache>
            </c:numRef>
          </c:val>
          <c:extLst>
            <c:ext xmlns:c16="http://schemas.microsoft.com/office/drawing/2014/chart" uri="{C3380CC4-5D6E-409C-BE32-E72D297353CC}">
              <c16:uniqueId val="{00000000-C46A-4B70-891A-8344B5CAA032}"/>
            </c:ext>
          </c:extLst>
        </c:ser>
        <c:ser>
          <c:idx val="1"/>
          <c:order val="1"/>
          <c:tx>
            <c:strRef>
              <c:f>'LSM '!$D$92</c:f>
              <c:strCache>
                <c:ptCount val="1"/>
                <c:pt idx="0">
                  <c:v>LSM 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C46A-4B70-891A-8344B5CAA032}"/>
            </c:ext>
          </c:extLst>
        </c:ser>
        <c:ser>
          <c:idx val="2"/>
          <c:order val="2"/>
          <c:tx>
            <c:strRef>
              <c:f>'LSM '!$D$93</c:f>
              <c:strCache>
                <c:ptCount val="1"/>
                <c:pt idx="0">
                  <c:v>LSM 8-10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C46A-4B70-891A-8344B5CAA032}"/>
            </c:ext>
          </c:extLst>
        </c:ser>
        <c:dLbls>
          <c:showLegendKey val="0"/>
          <c:showVal val="0"/>
          <c:showCatName val="0"/>
          <c:showSerName val="0"/>
          <c:showPercent val="0"/>
          <c:showBubbleSize val="0"/>
        </c:dLbls>
        <c:gapWidth val="150"/>
        <c:overlap val="100"/>
        <c:axId val="400474992"/>
        <c:axId val="403281824"/>
      </c:barChart>
      <c:catAx>
        <c:axId val="400474992"/>
        <c:scaling>
          <c:orientation val="minMax"/>
        </c:scaling>
        <c:delete val="0"/>
        <c:axPos val="b"/>
        <c:numFmt formatCode="General" sourceLinked="1"/>
        <c:majorTickMark val="out"/>
        <c:minorTickMark val="none"/>
        <c:tickLblPos val="nextTo"/>
        <c:crossAx val="403281824"/>
        <c:crosses val="autoZero"/>
        <c:auto val="1"/>
        <c:lblAlgn val="ctr"/>
        <c:lblOffset val="100"/>
        <c:noMultiLvlLbl val="0"/>
      </c:catAx>
      <c:valAx>
        <c:axId val="403281824"/>
        <c:scaling>
          <c:orientation val="minMax"/>
        </c:scaling>
        <c:delete val="0"/>
        <c:axPos val="l"/>
        <c:majorGridlines/>
        <c:numFmt formatCode="0%" sourceLinked="1"/>
        <c:majorTickMark val="out"/>
        <c:minorTickMark val="none"/>
        <c:tickLblPos val="nextTo"/>
        <c:crossAx val="400474992"/>
        <c:crosses val="autoZero"/>
        <c:crossBetween val="between"/>
      </c:valAx>
    </c:plotArea>
    <c:legend>
      <c:legendPos val="b"/>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'!$E$91:$V$91</c:f>
              <c:numCache>
                <c:formatCode>"R"\ #\ ##0</c:formatCode>
                <c:ptCount val="18"/>
                <c:pt idx="0" formatCode="#,##0">
                  <c:v>251</c:v>
                </c:pt>
                <c:pt idx="1">
                  <c:v>20509</c:v>
                </c:pt>
                <c:pt idx="2" formatCode="#,##0">
                  <c:v>157</c:v>
                </c:pt>
                <c:pt idx="3">
                  <c:v>20795</c:v>
                </c:pt>
                <c:pt idx="4" formatCode="#,##0">
                  <c:v>1470</c:v>
                </c:pt>
                <c:pt idx="5">
                  <c:v>31454</c:v>
                </c:pt>
                <c:pt idx="6" formatCode="General">
                  <c:v>582</c:v>
                </c:pt>
                <c:pt idx="7">
                  <c:v>26432</c:v>
                </c:pt>
                <c:pt idx="8" formatCode="General">
                  <c:v>48</c:v>
                </c:pt>
                <c:pt idx="9">
                  <c:v>27119</c:v>
                </c:pt>
                <c:pt idx="10" formatCode="General">
                  <c:v>275</c:v>
                </c:pt>
                <c:pt idx="11">
                  <c:v>30095</c:v>
                </c:pt>
                <c:pt idx="12" formatCode="General">
                  <c:v>114</c:v>
                </c:pt>
                <c:pt idx="13">
                  <c:v>29285</c:v>
                </c:pt>
                <c:pt idx="14" formatCode="General">
                  <c:v>61</c:v>
                </c:pt>
                <c:pt idx="15">
                  <c:v>19684</c:v>
                </c:pt>
                <c:pt idx="16" formatCode="General">
                  <c:v>747</c:v>
                </c:pt>
                <c:pt idx="17">
                  <c:v>21053</c:v>
                </c:pt>
              </c:numCache>
            </c:numRef>
          </c:val>
          <c:extLst>
            <c:ext xmlns:c16="http://schemas.microsoft.com/office/drawing/2014/chart" uri="{C3380CC4-5D6E-409C-BE32-E72D297353CC}">
              <c16:uniqueId val="{00000000-0211-4627-9A3C-AA2DB1D61E84}"/>
            </c:ext>
          </c:extLst>
        </c:ser>
        <c:ser>
          <c:idx val="1"/>
          <c:order val="1"/>
          <c:tx>
            <c:strRef>
              <c:f>'LSM '!$D$92</c:f>
              <c:strCache>
                <c:ptCount val="1"/>
                <c:pt idx="0">
                  <c:v>LSM 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0211-4627-9A3C-AA2DB1D61E84}"/>
            </c:ext>
          </c:extLst>
        </c:ser>
        <c:ser>
          <c:idx val="2"/>
          <c:order val="2"/>
          <c:tx>
            <c:strRef>
              <c:f>'LSM '!$D$93</c:f>
              <c:strCache>
                <c:ptCount val="1"/>
                <c:pt idx="0">
                  <c:v>LSM 8-10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0211-4627-9A3C-AA2DB1D61E84}"/>
            </c:ext>
          </c:extLst>
        </c:ser>
        <c:dLbls>
          <c:showLegendKey val="0"/>
          <c:showVal val="0"/>
          <c:showCatName val="0"/>
          <c:showSerName val="0"/>
          <c:showPercent val="0"/>
          <c:showBubbleSize val="0"/>
        </c:dLbls>
        <c:gapWidth val="150"/>
        <c:overlap val="100"/>
        <c:axId val="403284568"/>
        <c:axId val="403284960"/>
      </c:barChart>
      <c:catAx>
        <c:axId val="403284568"/>
        <c:scaling>
          <c:orientation val="minMax"/>
        </c:scaling>
        <c:delete val="0"/>
        <c:axPos val="b"/>
        <c:numFmt formatCode="#,##0" sourceLinked="1"/>
        <c:majorTickMark val="out"/>
        <c:minorTickMark val="none"/>
        <c:tickLblPos val="nextTo"/>
        <c:crossAx val="403284960"/>
        <c:crosses val="autoZero"/>
        <c:auto val="1"/>
        <c:lblAlgn val="ctr"/>
        <c:lblOffset val="100"/>
        <c:noMultiLvlLbl val="0"/>
      </c:catAx>
      <c:valAx>
        <c:axId val="403284960"/>
        <c:scaling>
          <c:orientation val="minMax"/>
        </c:scaling>
        <c:delete val="0"/>
        <c:axPos val="l"/>
        <c:majorGridlines>
          <c:spPr>
            <a:ln>
              <a:prstDash val="sysDash"/>
            </a:ln>
          </c:spPr>
        </c:majorGridlines>
        <c:numFmt formatCode="0%" sourceLinked="1"/>
        <c:majorTickMark val="out"/>
        <c:minorTickMark val="none"/>
        <c:tickLblPos val="nextTo"/>
        <c:crossAx val="403284568"/>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Arial"/>
                <a:ea typeface="Arial"/>
                <a:cs typeface="Arial"/>
              </a:defRPr>
            </a:pPr>
            <a:r>
              <a:rPr lang="en-ZA"/>
              <a:t>Inequality measures</a:t>
            </a:r>
          </a:p>
        </c:rich>
      </c:tx>
      <c:overlay val="0"/>
      <c:spPr>
        <a:noFill/>
        <a:ln w="25400">
          <a:noFill/>
        </a:ln>
      </c:spPr>
    </c:title>
    <c:autoTitleDeleted val="0"/>
    <c:plotArea>
      <c:layout/>
      <c:lineChart>
        <c:grouping val="standard"/>
        <c:varyColors val="0"/>
        <c:ser>
          <c:idx val="0"/>
          <c:order val="0"/>
          <c:tx>
            <c:strRef>
              <c:f>[7]Inequality!$D$11</c:f>
              <c:strCache>
                <c:ptCount val="1"/>
              </c:strCache>
            </c:strRef>
          </c:tx>
          <c:spPr>
            <a:ln w="25400">
              <a:solidFill>
                <a:srgbClr val="000080"/>
              </a:solidFill>
              <a:prstDash val="solid"/>
            </a:ln>
          </c:spPr>
          <c:marker>
            <c:symbol val="none"/>
          </c:marker>
          <c:cat>
            <c:numRef>
              <c:f>[7]Inequality!$F$8:$T$8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[7]Inequality!$F$11:$T$11</c:f>
              <c:numCache>
                <c:formatCode>General</c:formatCode>
                <c:ptCount val="15"/>
                <c:pt idx="0">
                  <c:v>0.67218999999999995</c:v>
                </c:pt>
                <c:pt idx="1">
                  <c:v>0.66464000000000001</c:v>
                </c:pt>
                <c:pt idx="2">
                  <c:v>0.67388999999999999</c:v>
                </c:pt>
                <c:pt idx="3">
                  <c:v>0.67762999999999995</c:v>
                </c:pt>
                <c:pt idx="4">
                  <c:v>0.67444999999999999</c:v>
                </c:pt>
                <c:pt idx="5">
                  <c:v>0.68332999999999999</c:v>
                </c:pt>
                <c:pt idx="6">
                  <c:v>0.68511999999999995</c:v>
                </c:pt>
                <c:pt idx="7">
                  <c:v>0.68171000000000004</c:v>
                </c:pt>
                <c:pt idx="8">
                  <c:v>0.68498999999999999</c:v>
                </c:pt>
                <c:pt idx="9">
                  <c:v>0.67044000000000004</c:v>
                </c:pt>
                <c:pt idx="10">
                  <c:v>0.68569000000000002</c:v>
                </c:pt>
                <c:pt idx="11">
                  <c:v>0.67750999999999995</c:v>
                </c:pt>
                <c:pt idx="12">
                  <c:v>0.68267</c:v>
                </c:pt>
                <c:pt idx="13">
                  <c:v>0.68462999999999996</c:v>
                </c:pt>
                <c:pt idx="14">
                  <c:v>0.65961999999999998</c:v>
                </c:pt>
              </c:numCache>
            </c:numRef>
          </c:val>
          <c:smooth val="0"/>
          <c:extLst>
            <c:ext xmlns:c16="http://schemas.microsoft.com/office/drawing/2014/chart" uri="{C3380CC4-5D6E-409C-BE32-E72D297353CC}">
              <c16:uniqueId val="{00000000-0A11-40C1-BFAE-34B4BE0E2552}"/>
            </c:ext>
          </c:extLst>
        </c:ser>
        <c:ser>
          <c:idx val="1"/>
          <c:order val="1"/>
          <c:tx>
            <c:strRef>
              <c:f>[7]Inequality!$D$18</c:f>
              <c:strCache>
                <c:ptCount val="1"/>
                <c:pt idx="0">
                  <c:v>Total value</c:v>
                </c:pt>
              </c:strCache>
            </c:strRef>
          </c:tx>
          <c:spPr>
            <a:ln w="25400">
              <a:solidFill>
                <a:srgbClr val="FF00FF"/>
              </a:solidFill>
              <a:prstDash val="solid"/>
            </a:ln>
          </c:spPr>
          <c:marker>
            <c:symbol val="none"/>
          </c:marker>
          <c:cat>
            <c:numRef>
              <c:f>[7]Inequality!$F$8:$T$8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[7]Inequality!$F$18:$T$18</c:f>
              <c:numCache>
                <c:formatCode>General</c:formatCode>
                <c:ptCount val="15"/>
                <c:pt idx="0">
                  <c:v>0.89875000000000005</c:v>
                </c:pt>
                <c:pt idx="1">
                  <c:v>0.88022</c:v>
                </c:pt>
                <c:pt idx="2">
                  <c:v>0.89901999999999993</c:v>
                </c:pt>
                <c:pt idx="3">
                  <c:v>0.91837999999999997</c:v>
                </c:pt>
                <c:pt idx="4">
                  <c:v>0.90565999999999991</c:v>
                </c:pt>
                <c:pt idx="5">
                  <c:v>0.93734000000000006</c:v>
                </c:pt>
                <c:pt idx="6">
                  <c:v>0.93833999999999995</c:v>
                </c:pt>
                <c:pt idx="7">
                  <c:v>0.93518999999999997</c:v>
                </c:pt>
                <c:pt idx="8">
                  <c:v>0.93652999999999997</c:v>
                </c:pt>
                <c:pt idx="9">
                  <c:v>0.92066000000000003</c:v>
                </c:pt>
                <c:pt idx="10">
                  <c:v>1.0132700000000001</c:v>
                </c:pt>
                <c:pt idx="11">
                  <c:v>0.96665999999999996</c:v>
                </c:pt>
                <c:pt idx="12">
                  <c:v>1.01197</c:v>
                </c:pt>
                <c:pt idx="13">
                  <c:v>1.02963</c:v>
                </c:pt>
                <c:pt idx="14">
                  <c:v>0.91663000000000006</c:v>
                </c:pt>
              </c:numCache>
            </c:numRef>
          </c:val>
          <c:smooth val="0"/>
          <c:extLst>
            <c:ext xmlns:c16="http://schemas.microsoft.com/office/drawing/2014/chart" uri="{C3380CC4-5D6E-409C-BE32-E72D297353CC}">
              <c16:uniqueId val="{00000001-0A11-40C1-BFAE-34B4BE0E2552}"/>
            </c:ext>
          </c:extLst>
        </c:ser>
        <c:ser>
          <c:idx val="2"/>
          <c:order val="2"/>
          <c:tx>
            <c:strRef>
              <c:f>[7]Inequality!$D$14</c:f>
              <c:strCache>
                <c:ptCount val="1"/>
                <c:pt idx="0">
                  <c:v>Within-Race</c:v>
                </c:pt>
              </c:strCache>
            </c:strRef>
          </c:tx>
          <c:spPr>
            <a:ln w="25400">
              <a:solidFill>
                <a:srgbClr val="FFFF00"/>
              </a:solidFill>
              <a:prstDash val="solid"/>
            </a:ln>
          </c:spPr>
          <c:marker>
            <c:symbol val="none"/>
          </c:marker>
          <c:cat>
            <c:numRef>
              <c:f>[7]Inequality!$F$8:$T$8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[7]Inequality!$F$14:$T$14</c:f>
              <c:numCache>
                <c:formatCode>General</c:formatCode>
                <c:ptCount val="15"/>
                <c:pt idx="0">
                  <c:v>0.35005999999999998</c:v>
                </c:pt>
                <c:pt idx="1">
                  <c:v>0.34866999999999998</c:v>
                </c:pt>
                <c:pt idx="2">
                  <c:v>0.36642999999999998</c:v>
                </c:pt>
                <c:pt idx="3">
                  <c:v>0.37019999999999997</c:v>
                </c:pt>
                <c:pt idx="4">
                  <c:v>0.38213999999999998</c:v>
                </c:pt>
                <c:pt idx="5">
                  <c:v>0.38912000000000002</c:v>
                </c:pt>
                <c:pt idx="6">
                  <c:v>0.40029999999999999</c:v>
                </c:pt>
                <c:pt idx="7">
                  <c:v>0.46387</c:v>
                </c:pt>
                <c:pt idx="8">
                  <c:v>0.45641999999999999</c:v>
                </c:pt>
                <c:pt idx="9">
                  <c:v>0.50229999999999997</c:v>
                </c:pt>
                <c:pt idx="10">
                  <c:v>0.54988000000000004</c:v>
                </c:pt>
                <c:pt idx="11">
                  <c:v>0.51405999999999996</c:v>
                </c:pt>
                <c:pt idx="12">
                  <c:v>0.59704999999999997</c:v>
                </c:pt>
                <c:pt idx="13">
                  <c:v>0.61319000000000001</c:v>
                </c:pt>
                <c:pt idx="14">
                  <c:v>0.57420000000000004</c:v>
                </c:pt>
              </c:numCache>
            </c:numRef>
          </c:val>
          <c:smooth val="0"/>
          <c:extLst>
            <c:ext xmlns:c16="http://schemas.microsoft.com/office/drawing/2014/chart" uri="{C3380CC4-5D6E-409C-BE32-E72D297353CC}">
              <c16:uniqueId val="{00000002-0A11-40C1-BFAE-34B4BE0E2552}"/>
            </c:ext>
          </c:extLst>
        </c:ser>
        <c:ser>
          <c:idx val="3"/>
          <c:order val="3"/>
          <c:tx>
            <c:strRef>
              <c:f>[7]Inequality!$D$16</c:f>
              <c:strCache>
                <c:ptCount val="1"/>
                <c:pt idx="0">
                  <c:v>Between-Race</c:v>
                </c:pt>
              </c:strCache>
            </c:strRef>
          </c:tx>
          <c:spPr>
            <a:ln w="25400">
              <a:solidFill>
                <a:srgbClr val="00FFFF"/>
              </a:solidFill>
              <a:prstDash val="solid"/>
            </a:ln>
          </c:spPr>
          <c:marker>
            <c:symbol val="none"/>
          </c:marker>
          <c:cat>
            <c:numRef>
              <c:f>[7]Inequality!$F$8:$T$8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[7]Inequality!$F$16:$T$16</c:f>
              <c:numCache>
                <c:formatCode>General</c:formatCode>
                <c:ptCount val="15"/>
                <c:pt idx="0">
                  <c:v>0.54869000000000001</c:v>
                </c:pt>
                <c:pt idx="1">
                  <c:v>0.53154999999999997</c:v>
                </c:pt>
                <c:pt idx="2">
                  <c:v>0.53259000000000001</c:v>
                </c:pt>
                <c:pt idx="3">
                  <c:v>0.54818</c:v>
                </c:pt>
                <c:pt idx="4">
                  <c:v>0.52351999999999999</c:v>
                </c:pt>
                <c:pt idx="5">
                  <c:v>0.54822000000000004</c:v>
                </c:pt>
                <c:pt idx="6">
                  <c:v>0.53803999999999996</c:v>
                </c:pt>
                <c:pt idx="7">
                  <c:v>0.47132000000000002</c:v>
                </c:pt>
                <c:pt idx="8">
                  <c:v>0.48010999999999998</c:v>
                </c:pt>
                <c:pt idx="9">
                  <c:v>0.41836000000000001</c:v>
                </c:pt>
                <c:pt idx="10">
                  <c:v>0.46339000000000002</c:v>
                </c:pt>
                <c:pt idx="11">
                  <c:v>0.4526</c:v>
                </c:pt>
                <c:pt idx="12">
                  <c:v>0.41492000000000001</c:v>
                </c:pt>
                <c:pt idx="13">
                  <c:v>0.41643999999999998</c:v>
                </c:pt>
                <c:pt idx="14">
                  <c:v>0.34243000000000001</c:v>
                </c:pt>
              </c:numCache>
            </c:numRef>
          </c:val>
          <c:smooth val="0"/>
          <c:extLst>
            <c:ext xmlns:c16="http://schemas.microsoft.com/office/drawing/2014/chart" uri="{C3380CC4-5D6E-409C-BE32-E72D297353CC}">
              <c16:uniqueId val="{00000003-0A11-40C1-BFAE-34B4BE0E2552}"/>
            </c:ext>
          </c:extLst>
        </c:ser>
        <c:dLbls>
          <c:showLegendKey val="0"/>
          <c:showVal val="0"/>
          <c:showCatName val="0"/>
          <c:showSerName val="0"/>
          <c:showPercent val="0"/>
          <c:showBubbleSize val="0"/>
        </c:dLbls>
        <c:smooth val="0"/>
        <c:axId val="405650616"/>
        <c:axId val="405643952"/>
      </c:lineChart>
      <c:catAx>
        <c:axId val="405650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5643952"/>
        <c:crosses val="autoZero"/>
        <c:auto val="1"/>
        <c:lblAlgn val="ctr"/>
        <c:lblOffset val="100"/>
        <c:tickLblSkip val="1"/>
        <c:tickMarkSkip val="1"/>
        <c:noMultiLvlLbl val="0"/>
      </c:catAx>
      <c:valAx>
        <c:axId val="405643952"/>
        <c:scaling>
          <c:orientation val="minMax"/>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ZA"/>
                  <a:t>index</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5650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4469197447202"/>
          <c:y val="4.9088110171007233E-2"/>
          <c:w val="0.83553390611031908"/>
          <c:h val="0.79716104167991675"/>
        </c:manualLayout>
      </c:layout>
      <c:barChart>
        <c:barDir val="col"/>
        <c:grouping val="clustered"/>
        <c:varyColors val="0"/>
        <c:ser>
          <c:idx val="10"/>
          <c:order val="0"/>
          <c:tx>
            <c:strRef>
              <c:f>Inequality!$D$69</c:f>
              <c:strCache>
                <c:ptCount val="1"/>
                <c:pt idx="0">
                  <c:v>South Africa</c:v>
                </c:pt>
              </c:strCache>
            </c:strRef>
          </c:tx>
          <c:spPr>
            <a:solidFill>
              <a:schemeClr val="accent6"/>
            </a:solidFill>
          </c:spPr>
          <c:invertIfNegative val="0"/>
          <c:dPt>
            <c:idx val="5"/>
            <c:invertIfNegative val="0"/>
            <c:bubble3D val="0"/>
            <c:spPr>
              <a:solidFill>
                <a:schemeClr val="accent2"/>
              </a:solidFill>
            </c:spPr>
            <c:extLst>
              <c:ext xmlns:c16="http://schemas.microsoft.com/office/drawing/2014/chart" uri="{C3380CC4-5D6E-409C-BE32-E72D297353CC}">
                <c16:uniqueId val="{00000001-5E8F-43BB-A983-AD57B78913A7}"/>
              </c:ext>
            </c:extLst>
          </c:dPt>
          <c:dPt>
            <c:idx val="6"/>
            <c:invertIfNegative val="0"/>
            <c:bubble3D val="0"/>
            <c:spPr>
              <a:solidFill>
                <a:schemeClr val="accent2"/>
              </a:solidFill>
            </c:spPr>
            <c:extLst>
              <c:ext xmlns:c16="http://schemas.microsoft.com/office/drawing/2014/chart" uri="{C3380CC4-5D6E-409C-BE32-E72D297353CC}">
                <c16:uniqueId val="{00000003-5E8F-43BB-A983-AD57B78913A7}"/>
              </c:ext>
            </c:extLst>
          </c:dPt>
          <c:dPt>
            <c:idx val="7"/>
            <c:invertIfNegative val="0"/>
            <c:bubble3D val="0"/>
            <c:spPr>
              <a:solidFill>
                <a:schemeClr val="accent2"/>
              </a:solidFill>
            </c:spPr>
            <c:extLst>
              <c:ext xmlns:c16="http://schemas.microsoft.com/office/drawing/2014/chart" uri="{C3380CC4-5D6E-409C-BE32-E72D297353CC}">
                <c16:uniqueId val="{00000005-5E8F-43BB-A983-AD57B78913A7}"/>
              </c:ext>
            </c:extLst>
          </c:dPt>
          <c:dPt>
            <c:idx val="8"/>
            <c:invertIfNegative val="0"/>
            <c:bubble3D val="0"/>
            <c:spPr>
              <a:solidFill>
                <a:schemeClr val="accent2"/>
              </a:solidFill>
            </c:spPr>
            <c:extLst>
              <c:ext xmlns:c16="http://schemas.microsoft.com/office/drawing/2014/chart" uri="{C3380CC4-5D6E-409C-BE32-E72D297353CC}">
                <c16:uniqueId val="{00000007-5E8F-43BB-A983-AD57B78913A7}"/>
              </c:ext>
            </c:extLst>
          </c:dPt>
          <c:dPt>
            <c:idx val="9"/>
            <c:invertIfNegative val="0"/>
            <c:bubble3D val="0"/>
            <c:spPr>
              <a:solidFill>
                <a:schemeClr val="accent2"/>
              </a:solidFill>
            </c:spPr>
            <c:extLst>
              <c:ext xmlns:c16="http://schemas.microsoft.com/office/drawing/2014/chart" uri="{C3380CC4-5D6E-409C-BE32-E72D297353CC}">
                <c16:uniqueId val="{00000009-5E8F-43BB-A983-AD57B78913A7}"/>
              </c:ext>
            </c:extLst>
          </c:dPt>
          <c:cat>
            <c:multiLvlStrRef>
              <c:f>Inequality!$E$58:$N$59</c:f>
              <c:multiLvlStrCache>
                <c:ptCount val="10"/>
                <c:lvl>
                  <c:pt idx="0">
                    <c:v>2000</c:v>
                  </c:pt>
                  <c:pt idx="1">
                    <c:v>2006</c:v>
                  </c:pt>
                  <c:pt idx="2">
                    <c:v>2009</c:v>
                  </c:pt>
                  <c:pt idx="3">
                    <c:v>2011</c:v>
                  </c:pt>
                  <c:pt idx="4">
                    <c:v>2015</c:v>
                  </c:pt>
                  <c:pt idx="5">
                    <c:v>2000</c:v>
                  </c:pt>
                  <c:pt idx="6">
                    <c:v>2006</c:v>
                  </c:pt>
                  <c:pt idx="7">
                    <c:v>2009</c:v>
                  </c:pt>
                  <c:pt idx="8">
                    <c:v>2011</c:v>
                  </c:pt>
                  <c:pt idx="9">
                    <c:v>2015</c:v>
                  </c:pt>
                </c:lvl>
                <c:lvl>
                  <c:pt idx="0">
                    <c:v>Gini (per capita income)</c:v>
                  </c:pt>
                  <c:pt idx="5">
                    <c:v>Gini (per capita expenditure)</c:v>
                  </c:pt>
                </c:lvl>
              </c:multiLvlStrCache>
            </c:multiLvlStrRef>
          </c:cat>
          <c:val>
            <c:numRef>
              <c:f>Inequality!$E$69:$N$69</c:f>
              <c:numCache>
                <c:formatCode>0.00</c:formatCode>
                <c:ptCount val="10"/>
                <c:pt idx="0">
                  <c:v>0.7</c:v>
                </c:pt>
                <c:pt idx="1">
                  <c:v>0.72</c:v>
                </c:pt>
                <c:pt idx="2">
                  <c:v>0.7</c:v>
                </c:pt>
                <c:pt idx="3">
                  <c:v>0.69</c:v>
                </c:pt>
                <c:pt idx="4">
                  <c:v>0.68</c:v>
                </c:pt>
                <c:pt idx="5">
                  <c:v>0.64</c:v>
                </c:pt>
                <c:pt idx="6">
                  <c:v>0.67</c:v>
                </c:pt>
                <c:pt idx="7">
                  <c:v>0.63</c:v>
                </c:pt>
                <c:pt idx="8">
                  <c:v>0.65</c:v>
                </c:pt>
                <c:pt idx="9">
                  <c:v>0.64</c:v>
                </c:pt>
              </c:numCache>
            </c:numRef>
          </c:val>
          <c:extLst>
            <c:ext xmlns:c16="http://schemas.microsoft.com/office/drawing/2014/chart" uri="{C3380CC4-5D6E-409C-BE32-E72D297353CC}">
              <c16:uniqueId val="{0000000A-5E8F-43BB-A983-AD57B78913A7}"/>
            </c:ext>
          </c:extLst>
        </c:ser>
        <c:dLbls>
          <c:showLegendKey val="0"/>
          <c:showVal val="0"/>
          <c:showCatName val="0"/>
          <c:showSerName val="0"/>
          <c:showPercent val="0"/>
          <c:showBubbleSize val="0"/>
        </c:dLbls>
        <c:gapWidth val="150"/>
        <c:axId val="405644344"/>
        <c:axId val="405644736"/>
      </c:barChart>
      <c:catAx>
        <c:axId val="405644344"/>
        <c:scaling>
          <c:orientation val="minMax"/>
        </c:scaling>
        <c:delete val="0"/>
        <c:axPos val="b"/>
        <c:numFmt formatCode="General" sourceLinked="1"/>
        <c:majorTickMark val="out"/>
        <c:minorTickMark val="none"/>
        <c:tickLblPos val="nextTo"/>
        <c:crossAx val="405644736"/>
        <c:crosses val="autoZero"/>
        <c:auto val="1"/>
        <c:lblAlgn val="ctr"/>
        <c:lblOffset val="100"/>
        <c:noMultiLvlLbl val="0"/>
      </c:catAx>
      <c:valAx>
        <c:axId val="405644736"/>
        <c:scaling>
          <c:orientation val="minMax"/>
        </c:scaling>
        <c:delete val="0"/>
        <c:axPos val="l"/>
        <c:majorGridlines>
          <c:spPr>
            <a:ln>
              <a:prstDash val="dash"/>
            </a:ln>
          </c:spPr>
        </c:majorGridlines>
        <c:title>
          <c:tx>
            <c:rich>
              <a:bodyPr rot="-5400000" vert="horz" anchor="t" anchorCtr="0"/>
              <a:lstStyle/>
              <a:p>
                <a:pPr>
                  <a:defRPr/>
                </a:pPr>
                <a:r>
                  <a:rPr lang="en-US"/>
                  <a:t>Gini coefficient</a:t>
                </a:r>
              </a:p>
            </c:rich>
          </c:tx>
          <c:layout/>
          <c:overlay val="0"/>
        </c:title>
        <c:numFmt formatCode="0.00" sourceLinked="1"/>
        <c:majorTickMark val="out"/>
        <c:minorTickMark val="none"/>
        <c:tickLblPos val="nextTo"/>
        <c:crossAx val="405644344"/>
        <c:crosses val="autoZero"/>
        <c:crossBetween val="between"/>
      </c:valAx>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REAL PER CAPITA GDP GROWTH </a:t>
            </a:r>
          </a:p>
        </c:rich>
      </c:tx>
      <c:layout>
        <c:manualLayout>
          <c:xMode val="edge"/>
          <c:yMode val="edge"/>
          <c:x val="4.0086669295578761E-2"/>
          <c:y val="3.1249877187811415E-2"/>
        </c:manualLayout>
      </c:layout>
      <c:overlay val="0"/>
      <c:spPr>
        <a:noFill/>
        <a:ln w="25400">
          <a:noFill/>
        </a:ln>
      </c:spPr>
    </c:title>
    <c:autoTitleDeleted val="0"/>
    <c:plotArea>
      <c:layout>
        <c:manualLayout>
          <c:layoutTarget val="inner"/>
          <c:xMode val="edge"/>
          <c:yMode val="edge"/>
          <c:x val="7.1505958829902488E-2"/>
          <c:y val="0.18750000000000044"/>
          <c:w val="0.89815817984832058"/>
          <c:h val="0.68437499999999996"/>
        </c:manualLayout>
      </c:layout>
      <c:lineChart>
        <c:grouping val="stacked"/>
        <c:varyColors val="0"/>
        <c:ser>
          <c:idx val="0"/>
          <c:order val="0"/>
          <c:tx>
            <c:strRef>
              <c:f>'GDP per Capita '!$E$6</c:f>
              <c:strCache>
                <c:ptCount val="1"/>
              </c:strCache>
            </c:strRef>
          </c:tx>
          <c:spPr>
            <a:ln w="25400">
              <a:solidFill>
                <a:srgbClr val="FF6600"/>
              </a:solidFill>
              <a:prstDash val="solid"/>
            </a:ln>
          </c:spPr>
          <c:marker>
            <c:symbol val="none"/>
          </c:marker>
          <c:cat>
            <c:strRef>
              <c:f>'GDP per Capita '!$F$7:$AC$7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'GDP per Capita '!$F$8:$AC$8</c:f>
              <c:numCache>
                <c:formatCode>0.0</c:formatCode>
                <c:ptCount val="24"/>
                <c:pt idx="0">
                  <c:v>1.1000000000000001</c:v>
                </c:pt>
                <c:pt idx="1">
                  <c:v>1</c:v>
                </c:pt>
                <c:pt idx="2">
                  <c:v>2.1</c:v>
                </c:pt>
                <c:pt idx="3">
                  <c:v>0.5</c:v>
                </c:pt>
                <c:pt idx="4">
                  <c:v>-1.6</c:v>
                </c:pt>
                <c:pt idx="5">
                  <c:v>0.2</c:v>
                </c:pt>
                <c:pt idx="6">
                  <c:v>2.1</c:v>
                </c:pt>
                <c:pt idx="7">
                  <c:v>0.8</c:v>
                </c:pt>
                <c:pt idx="8">
                  <c:v>1.6</c:v>
                </c:pt>
                <c:pt idx="9">
                  <c:v>1.1000000000000001</c:v>
                </c:pt>
                <c:pt idx="10">
                  <c:v>2.8</c:v>
                </c:pt>
                <c:pt idx="11">
                  <c:v>3.6</c:v>
                </c:pt>
                <c:pt idx="12">
                  <c:v>4</c:v>
                </c:pt>
                <c:pt idx="13">
                  <c:v>3.9</c:v>
                </c:pt>
                <c:pt idx="14">
                  <c:v>1.9</c:v>
                </c:pt>
                <c:pt idx="15">
                  <c:v>-2.7</c:v>
                </c:pt>
                <c:pt idx="16">
                  <c:v>1.9</c:v>
                </c:pt>
                <c:pt idx="17">
                  <c:v>2.1</c:v>
                </c:pt>
                <c:pt idx="18" formatCode="_ * #\ ##0.0_ ;_ * \-#\ ##0.0_ ;_ * &quot;-&quot;??_ ;_ @_ ">
                  <c:v>1</c:v>
                </c:pt>
                <c:pt idx="19">
                  <c:v>1.2</c:v>
                </c:pt>
                <c:pt idx="20">
                  <c:v>0.6</c:v>
                </c:pt>
                <c:pt idx="21">
                  <c:v>-0.1</c:v>
                </c:pt>
                <c:pt idx="22">
                  <c:v>-0.8</c:v>
                </c:pt>
                <c:pt idx="23">
                  <c:v>-0.1</c:v>
                </c:pt>
              </c:numCache>
            </c:numRef>
          </c:val>
          <c:smooth val="0"/>
          <c:extLst>
            <c:ext xmlns:c16="http://schemas.microsoft.com/office/drawing/2014/chart" uri="{C3380CC4-5D6E-409C-BE32-E72D297353CC}">
              <c16:uniqueId val="{00000000-105F-46FE-8C83-39E59D1080F6}"/>
            </c:ext>
          </c:extLst>
        </c:ser>
        <c:dLbls>
          <c:showLegendKey val="0"/>
          <c:showVal val="0"/>
          <c:showCatName val="0"/>
          <c:showSerName val="0"/>
          <c:showPercent val="0"/>
          <c:showBubbleSize val="0"/>
        </c:dLbls>
        <c:smooth val="0"/>
        <c:axId val="399074968"/>
        <c:axId val="399075360"/>
      </c:lineChart>
      <c:catAx>
        <c:axId val="39907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5360"/>
        <c:crossesAt val="-4"/>
        <c:auto val="1"/>
        <c:lblAlgn val="ctr"/>
        <c:lblOffset val="100"/>
        <c:tickLblSkip val="1"/>
        <c:tickMarkSkip val="1"/>
        <c:noMultiLvlLbl val="0"/>
      </c:catAx>
      <c:valAx>
        <c:axId val="399075360"/>
        <c:scaling>
          <c:orientation val="minMax"/>
        </c:scaling>
        <c:delete val="0"/>
        <c:axPos val="l"/>
        <c:majorGridlines>
          <c:spPr>
            <a:ln w="3175">
              <a:solidFill>
                <a:srgbClr val="969696"/>
              </a:solidFill>
              <a:prstDash val="sysDash"/>
            </a:ln>
          </c:spPr>
        </c:majorGridlines>
        <c:title>
          <c:tx>
            <c:rich>
              <a:bodyPr/>
              <a:lstStyle/>
              <a:p>
                <a:pPr>
                  <a:defRPr lang="en-US" sz="800" b="1" i="0" u="none" strike="noStrike" baseline="0">
                    <a:solidFill>
                      <a:srgbClr val="000000"/>
                    </a:solidFill>
                    <a:latin typeface="Arial"/>
                    <a:ea typeface="Arial"/>
                    <a:cs typeface="Arial"/>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4968"/>
        <c:crossesAt val="1"/>
        <c:crossBetween val="midCat"/>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ZA" sz="1100">
                <a:solidFill>
                  <a:sysClr val="windowText" lastClr="000000"/>
                </a:solidFill>
                <a:effectLst/>
                <a:latin typeface="+mn-lt"/>
              </a:rPr>
              <a:t>POVERTY HEADCOUNTS BASED ON THE FPL, LBPL AND UBPL (2006, 2009, 2011 AND 2015)</a:t>
            </a:r>
          </a:p>
        </c:rich>
      </c:tx>
      <c:layout>
        <c:manualLayout>
          <c:xMode val="edge"/>
          <c:yMode val="edge"/>
          <c:x val="0.1095168317357921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'Poverty Headcount'!$B$44</c:f>
              <c:strCache>
                <c:ptCount val="1"/>
                <c:pt idx="0">
                  <c:v>Percentage of the population that is UBPL poor</c:v>
                </c:pt>
              </c:strCache>
            </c:strRef>
          </c:tx>
          <c:spPr>
            <a:ln w="28575" cap="rnd">
              <a:solidFill>
                <a:schemeClr val="accent1"/>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Headcount'!$C$44:$F$44</c:f>
              <c:numCache>
                <c:formatCode>0%</c:formatCode>
                <c:ptCount val="4"/>
                <c:pt idx="0">
                  <c:v>0.66600000000000004</c:v>
                </c:pt>
                <c:pt idx="1">
                  <c:v>0.621</c:v>
                </c:pt>
                <c:pt idx="2">
                  <c:v>0.53200000000000003</c:v>
                </c:pt>
                <c:pt idx="3">
                  <c:v>0.55500000000000005</c:v>
                </c:pt>
              </c:numCache>
            </c:numRef>
          </c:val>
          <c:smooth val="0"/>
          <c:extLst>
            <c:ext xmlns:c16="http://schemas.microsoft.com/office/drawing/2014/chart" uri="{C3380CC4-5D6E-409C-BE32-E72D297353CC}">
              <c16:uniqueId val="{00000000-E5D0-4C32-AEB1-00382E55B945}"/>
            </c:ext>
          </c:extLst>
        </c:ser>
        <c:ser>
          <c:idx val="1"/>
          <c:order val="1"/>
          <c:tx>
            <c:strRef>
              <c:f>'Poverty Headcount'!$B$45</c:f>
              <c:strCache>
                <c:ptCount val="1"/>
                <c:pt idx="0">
                  <c:v>Percentage of the population that is LBPL poor</c:v>
                </c:pt>
              </c:strCache>
            </c:strRef>
          </c:tx>
          <c:spPr>
            <a:ln w="28575" cap="rnd">
              <a:solidFill>
                <a:schemeClr val="accent2"/>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Headcount'!$C$45:$F$45</c:f>
              <c:numCache>
                <c:formatCode>0%</c:formatCode>
                <c:ptCount val="4"/>
                <c:pt idx="0">
                  <c:v>0.51</c:v>
                </c:pt>
                <c:pt idx="1">
                  <c:v>0.47599999999999998</c:v>
                </c:pt>
                <c:pt idx="2">
                  <c:v>0.36399999999999999</c:v>
                </c:pt>
                <c:pt idx="3">
                  <c:v>0.4</c:v>
                </c:pt>
              </c:numCache>
            </c:numRef>
          </c:val>
          <c:smooth val="0"/>
          <c:extLst>
            <c:ext xmlns:c16="http://schemas.microsoft.com/office/drawing/2014/chart" uri="{C3380CC4-5D6E-409C-BE32-E72D297353CC}">
              <c16:uniqueId val="{00000001-E5D0-4C32-AEB1-00382E55B945}"/>
            </c:ext>
          </c:extLst>
        </c:ser>
        <c:ser>
          <c:idx val="2"/>
          <c:order val="2"/>
          <c:tx>
            <c:strRef>
              <c:f>'Poverty Headcount'!$B$46</c:f>
              <c:strCache>
                <c:ptCount val="1"/>
                <c:pt idx="0">
                  <c:v>Percentage of the population living in extreme poverty (below FPL)</c:v>
                </c:pt>
              </c:strCache>
            </c:strRef>
          </c:tx>
          <c:spPr>
            <a:ln w="28575" cap="rnd">
              <a:solidFill>
                <a:schemeClr val="accent3"/>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Headcount'!$C$46:$F$46</c:f>
              <c:numCache>
                <c:formatCode>0%</c:formatCode>
                <c:ptCount val="4"/>
                <c:pt idx="0">
                  <c:v>0.28399999999999997</c:v>
                </c:pt>
                <c:pt idx="1">
                  <c:v>0.33500000000000002</c:v>
                </c:pt>
                <c:pt idx="2">
                  <c:v>0.214</c:v>
                </c:pt>
                <c:pt idx="3">
                  <c:v>0.252</c:v>
                </c:pt>
              </c:numCache>
            </c:numRef>
          </c:val>
          <c:smooth val="0"/>
          <c:extLst>
            <c:ext xmlns:c16="http://schemas.microsoft.com/office/drawing/2014/chart" uri="{C3380CC4-5D6E-409C-BE32-E72D297353CC}">
              <c16:uniqueId val="{00000002-E5D0-4C32-AEB1-00382E55B945}"/>
            </c:ext>
          </c:extLst>
        </c:ser>
        <c:dLbls>
          <c:showLegendKey val="0"/>
          <c:showVal val="0"/>
          <c:showCatName val="0"/>
          <c:showSerName val="0"/>
          <c:showPercent val="0"/>
          <c:showBubbleSize val="0"/>
        </c:dLbls>
        <c:smooth val="0"/>
        <c:axId val="364891832"/>
        <c:axId val="364917088"/>
      </c:lineChart>
      <c:catAx>
        <c:axId val="364891832"/>
        <c:scaling>
          <c:orientation val="minMax"/>
        </c:scaling>
        <c:delete val="0"/>
        <c:axPos val="b"/>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4917088"/>
        <c:crosses val="autoZero"/>
        <c:auto val="1"/>
        <c:lblAlgn val="ctr"/>
        <c:lblOffset val="100"/>
        <c:noMultiLvlLbl val="0"/>
      </c:catAx>
      <c:valAx>
        <c:axId val="3649170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4891832"/>
        <c:crosses val="autoZero"/>
        <c:crossBetween val="between"/>
      </c:valAx>
      <c:spPr>
        <a:noFill/>
        <a:ln>
          <a:noFill/>
        </a:ln>
        <a:effectLst/>
      </c:spPr>
    </c:plotArea>
    <c:legend>
      <c:legendPos val="b"/>
      <c:layout>
        <c:manualLayout>
          <c:xMode val="edge"/>
          <c:yMode val="edge"/>
          <c:x val="1.4984479412590802E-2"/>
          <c:y val="0.82291557305336838"/>
          <c:w val="0.97147170379794967"/>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'!$E$9:$E$18</c:f>
              <c:numCache>
                <c:formatCode>General</c:formatCode>
                <c:ptCount val="10"/>
                <c:pt idx="0">
                  <c:v>43.9</c:v>
                </c:pt>
                <c:pt idx="1">
                  <c:v>31</c:v>
                </c:pt>
                <c:pt idx="2">
                  <c:v>18.3</c:v>
                </c:pt>
                <c:pt idx="3">
                  <c:v>45.2</c:v>
                </c:pt>
                <c:pt idx="4">
                  <c:v>47.4</c:v>
                </c:pt>
                <c:pt idx="5">
                  <c:v>41.8</c:v>
                </c:pt>
                <c:pt idx="6">
                  <c:v>40.9</c:v>
                </c:pt>
                <c:pt idx="7">
                  <c:v>37.5</c:v>
                </c:pt>
                <c:pt idx="8">
                  <c:v>21.2</c:v>
                </c:pt>
                <c:pt idx="9">
                  <c:v>35.6</c:v>
                </c:pt>
              </c:numCache>
            </c:numRef>
          </c:val>
          <c:extLst>
            <c:ext xmlns:c16="http://schemas.microsoft.com/office/drawing/2014/chart" uri="{C3380CC4-5D6E-409C-BE32-E72D297353CC}">
              <c16:uniqueId val="{00000000-DA01-4357-9262-8332C5051E12}"/>
            </c:ext>
          </c:extLst>
        </c:ser>
        <c:ser>
          <c:idx val="1"/>
          <c:order val="1"/>
          <c:tx>
            <c:v>2009</c:v>
          </c:tx>
          <c:spPr>
            <a:solidFill>
              <a:srgbClr val="F8A662"/>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'!$F$9:$F$18</c:f>
              <c:numCache>
                <c:formatCode>General</c:formatCode>
                <c:ptCount val="10"/>
                <c:pt idx="0">
                  <c:v>44.9</c:v>
                </c:pt>
                <c:pt idx="1">
                  <c:v>34.9</c:v>
                </c:pt>
                <c:pt idx="2">
                  <c:v>16.600000000000001</c:v>
                </c:pt>
                <c:pt idx="3">
                  <c:v>41.2</c:v>
                </c:pt>
                <c:pt idx="4">
                  <c:v>50.6</c:v>
                </c:pt>
                <c:pt idx="5">
                  <c:v>40.700000000000003</c:v>
                </c:pt>
                <c:pt idx="6">
                  <c:v>36.6</c:v>
                </c:pt>
                <c:pt idx="7">
                  <c:v>36</c:v>
                </c:pt>
                <c:pt idx="8">
                  <c:v>18.100000000000001</c:v>
                </c:pt>
                <c:pt idx="9">
                  <c:v>33.5</c:v>
                </c:pt>
              </c:numCache>
            </c:numRef>
          </c:val>
          <c:extLst>
            <c:ext xmlns:c16="http://schemas.microsoft.com/office/drawing/2014/chart" uri="{C3380CC4-5D6E-409C-BE32-E72D297353CC}">
              <c16:uniqueId val="{00000001-DA01-4357-9262-8332C5051E12}"/>
            </c:ext>
          </c:extLst>
        </c:ser>
        <c:ser>
          <c:idx val="2"/>
          <c:order val="2"/>
          <c:tx>
            <c:v>2011</c:v>
          </c:tx>
          <c:spPr>
            <a:solidFill>
              <a:srgbClr val="E46C0A"/>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'!$G$9:$G$18</c:f>
              <c:numCache>
                <c:formatCode>General</c:formatCode>
                <c:ptCount val="10"/>
                <c:pt idx="0">
                  <c:v>35.5</c:v>
                </c:pt>
                <c:pt idx="1">
                  <c:v>23.4</c:v>
                </c:pt>
                <c:pt idx="2">
                  <c:v>12</c:v>
                </c:pt>
                <c:pt idx="3">
                  <c:v>33.4</c:v>
                </c:pt>
                <c:pt idx="4">
                  <c:v>36.799999999999997</c:v>
                </c:pt>
                <c:pt idx="5">
                  <c:v>31.1</c:v>
                </c:pt>
                <c:pt idx="6">
                  <c:v>26.4</c:v>
                </c:pt>
                <c:pt idx="7">
                  <c:v>29.6</c:v>
                </c:pt>
                <c:pt idx="8">
                  <c:v>12.5</c:v>
                </c:pt>
                <c:pt idx="9">
                  <c:v>25.5</c:v>
                </c:pt>
              </c:numCache>
            </c:numRef>
          </c:val>
          <c:extLst>
            <c:ext xmlns:c16="http://schemas.microsoft.com/office/drawing/2014/chart" uri="{C3380CC4-5D6E-409C-BE32-E72D297353CC}">
              <c16:uniqueId val="{00000002-DA01-4357-9262-8332C5051E12}"/>
            </c:ext>
          </c:extLst>
        </c:ser>
        <c:ser>
          <c:idx val="3"/>
          <c:order val="3"/>
          <c:tx>
            <c:strRef>
              <c:f>'Poverty Gap indices  '!$H$8</c:f>
              <c:strCache>
                <c:ptCount val="1"/>
                <c:pt idx="0">
                  <c:v>2015</c:v>
                </c:pt>
              </c:strCache>
            </c:strRef>
          </c:tx>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'!$H$9:$H$18</c:f>
              <c:numCache>
                <c:formatCode>General</c:formatCode>
                <c:ptCount val="10"/>
                <c:pt idx="0">
                  <c:v>41.3</c:v>
                </c:pt>
                <c:pt idx="1">
                  <c:v>25.1</c:v>
                </c:pt>
                <c:pt idx="2">
                  <c:v>13.2</c:v>
                </c:pt>
                <c:pt idx="3">
                  <c:v>36.1</c:v>
                </c:pt>
                <c:pt idx="4">
                  <c:v>40.299999999999997</c:v>
                </c:pt>
                <c:pt idx="5">
                  <c:v>29</c:v>
                </c:pt>
                <c:pt idx="6">
                  <c:v>28</c:v>
                </c:pt>
                <c:pt idx="7">
                  <c:v>32.200000000000003</c:v>
                </c:pt>
                <c:pt idx="8">
                  <c:v>14.7</c:v>
                </c:pt>
                <c:pt idx="9">
                  <c:v>27.7</c:v>
                </c:pt>
              </c:numCache>
            </c:numRef>
          </c:val>
          <c:extLst>
            <c:ext xmlns:c16="http://schemas.microsoft.com/office/drawing/2014/chart" uri="{C3380CC4-5D6E-409C-BE32-E72D297353CC}">
              <c16:uniqueId val="{00000003-DA01-4357-9262-8332C5051E12}"/>
            </c:ext>
          </c:extLst>
        </c:ser>
        <c:dLbls>
          <c:showLegendKey val="0"/>
          <c:showVal val="0"/>
          <c:showCatName val="0"/>
          <c:showSerName val="0"/>
          <c:showPercent val="0"/>
          <c:showBubbleSize val="0"/>
        </c:dLbls>
        <c:gapWidth val="150"/>
        <c:axId val="403287312"/>
        <c:axId val="403279864"/>
      </c:barChart>
      <c:catAx>
        <c:axId val="403287312"/>
        <c:scaling>
          <c:orientation val="minMax"/>
        </c:scaling>
        <c:delete val="0"/>
        <c:axPos val="b"/>
        <c:numFmt formatCode="General" sourceLinked="0"/>
        <c:majorTickMark val="out"/>
        <c:minorTickMark val="none"/>
        <c:tickLblPos val="nextTo"/>
        <c:spPr>
          <a:ln>
            <a:solidFill>
              <a:schemeClr val="tx1">
                <a:lumMod val="95000"/>
                <a:lumOff val="5000"/>
              </a:schemeClr>
            </a:solidFill>
          </a:ln>
        </c:spPr>
        <c:crossAx val="403279864"/>
        <c:crosses val="autoZero"/>
        <c:auto val="1"/>
        <c:lblAlgn val="ctr"/>
        <c:lblOffset val="100"/>
        <c:noMultiLvlLbl val="0"/>
      </c:catAx>
      <c:valAx>
        <c:axId val="403279864"/>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32873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'!$L$9:$L$18</c:f>
              <c:numCache>
                <c:formatCode>General</c:formatCode>
                <c:ptCount val="10"/>
                <c:pt idx="0">
                  <c:v>28.4</c:v>
                </c:pt>
                <c:pt idx="1">
                  <c:v>18.2</c:v>
                </c:pt>
                <c:pt idx="2">
                  <c:v>9.6</c:v>
                </c:pt>
                <c:pt idx="3">
                  <c:v>30.3</c:v>
                </c:pt>
                <c:pt idx="4">
                  <c:v>31</c:v>
                </c:pt>
                <c:pt idx="5">
                  <c:v>26.9</c:v>
                </c:pt>
                <c:pt idx="6">
                  <c:v>26.2</c:v>
                </c:pt>
                <c:pt idx="7">
                  <c:v>23.7</c:v>
                </c:pt>
                <c:pt idx="8">
                  <c:v>11.7</c:v>
                </c:pt>
                <c:pt idx="9">
                  <c:v>22.5</c:v>
                </c:pt>
              </c:numCache>
            </c:numRef>
          </c:val>
          <c:extLst>
            <c:ext xmlns:c16="http://schemas.microsoft.com/office/drawing/2014/chart" uri="{C3380CC4-5D6E-409C-BE32-E72D297353CC}">
              <c16:uniqueId val="{00000000-DF7E-4178-AD31-4C7E1849783E}"/>
            </c:ext>
          </c:extLst>
        </c:ser>
        <c:ser>
          <c:idx val="1"/>
          <c:order val="1"/>
          <c:tx>
            <c:v>2009</c:v>
          </c:tx>
          <c:spPr>
            <a:solidFill>
              <a:srgbClr val="F8A662"/>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'!$M$9:$M$18</c:f>
              <c:numCache>
                <c:formatCode>General</c:formatCode>
                <c:ptCount val="10"/>
                <c:pt idx="0">
                  <c:v>29.6</c:v>
                </c:pt>
                <c:pt idx="1">
                  <c:v>21</c:v>
                </c:pt>
                <c:pt idx="2">
                  <c:v>9.1</c:v>
                </c:pt>
                <c:pt idx="3">
                  <c:v>27.1</c:v>
                </c:pt>
                <c:pt idx="4">
                  <c:v>34.700000000000003</c:v>
                </c:pt>
                <c:pt idx="5">
                  <c:v>26.4</c:v>
                </c:pt>
                <c:pt idx="6">
                  <c:v>22.6</c:v>
                </c:pt>
                <c:pt idx="7">
                  <c:v>22.5</c:v>
                </c:pt>
                <c:pt idx="8">
                  <c:v>9.9</c:v>
                </c:pt>
                <c:pt idx="9">
                  <c:v>21.3</c:v>
                </c:pt>
              </c:numCache>
            </c:numRef>
          </c:val>
          <c:extLst>
            <c:ext xmlns:c16="http://schemas.microsoft.com/office/drawing/2014/chart" uri="{C3380CC4-5D6E-409C-BE32-E72D297353CC}">
              <c16:uniqueId val="{00000001-DF7E-4178-AD31-4C7E1849783E}"/>
            </c:ext>
          </c:extLst>
        </c:ser>
        <c:ser>
          <c:idx val="2"/>
          <c:order val="2"/>
          <c:tx>
            <c:v>2011</c:v>
          </c:tx>
          <c:spPr>
            <a:solidFill>
              <a:srgbClr val="E46C0A"/>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'!$N$9:$N$18</c:f>
              <c:numCache>
                <c:formatCode>General</c:formatCode>
                <c:ptCount val="10"/>
                <c:pt idx="0">
                  <c:v>21.6</c:v>
                </c:pt>
                <c:pt idx="1">
                  <c:v>13.4</c:v>
                </c:pt>
                <c:pt idx="2">
                  <c:v>6.4</c:v>
                </c:pt>
                <c:pt idx="3">
                  <c:v>20.399999999999999</c:v>
                </c:pt>
                <c:pt idx="4">
                  <c:v>23</c:v>
                </c:pt>
                <c:pt idx="5">
                  <c:v>18</c:v>
                </c:pt>
                <c:pt idx="6">
                  <c:v>14.9</c:v>
                </c:pt>
                <c:pt idx="7">
                  <c:v>17.8</c:v>
                </c:pt>
                <c:pt idx="8">
                  <c:v>6.2</c:v>
                </c:pt>
                <c:pt idx="9">
                  <c:v>15</c:v>
                </c:pt>
              </c:numCache>
            </c:numRef>
          </c:val>
          <c:extLst>
            <c:ext xmlns:c16="http://schemas.microsoft.com/office/drawing/2014/chart" uri="{C3380CC4-5D6E-409C-BE32-E72D297353CC}">
              <c16:uniqueId val="{00000002-DF7E-4178-AD31-4C7E1849783E}"/>
            </c:ext>
          </c:extLst>
        </c:ser>
        <c:ser>
          <c:idx val="3"/>
          <c:order val="3"/>
          <c:tx>
            <c:strRef>
              <c:f>'Poverty Gap indices  '!$O$8</c:f>
              <c:strCache>
                <c:ptCount val="1"/>
                <c:pt idx="0">
                  <c:v>2015</c:v>
                </c:pt>
              </c:strCache>
            </c:strRef>
          </c:tx>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'!$O$9:$O$18</c:f>
              <c:numCache>
                <c:formatCode>General</c:formatCode>
                <c:ptCount val="10"/>
                <c:pt idx="0">
                  <c:v>27.1</c:v>
                </c:pt>
                <c:pt idx="1">
                  <c:v>14.2</c:v>
                </c:pt>
                <c:pt idx="2">
                  <c:v>6.9</c:v>
                </c:pt>
                <c:pt idx="3">
                  <c:v>22.7</c:v>
                </c:pt>
                <c:pt idx="4">
                  <c:v>26.4</c:v>
                </c:pt>
                <c:pt idx="5">
                  <c:v>17.3</c:v>
                </c:pt>
                <c:pt idx="6">
                  <c:v>16.5</c:v>
                </c:pt>
                <c:pt idx="7">
                  <c:v>19.8</c:v>
                </c:pt>
                <c:pt idx="8">
                  <c:v>7.6</c:v>
                </c:pt>
                <c:pt idx="9">
                  <c:v>17</c:v>
                </c:pt>
              </c:numCache>
            </c:numRef>
          </c:val>
          <c:extLst>
            <c:ext xmlns:c16="http://schemas.microsoft.com/office/drawing/2014/chart" uri="{C3380CC4-5D6E-409C-BE32-E72D297353CC}">
              <c16:uniqueId val="{00000003-DF7E-4178-AD31-4C7E1849783E}"/>
            </c:ext>
          </c:extLst>
        </c:ser>
        <c:dLbls>
          <c:showLegendKey val="0"/>
          <c:showVal val="0"/>
          <c:showCatName val="0"/>
          <c:showSerName val="0"/>
          <c:showPercent val="0"/>
          <c:showBubbleSize val="0"/>
        </c:dLbls>
        <c:gapWidth val="150"/>
        <c:axId val="400480480"/>
        <c:axId val="404672872"/>
      </c:barChart>
      <c:catAx>
        <c:axId val="400480480"/>
        <c:scaling>
          <c:orientation val="minMax"/>
        </c:scaling>
        <c:delete val="0"/>
        <c:axPos val="b"/>
        <c:numFmt formatCode="General" sourceLinked="0"/>
        <c:majorTickMark val="none"/>
        <c:minorTickMark val="out"/>
        <c:tickLblPos val="nextTo"/>
        <c:spPr>
          <a:ln>
            <a:solidFill>
              <a:schemeClr val="tx1">
                <a:lumMod val="95000"/>
                <a:lumOff val="5000"/>
              </a:schemeClr>
            </a:solidFill>
          </a:ln>
        </c:spPr>
        <c:crossAx val="404672872"/>
        <c:crosses val="autoZero"/>
        <c:auto val="1"/>
        <c:lblAlgn val="ctr"/>
        <c:lblOffset val="100"/>
        <c:noMultiLvlLbl val="0"/>
      </c:catAx>
      <c:valAx>
        <c:axId val="404672872"/>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0480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[8]Grants!$B$51</c:f>
              <c:strCache>
                <c:ptCount val="1"/>
                <c:pt idx="0">
                  <c:v>War veterans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[8]Grants!$C$51:$J$51</c:f>
              <c:numCache>
                <c:formatCode>General</c:formatCode>
                <c:ptCount val="8"/>
                <c:pt idx="0">
                  <c:v>9197</c:v>
                </c:pt>
                <c:pt idx="1">
                  <c:v>7554</c:v>
                </c:pt>
                <c:pt idx="2">
                  <c:v>6175</c:v>
                </c:pt>
                <c:pt idx="3">
                  <c:v>5266</c:v>
                </c:pt>
                <c:pt idx="4">
                  <c:v>4594</c:v>
                </c:pt>
                <c:pt idx="5">
                  <c:v>3961</c:v>
                </c:pt>
                <c:pt idx="6">
                  <c:v>3340</c:v>
                </c:pt>
                <c:pt idx="7">
                  <c:v>2795</c:v>
                </c:pt>
              </c:numCache>
            </c:numRef>
          </c:val>
          <c:smooth val="0"/>
          <c:extLst>
            <c:ext xmlns:c16="http://schemas.microsoft.com/office/drawing/2014/chart" uri="{C3380CC4-5D6E-409C-BE32-E72D297353CC}">
              <c16:uniqueId val="{00000000-69A9-42BF-99FB-0A841E95C412}"/>
            </c:ext>
          </c:extLst>
        </c:ser>
        <c:ser>
          <c:idx val="0"/>
          <c:order val="1"/>
          <c:tx>
            <c:strRef>
              <c:f>[8]Grants!$B$52</c:f>
              <c:strCache>
                <c:ptCount val="1"/>
                <c:pt idx="0">
                  <c:v>Disability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[8]Grants!$C$52:$J$52</c:f>
              <c:numCache>
                <c:formatCode>General</c:formatCode>
                <c:ptCount val="8"/>
                <c:pt idx="0">
                  <c:v>633778</c:v>
                </c:pt>
                <c:pt idx="1">
                  <c:v>612614</c:v>
                </c:pt>
                <c:pt idx="2">
                  <c:v>641459</c:v>
                </c:pt>
                <c:pt idx="3">
                  <c:v>732928</c:v>
                </c:pt>
                <c:pt idx="4">
                  <c:v>953965</c:v>
                </c:pt>
                <c:pt idx="5">
                  <c:v>1270964</c:v>
                </c:pt>
                <c:pt idx="6">
                  <c:v>1307459</c:v>
                </c:pt>
                <c:pt idx="7">
                  <c:v>1332547</c:v>
                </c:pt>
              </c:numCache>
            </c:numRef>
          </c:val>
          <c:smooth val="0"/>
          <c:extLst>
            <c:ext xmlns:c16="http://schemas.microsoft.com/office/drawing/2014/chart" uri="{C3380CC4-5D6E-409C-BE32-E72D297353CC}">
              <c16:uniqueId val="{00000001-69A9-42BF-99FB-0A841E95C412}"/>
            </c:ext>
          </c:extLst>
        </c:ser>
        <c:ser>
          <c:idx val="5"/>
          <c:order val="2"/>
          <c:tx>
            <c:strRef>
              <c:f>[8]Grants!$B$53</c:f>
              <c:strCache>
                <c:ptCount val="1"/>
                <c:pt idx="0">
                  <c:v>Grant in aid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[8]Grants!$C$53:$J$53</c:f>
              <c:numCache>
                <c:formatCode>General</c:formatCode>
                <c:ptCount val="8"/>
                <c:pt idx="0">
                  <c:v>8496</c:v>
                </c:pt>
                <c:pt idx="1">
                  <c:v>8748</c:v>
                </c:pt>
                <c:pt idx="2">
                  <c:v>8529</c:v>
                </c:pt>
                <c:pt idx="3">
                  <c:v>10435</c:v>
                </c:pt>
                <c:pt idx="4">
                  <c:v>12787</c:v>
                </c:pt>
                <c:pt idx="5">
                  <c:v>18170</c:v>
                </c:pt>
                <c:pt idx="6">
                  <c:v>23131</c:v>
                </c:pt>
                <c:pt idx="7">
                  <c:v>27252</c:v>
                </c:pt>
              </c:numCache>
            </c:numRef>
          </c:val>
          <c:smooth val="0"/>
          <c:extLst>
            <c:ext xmlns:c16="http://schemas.microsoft.com/office/drawing/2014/chart" uri="{C3380CC4-5D6E-409C-BE32-E72D297353CC}">
              <c16:uniqueId val="{00000002-69A9-42BF-99FB-0A841E95C412}"/>
            </c:ext>
          </c:extLst>
        </c:ser>
        <c:ser>
          <c:idx val="6"/>
          <c:order val="3"/>
          <c:tx>
            <c:strRef>
              <c:f>[8]Grants!$B$54</c:f>
              <c:strCache>
                <c:ptCount val="1"/>
                <c:pt idx="0">
                  <c:v>Foster care</c:v>
                </c:pt>
              </c:strCache>
            </c:strRef>
          </c:tx>
          <c:spPr>
            <a:ln w="12700">
              <a:solidFill>
                <a:srgbClr val="008080"/>
              </a:solidFill>
              <a:prstDash val="solid"/>
            </a:ln>
          </c:spPr>
          <c:marker>
            <c:symbol val="plus"/>
            <c:size val="5"/>
            <c:spPr>
              <a:noFill/>
              <a:ln>
                <a:solidFill>
                  <a:srgbClr val="008080"/>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[8]Grants!$C$54:$J$54</c:f>
              <c:numCache>
                <c:formatCode>General</c:formatCode>
                <c:ptCount val="8"/>
                <c:pt idx="0">
                  <c:v>71901</c:v>
                </c:pt>
                <c:pt idx="1">
                  <c:v>79937</c:v>
                </c:pt>
                <c:pt idx="2">
                  <c:v>85315</c:v>
                </c:pt>
                <c:pt idx="3">
                  <c:v>108207</c:v>
                </c:pt>
                <c:pt idx="4">
                  <c:v>138763</c:v>
                </c:pt>
                <c:pt idx="5">
                  <c:v>200340</c:v>
                </c:pt>
                <c:pt idx="6">
                  <c:v>256325</c:v>
                </c:pt>
                <c:pt idx="7">
                  <c:v>209093</c:v>
                </c:pt>
              </c:numCache>
            </c:numRef>
          </c:val>
          <c:smooth val="0"/>
          <c:extLst>
            <c:ext xmlns:c16="http://schemas.microsoft.com/office/drawing/2014/chart" uri="{C3380CC4-5D6E-409C-BE32-E72D297353CC}">
              <c16:uniqueId val="{00000003-69A9-42BF-99FB-0A841E95C412}"/>
            </c:ext>
          </c:extLst>
        </c:ser>
        <c:dLbls>
          <c:showLegendKey val="0"/>
          <c:showVal val="0"/>
          <c:showCatName val="0"/>
          <c:showSerName val="0"/>
          <c:showPercent val="0"/>
          <c:showBubbleSize val="0"/>
        </c:dLbls>
        <c:marker val="1"/>
        <c:smooth val="0"/>
        <c:axId val="404676400"/>
        <c:axId val="404672088"/>
      </c:lineChart>
      <c:lineChart>
        <c:grouping val="standard"/>
        <c:varyColors val="0"/>
        <c:ser>
          <c:idx val="2"/>
          <c:order val="4"/>
          <c:tx>
            <c:strRef>
              <c:f>[8]Grants!$B$55</c:f>
              <c:strCache>
                <c:ptCount val="1"/>
                <c:pt idx="0">
                  <c:v>Care dependency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[8]Grants!$C$55:$J$55</c:f>
              <c:numCache>
                <c:formatCode>General</c:formatCode>
                <c:ptCount val="8"/>
                <c:pt idx="0">
                  <c:v>16835</c:v>
                </c:pt>
                <c:pt idx="1">
                  <c:v>24438</c:v>
                </c:pt>
                <c:pt idx="2">
                  <c:v>33545</c:v>
                </c:pt>
                <c:pt idx="3">
                  <c:v>43325</c:v>
                </c:pt>
                <c:pt idx="4">
                  <c:v>58140</c:v>
                </c:pt>
                <c:pt idx="5">
                  <c:v>77934</c:v>
                </c:pt>
                <c:pt idx="6">
                  <c:v>85818</c:v>
                </c:pt>
                <c:pt idx="7">
                  <c:v>88997</c:v>
                </c:pt>
              </c:numCache>
            </c:numRef>
          </c:val>
          <c:smooth val="0"/>
          <c:extLst>
            <c:ext xmlns:c16="http://schemas.microsoft.com/office/drawing/2014/chart" uri="{C3380CC4-5D6E-409C-BE32-E72D297353CC}">
              <c16:uniqueId val="{00000004-69A9-42BF-99FB-0A841E95C412}"/>
            </c:ext>
          </c:extLst>
        </c:ser>
        <c:ser>
          <c:idx val="3"/>
          <c:order val="5"/>
          <c:tx>
            <c:strRef>
              <c:f>[8]Grants!$B$56</c:f>
              <c:strCache>
                <c:ptCount val="1"/>
                <c:pt idx="0">
                  <c:v>Child Support</c:v>
                </c:pt>
              </c:strCache>
            </c:strRef>
          </c:tx>
          <c:spPr>
            <a:ln w="12700">
              <a:solidFill>
                <a:srgbClr val="00FFFF"/>
              </a:solidFill>
              <a:prstDash val="solid"/>
            </a:ln>
          </c:spPr>
          <c:marker>
            <c:symbol val="x"/>
            <c:size val="5"/>
            <c:spPr>
              <a:noFill/>
              <a:ln>
                <a:solidFill>
                  <a:srgbClr val="00FFFF"/>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[8]Grants!$C$56:$J$56</c:f>
              <c:numCache>
                <c:formatCode>General</c:formatCode>
                <c:ptCount val="8"/>
                <c:pt idx="0">
                  <c:v>34471</c:v>
                </c:pt>
                <c:pt idx="1">
                  <c:v>352617</c:v>
                </c:pt>
                <c:pt idx="2">
                  <c:v>1102957</c:v>
                </c:pt>
                <c:pt idx="3">
                  <c:v>1751563</c:v>
                </c:pt>
                <c:pt idx="4">
                  <c:v>2630826</c:v>
                </c:pt>
                <c:pt idx="5">
                  <c:v>4309772</c:v>
                </c:pt>
                <c:pt idx="6">
                  <c:v>5633647</c:v>
                </c:pt>
                <c:pt idx="7">
                  <c:v>7170564</c:v>
                </c:pt>
              </c:numCache>
            </c:numRef>
          </c:val>
          <c:smooth val="0"/>
          <c:extLst>
            <c:ext xmlns:c16="http://schemas.microsoft.com/office/drawing/2014/chart" uri="{C3380CC4-5D6E-409C-BE32-E72D297353CC}">
              <c16:uniqueId val="{00000005-69A9-42BF-99FB-0A841E95C412}"/>
            </c:ext>
          </c:extLst>
        </c:ser>
        <c:ser>
          <c:idx val="4"/>
          <c:order val="6"/>
          <c:tx>
            <c:strRef>
              <c:f>[8]Grants!$B$57</c:f>
              <c:strCache>
                <c:ptCount val="1"/>
                <c:pt idx="0">
                  <c:v>Total beneficiaries</c:v>
                </c:pt>
              </c:strCache>
            </c:strRef>
          </c:tx>
          <c:spPr>
            <a:ln w="12700">
              <a:solidFill>
                <a:srgbClr val="800080"/>
              </a:solidFill>
              <a:prstDash val="solid"/>
            </a:ln>
          </c:spPr>
          <c:marker>
            <c:symbol val="star"/>
            <c:size val="5"/>
            <c:spPr>
              <a:noFill/>
              <a:ln>
                <a:solidFill>
                  <a:srgbClr val="800080"/>
                </a:solidFill>
                <a:prstDash val="solid"/>
              </a:ln>
            </c:spPr>
          </c:marker>
          <c:cat>
            <c:numRef>
              <c:f>[8]Grants!$C$50:$J$50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[8]Grants!$C$57:$J$57</c:f>
              <c:numCache>
                <c:formatCode>General</c:formatCode>
                <c:ptCount val="8"/>
                <c:pt idx="0">
                  <c:v>2587373</c:v>
                </c:pt>
                <c:pt idx="1">
                  <c:v>2946618</c:v>
                </c:pt>
                <c:pt idx="2">
                  <c:v>3774912</c:v>
                </c:pt>
                <c:pt idx="3">
                  <c:v>4598037</c:v>
                </c:pt>
                <c:pt idx="4">
                  <c:v>5808494</c:v>
                </c:pt>
                <c:pt idx="5">
                  <c:v>7941562</c:v>
                </c:pt>
                <c:pt idx="6">
                  <c:v>9402795</c:v>
                </c:pt>
                <c:pt idx="7">
                  <c:v>10980654</c:v>
                </c:pt>
              </c:numCache>
            </c:numRef>
          </c:val>
          <c:smooth val="0"/>
          <c:extLst>
            <c:ext xmlns:c16="http://schemas.microsoft.com/office/drawing/2014/chart" uri="{C3380CC4-5D6E-409C-BE32-E72D297353CC}">
              <c16:uniqueId val="{00000006-69A9-42BF-99FB-0A841E95C412}"/>
            </c:ext>
          </c:extLst>
        </c:ser>
        <c:dLbls>
          <c:showLegendKey val="0"/>
          <c:showVal val="0"/>
          <c:showCatName val="0"/>
          <c:showSerName val="0"/>
          <c:showPercent val="0"/>
          <c:showBubbleSize val="0"/>
        </c:dLbls>
        <c:marker val="1"/>
        <c:smooth val="0"/>
        <c:axId val="404676008"/>
        <c:axId val="404683456"/>
      </c:lineChart>
      <c:catAx>
        <c:axId val="404676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2088"/>
        <c:crosses val="autoZero"/>
        <c:auto val="0"/>
        <c:lblAlgn val="ctr"/>
        <c:lblOffset val="100"/>
        <c:tickLblSkip val="1"/>
        <c:tickMarkSkip val="1"/>
        <c:noMultiLvlLbl val="0"/>
      </c:catAx>
      <c:valAx>
        <c:axId val="4046720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400"/>
        <c:crosses val="autoZero"/>
        <c:crossBetween val="between"/>
      </c:valAx>
      <c:catAx>
        <c:axId val="404676008"/>
        <c:scaling>
          <c:orientation val="minMax"/>
        </c:scaling>
        <c:delete val="1"/>
        <c:axPos val="b"/>
        <c:numFmt formatCode="General" sourceLinked="1"/>
        <c:majorTickMark val="out"/>
        <c:minorTickMark val="none"/>
        <c:tickLblPos val="nextTo"/>
        <c:crossAx val="404683456"/>
        <c:crosses val="autoZero"/>
        <c:auto val="0"/>
        <c:lblAlgn val="ctr"/>
        <c:lblOffset val="100"/>
        <c:noMultiLvlLbl val="0"/>
      </c:catAx>
      <c:valAx>
        <c:axId val="404683456"/>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008"/>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22" r="0.750000000000005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Grants!$K$45</c:f>
              <c:strCache>
                <c:ptCount val="1"/>
                <c:pt idx="0">
                  <c:v>Expenditure (R million)</c:v>
                </c:pt>
              </c:strCache>
            </c:strRef>
          </c:tx>
          <c:spPr>
            <a:solidFill>
              <a:schemeClr val="accent2"/>
            </a:solidFill>
            <a:ln>
              <a:noFill/>
            </a:ln>
            <a:effectLst/>
          </c:spPr>
          <c:invertIfNegative val="0"/>
          <c:cat>
            <c:strRef>
              <c:f>Grants!$L$44:$Z$44</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
2013/14 </c:v>
                </c:pt>
                <c:pt idx="11">
                  <c:v>
2014/15</c:v>
                </c:pt>
                <c:pt idx="12">
                  <c:v>
2015/16</c:v>
                </c:pt>
                <c:pt idx="13">
                  <c:v>2016/17</c:v>
                </c:pt>
                <c:pt idx="14">
                  <c:v>2017/18</c:v>
                </c:pt>
              </c:strCache>
            </c:strRef>
          </c:cat>
          <c:val>
            <c:numRef>
              <c:f>Grants!$L$45:$Z$45</c:f>
              <c:numCache>
                <c:formatCode>#,##0</c:formatCode>
                <c:ptCount val="15"/>
                <c:pt idx="0">
                  <c:v>36982</c:v>
                </c:pt>
                <c:pt idx="1">
                  <c:v>44885</c:v>
                </c:pt>
                <c:pt idx="2">
                  <c:v>50708</c:v>
                </c:pt>
                <c:pt idx="3">
                  <c:v>57032</c:v>
                </c:pt>
                <c:pt idx="4">
                  <c:v>62467</c:v>
                </c:pt>
                <c:pt idx="5">
                  <c:v>70715</c:v>
                </c:pt>
                <c:pt idx="6">
                  <c:v>80080</c:v>
                </c:pt>
                <c:pt idx="7">
                  <c:v>87493</c:v>
                </c:pt>
                <c:pt idx="8">
                  <c:v>95973</c:v>
                </c:pt>
                <c:pt idx="9">
                  <c:v>103899</c:v>
                </c:pt>
                <c:pt idx="10">
                  <c:v>109597</c:v>
                </c:pt>
                <c:pt idx="11">
                  <c:v>120702</c:v>
                </c:pt>
                <c:pt idx="12">
                  <c:v>128868</c:v>
                </c:pt>
                <c:pt idx="13">
                  <c:v>164936</c:v>
                </c:pt>
                <c:pt idx="14">
                  <c:v>178330</c:v>
                </c:pt>
              </c:numCache>
            </c:numRef>
          </c:val>
          <c:extLst>
            <c:ext xmlns:c16="http://schemas.microsoft.com/office/drawing/2014/chart" uri="{C3380CC4-5D6E-409C-BE32-E72D297353CC}">
              <c16:uniqueId val="{00000000-2C72-48B8-8366-6085D468EE65}"/>
            </c:ext>
          </c:extLst>
        </c:ser>
        <c:dLbls>
          <c:showLegendKey val="0"/>
          <c:showVal val="0"/>
          <c:showCatName val="0"/>
          <c:showSerName val="0"/>
          <c:showPercent val="0"/>
          <c:showBubbleSize val="0"/>
        </c:dLbls>
        <c:gapWidth val="219"/>
        <c:overlap val="-27"/>
        <c:axId val="1555643520"/>
        <c:axId val="1555646848"/>
      </c:barChart>
      <c:lineChart>
        <c:grouping val="standard"/>
        <c:varyColors val="0"/>
        <c:ser>
          <c:idx val="1"/>
          <c:order val="1"/>
          <c:tx>
            <c:strRef>
              <c:f>Grants!$K$46</c:f>
              <c:strCache>
                <c:ptCount val="1"/>
                <c:pt idx="0">
                  <c:v>% of GDP</c:v>
                </c:pt>
              </c:strCache>
            </c:strRef>
          </c:tx>
          <c:spPr>
            <a:ln w="28575" cap="rnd">
              <a:solidFill>
                <a:schemeClr val="accent4">
                  <a:lumMod val="50000"/>
                </a:schemeClr>
              </a:solidFill>
              <a:round/>
            </a:ln>
            <a:effectLst/>
          </c:spPr>
          <c:marker>
            <c:symbol val="none"/>
          </c:marker>
          <c:cat>
            <c:strRef>
              <c:f>Grants!$L$44:$Z$44</c:f>
              <c:strCache>
                <c:ptCount val="15"/>
                <c:pt idx="0">
                  <c:v>2003/04</c:v>
                </c:pt>
                <c:pt idx="1">
                  <c:v>2004/05</c:v>
                </c:pt>
                <c:pt idx="2">
                  <c:v>2005/06</c:v>
                </c:pt>
                <c:pt idx="3">
                  <c:v>2006/07</c:v>
                </c:pt>
                <c:pt idx="4">
                  <c:v>2007/08</c:v>
                </c:pt>
                <c:pt idx="5">
                  <c:v>2008/09</c:v>
                </c:pt>
                <c:pt idx="6">
                  <c:v>2009/10</c:v>
                </c:pt>
                <c:pt idx="7">
                  <c:v>2010/11</c:v>
                </c:pt>
                <c:pt idx="8">
                  <c:v>2011/12</c:v>
                </c:pt>
                <c:pt idx="9">
                  <c:v>2012/13</c:v>
                </c:pt>
                <c:pt idx="10">
                  <c:v>
2013/14 </c:v>
                </c:pt>
                <c:pt idx="11">
                  <c:v>
2014/15</c:v>
                </c:pt>
                <c:pt idx="12">
                  <c:v>
2015/16</c:v>
                </c:pt>
                <c:pt idx="13">
                  <c:v>2016/17</c:v>
                </c:pt>
                <c:pt idx="14">
                  <c:v>2017/18</c:v>
                </c:pt>
              </c:strCache>
            </c:strRef>
          </c:cat>
          <c:val>
            <c:numRef>
              <c:f>Grants!$L$46:$Z$46</c:f>
              <c:numCache>
                <c:formatCode>0.0%</c:formatCode>
                <c:ptCount val="15"/>
                <c:pt idx="0">
                  <c:v>2.9000000000000001E-2</c:v>
                </c:pt>
                <c:pt idx="1">
                  <c:v>3.1E-2</c:v>
                </c:pt>
                <c:pt idx="2">
                  <c:v>3.2000000000000001E-2</c:v>
                </c:pt>
                <c:pt idx="3">
                  <c:v>3.3000000000000002E-2</c:v>
                </c:pt>
                <c:pt idx="4">
                  <c:v>3.2000000000000001E-2</c:v>
                </c:pt>
                <c:pt idx="5">
                  <c:v>3.3000000000000002E-2</c:v>
                </c:pt>
                <c:pt idx="6">
                  <c:v>3.5000000000000003E-2</c:v>
                </c:pt>
                <c:pt idx="7">
                  <c:v>3.4000000000000002E-2</c:v>
                </c:pt>
                <c:pt idx="8">
                  <c:v>3.1E-2</c:v>
                </c:pt>
                <c:pt idx="9">
                  <c:v>3.1E-2</c:v>
                </c:pt>
                <c:pt idx="10">
                  <c:v>0.03</c:v>
                </c:pt>
                <c:pt idx="11">
                  <c:v>3.1E-2</c:v>
                </c:pt>
                <c:pt idx="12">
                  <c:v>3.2000000000000001E-2</c:v>
                </c:pt>
                <c:pt idx="13">
                  <c:v>3.1E-2</c:v>
                </c:pt>
                <c:pt idx="14">
                  <c:v>3.2000000000000001E-2</c:v>
                </c:pt>
              </c:numCache>
            </c:numRef>
          </c:val>
          <c:smooth val="0"/>
          <c:extLst>
            <c:ext xmlns:c16="http://schemas.microsoft.com/office/drawing/2014/chart" uri="{C3380CC4-5D6E-409C-BE32-E72D297353CC}">
              <c16:uniqueId val="{00000001-2C72-48B8-8366-6085D468EE65}"/>
            </c:ext>
          </c:extLst>
        </c:ser>
        <c:dLbls>
          <c:showLegendKey val="0"/>
          <c:showVal val="0"/>
          <c:showCatName val="0"/>
          <c:showSerName val="0"/>
          <c:showPercent val="0"/>
          <c:showBubbleSize val="0"/>
        </c:dLbls>
        <c:marker val="1"/>
        <c:smooth val="0"/>
        <c:axId val="1555644352"/>
        <c:axId val="1555638112"/>
      </c:lineChart>
      <c:catAx>
        <c:axId val="1555643520"/>
        <c:scaling>
          <c:orientation val="minMax"/>
        </c:scaling>
        <c:delete val="0"/>
        <c:axPos val="b"/>
        <c:numFmt formatCode="General" sourceLinked="1"/>
        <c:majorTickMark val="none"/>
        <c:minorTickMark val="none"/>
        <c:tickLblPos val="nextTo"/>
        <c:spPr>
          <a:noFill/>
          <a:ln w="12700" cap="flat" cmpd="sng" algn="ctr">
            <a:solidFill>
              <a:schemeClr val="accent4">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646848"/>
        <c:crosses val="autoZero"/>
        <c:auto val="1"/>
        <c:lblAlgn val="ctr"/>
        <c:lblOffset val="100"/>
        <c:noMultiLvlLbl val="0"/>
      </c:catAx>
      <c:valAx>
        <c:axId val="1555646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r>
                  <a:rPr lang="en-US" baseline="0"/>
                  <a:t> (R million)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643520"/>
        <c:crosses val="autoZero"/>
        <c:crossBetween val="between"/>
      </c:valAx>
      <c:valAx>
        <c:axId val="15556381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of GDP</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644352"/>
        <c:crosses val="max"/>
        <c:crossBetween val="between"/>
      </c:valAx>
      <c:catAx>
        <c:axId val="1555644352"/>
        <c:scaling>
          <c:orientation val="minMax"/>
        </c:scaling>
        <c:delete val="1"/>
        <c:axPos val="b"/>
        <c:numFmt formatCode="General" sourceLinked="1"/>
        <c:majorTickMark val="out"/>
        <c:minorTickMark val="none"/>
        <c:tickLblPos val="nextTo"/>
        <c:crossAx val="15556381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ZA"/>
              <a:t>LIFE EXPECTANCY</a:t>
            </a:r>
          </a:p>
        </c:rich>
      </c:tx>
      <c:layout>
        <c:manualLayout>
          <c:xMode val="edge"/>
          <c:yMode val="edge"/>
          <c:x val="7.8320097447627093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525"/>
          <c:h val="0.7023294523432263"/>
        </c:manualLayout>
      </c:layout>
      <c:lineChart>
        <c:grouping val="standard"/>
        <c:varyColors val="0"/>
        <c:ser>
          <c:idx val="0"/>
          <c:order val="0"/>
          <c:tx>
            <c:strRef>
              <c:f>'Life Expectancy '!$D$9</c:f>
              <c:strCache>
                <c:ptCount val="1"/>
                <c:pt idx="0">
                  <c:v>LE male  StatsSA</c:v>
                </c:pt>
              </c:strCache>
            </c:strRef>
          </c:tx>
          <c:spPr>
            <a:ln w="25400">
              <a:solidFill>
                <a:srgbClr val="FF6600"/>
              </a:solidFill>
              <a:prstDash val="solid"/>
            </a:ln>
          </c:spPr>
          <c:marker>
            <c:symbol val="none"/>
          </c:marker>
          <c:cat>
            <c:numRef>
              <c:f>'Life Expectancy '!$E$8:$U$8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'Life Expectancy '!$E$9:$U$9</c:f>
              <c:numCache>
                <c:formatCode>0.0</c:formatCode>
                <c:ptCount val="17"/>
                <c:pt idx="0">
                  <c:v>53.8</c:v>
                </c:pt>
                <c:pt idx="1">
                  <c:v>53.3</c:v>
                </c:pt>
                <c:pt idx="2">
                  <c:v>52.8</c:v>
                </c:pt>
                <c:pt idx="3">
                  <c:v>52.4</c:v>
                </c:pt>
                <c:pt idx="4">
                  <c:v>52.2</c:v>
                </c:pt>
                <c:pt idx="5">
                  <c:v>53.1</c:v>
                </c:pt>
                <c:pt idx="6">
                  <c:v>53.8</c:v>
                </c:pt>
                <c:pt idx="7">
                  <c:v>55.1</c:v>
                </c:pt>
                <c:pt idx="8">
                  <c:v>56.5</c:v>
                </c:pt>
                <c:pt idx="9">
                  <c:v>57.4</c:v>
                </c:pt>
                <c:pt idx="10">
                  <c:v>58.1</c:v>
                </c:pt>
                <c:pt idx="11">
                  <c:v>58.7</c:v>
                </c:pt>
                <c:pt idx="12">
                  <c:v>59.4</c:v>
                </c:pt>
                <c:pt idx="13">
                  <c:v>59.7</c:v>
                </c:pt>
                <c:pt idx="14">
                  <c:v>60.1</c:v>
                </c:pt>
                <c:pt idx="15" formatCode="General">
                  <c:v>60.7</c:v>
                </c:pt>
                <c:pt idx="16" formatCode="General">
                  <c:v>61.1</c:v>
                </c:pt>
              </c:numCache>
            </c:numRef>
          </c:val>
          <c:smooth val="0"/>
          <c:extLst>
            <c:ext xmlns:c16="http://schemas.microsoft.com/office/drawing/2014/chart" uri="{C3380CC4-5D6E-409C-BE32-E72D297353CC}">
              <c16:uniqueId val="{00000000-40D0-4BF7-862B-1FF5AF4B1CB2}"/>
            </c:ext>
          </c:extLst>
        </c:ser>
        <c:ser>
          <c:idx val="1"/>
          <c:order val="1"/>
          <c:tx>
            <c:strRef>
              <c:f>'Life Expectancy '!$D$10</c:f>
              <c:strCache>
                <c:ptCount val="1"/>
                <c:pt idx="0">
                  <c:v>LE female  StatsSA</c:v>
                </c:pt>
              </c:strCache>
            </c:strRef>
          </c:tx>
          <c:spPr>
            <a:ln w="25400">
              <a:solidFill>
                <a:srgbClr val="BE4B48"/>
              </a:solidFill>
              <a:prstDash val="solid"/>
            </a:ln>
          </c:spPr>
          <c:marker>
            <c:symbol val="none"/>
          </c:marker>
          <c:cat>
            <c:numRef>
              <c:f>'Life Expectancy '!$E$8:$U$8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'Life Expectancy '!$E$10:$U$10</c:f>
              <c:numCache>
                <c:formatCode>0.0</c:formatCode>
                <c:ptCount val="17"/>
                <c:pt idx="0">
                  <c:v>57.6</c:v>
                </c:pt>
                <c:pt idx="1">
                  <c:v>56.6</c:v>
                </c:pt>
                <c:pt idx="2">
                  <c:v>55.9</c:v>
                </c:pt>
                <c:pt idx="3">
                  <c:v>55.5</c:v>
                </c:pt>
                <c:pt idx="4">
                  <c:v>55.8</c:v>
                </c:pt>
                <c:pt idx="5">
                  <c:v>56.6</c:v>
                </c:pt>
                <c:pt idx="6">
                  <c:v>58.1</c:v>
                </c:pt>
                <c:pt idx="7">
                  <c:v>59.6</c:v>
                </c:pt>
                <c:pt idx="8">
                  <c:v>61.2</c:v>
                </c:pt>
                <c:pt idx="9">
                  <c:v>62.3</c:v>
                </c:pt>
                <c:pt idx="10">
                  <c:v>64.099999999999994</c:v>
                </c:pt>
                <c:pt idx="11">
                  <c:v>64.8</c:v>
                </c:pt>
                <c:pt idx="12">
                  <c:v>65.5</c:v>
                </c:pt>
                <c:pt idx="13">
                  <c:v>65.900000000000006</c:v>
                </c:pt>
                <c:pt idx="14">
                  <c:v>66.2</c:v>
                </c:pt>
                <c:pt idx="15" formatCode="General">
                  <c:v>67.099999999999994</c:v>
                </c:pt>
                <c:pt idx="16" formatCode="General">
                  <c:v>67.3</c:v>
                </c:pt>
              </c:numCache>
            </c:numRef>
          </c:val>
          <c:smooth val="0"/>
          <c:extLst>
            <c:ext xmlns:c16="http://schemas.microsoft.com/office/drawing/2014/chart" uri="{C3380CC4-5D6E-409C-BE32-E72D297353CC}">
              <c16:uniqueId val="{00000001-40D0-4BF7-862B-1FF5AF4B1CB2}"/>
            </c:ext>
          </c:extLst>
        </c:ser>
        <c:ser>
          <c:idx val="2"/>
          <c:order val="2"/>
          <c:tx>
            <c:strRef>
              <c:f>'Life Expectancy '!$D$11</c:f>
              <c:strCache>
                <c:ptCount val="1"/>
                <c:pt idx="0">
                  <c:v>LE combined  StatsSA</c:v>
                </c:pt>
              </c:strCache>
            </c:strRef>
          </c:tx>
          <c:spPr>
            <a:ln w="25400">
              <a:solidFill>
                <a:srgbClr val="FFC600"/>
              </a:solidFill>
              <a:prstDash val="solid"/>
            </a:ln>
          </c:spPr>
          <c:marker>
            <c:symbol val="none"/>
          </c:marker>
          <c:cat>
            <c:numRef>
              <c:f>'Life Expectancy '!$E$8:$U$8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'Life Expectancy '!$E$11:$U$11</c:f>
              <c:numCache>
                <c:formatCode>0.0</c:formatCode>
                <c:ptCount val="17"/>
                <c:pt idx="0">
                  <c:v>55.8</c:v>
                </c:pt>
                <c:pt idx="1">
                  <c:v>55</c:v>
                </c:pt>
                <c:pt idx="2">
                  <c:v>54.4</c:v>
                </c:pt>
                <c:pt idx="3">
                  <c:v>54</c:v>
                </c:pt>
                <c:pt idx="4">
                  <c:v>54.1</c:v>
                </c:pt>
                <c:pt idx="5">
                  <c:v>54.9</c:v>
                </c:pt>
                <c:pt idx="6">
                  <c:v>56</c:v>
                </c:pt>
                <c:pt idx="7">
                  <c:v>57.4</c:v>
                </c:pt>
                <c:pt idx="8">
                  <c:v>58.9</c:v>
                </c:pt>
                <c:pt idx="9">
                  <c:v>59.9</c:v>
                </c:pt>
                <c:pt idx="10">
                  <c:v>61.2</c:v>
                </c:pt>
                <c:pt idx="11">
                  <c:v>61.8</c:v>
                </c:pt>
                <c:pt idx="12">
                  <c:v>62.5</c:v>
                </c:pt>
                <c:pt idx="13">
                  <c:v>62.8</c:v>
                </c:pt>
                <c:pt idx="14">
                  <c:v>63.2</c:v>
                </c:pt>
                <c:pt idx="15" formatCode="General">
                  <c:v>63.9</c:v>
                </c:pt>
                <c:pt idx="16">
                  <c:v>64.2</c:v>
                </c:pt>
              </c:numCache>
            </c:numRef>
          </c:val>
          <c:smooth val="0"/>
          <c:extLst>
            <c:ext xmlns:c16="http://schemas.microsoft.com/office/drawing/2014/chart" uri="{C3380CC4-5D6E-409C-BE32-E72D297353CC}">
              <c16:uniqueId val="{00000002-40D0-4BF7-862B-1FF5AF4B1CB2}"/>
            </c:ext>
          </c:extLst>
        </c:ser>
        <c:dLbls>
          <c:showLegendKey val="0"/>
          <c:showVal val="0"/>
          <c:showCatName val="0"/>
          <c:showSerName val="0"/>
          <c:showPercent val="0"/>
          <c:showBubbleSize val="0"/>
        </c:dLbls>
        <c:smooth val="0"/>
        <c:axId val="1786699024"/>
        <c:axId val="1786718064"/>
      </c:lineChart>
      <c:catAx>
        <c:axId val="178669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18064"/>
        <c:crosses val="autoZero"/>
        <c:auto val="1"/>
        <c:lblAlgn val="ctr"/>
        <c:lblOffset val="100"/>
        <c:tickLblSkip val="1"/>
        <c:tickMarkSkip val="1"/>
        <c:noMultiLvlLbl val="0"/>
      </c:catAx>
      <c:valAx>
        <c:axId val="1786718064"/>
        <c:scaling>
          <c:orientation val="minMax"/>
          <c:min val="48"/>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9024"/>
        <c:crosses val="autoZero"/>
        <c:crossBetween val="between"/>
      </c:valAx>
      <c:spPr>
        <a:solidFill>
          <a:srgbClr val="FFFFFF"/>
        </a:solidFill>
        <a:ln w="25400">
          <a:noFill/>
        </a:ln>
      </c:spPr>
    </c:plotArea>
    <c:legend>
      <c:legendPos val="r"/>
      <c:layout>
        <c:manualLayout>
          <c:xMode val="edge"/>
          <c:yMode val="edge"/>
          <c:x val="0.1187120190403789"/>
          <c:y val="0.88703774406617719"/>
          <c:w val="0.78045434809922243"/>
          <c:h val="0.10010883531812666"/>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672288304388"/>
          <c:y val="6.2707630296212985E-2"/>
          <c:w val="0.87019725371208034"/>
          <c:h val="0.67151246719160107"/>
        </c:manualLayout>
      </c:layout>
      <c:lineChart>
        <c:grouping val="standard"/>
        <c:varyColors val="0"/>
        <c:ser>
          <c:idx val="0"/>
          <c:order val="0"/>
          <c:tx>
            <c:strRef>
              <c:f>'Life Expectancy '!$D$9</c:f>
              <c:strCache>
                <c:ptCount val="1"/>
                <c:pt idx="0">
                  <c:v>LE male  StatsSA</c:v>
                </c:pt>
              </c:strCache>
            </c:strRef>
          </c:tx>
          <c:spPr>
            <a:ln w="15875">
              <a:solidFill>
                <a:srgbClr val="808000"/>
              </a:solidFill>
              <a:prstDash val="solid"/>
            </a:ln>
          </c:spPr>
          <c:marker>
            <c:symbol val="none"/>
          </c:marker>
          <c:cat>
            <c:numRef>
              <c:f>'Life Expectancy '!$E$8:$S$8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'Life Expectancy '!$E$9:$S$9</c:f>
              <c:numCache>
                <c:formatCode>0.0</c:formatCode>
                <c:ptCount val="15"/>
                <c:pt idx="0">
                  <c:v>53.8</c:v>
                </c:pt>
                <c:pt idx="1">
                  <c:v>53.3</c:v>
                </c:pt>
                <c:pt idx="2">
                  <c:v>52.8</c:v>
                </c:pt>
                <c:pt idx="3">
                  <c:v>52.4</c:v>
                </c:pt>
                <c:pt idx="4">
                  <c:v>52.2</c:v>
                </c:pt>
                <c:pt idx="5">
                  <c:v>53.1</c:v>
                </c:pt>
                <c:pt idx="6">
                  <c:v>53.8</c:v>
                </c:pt>
                <c:pt idx="7">
                  <c:v>55.1</c:v>
                </c:pt>
                <c:pt idx="8">
                  <c:v>56.5</c:v>
                </c:pt>
                <c:pt idx="9">
                  <c:v>57.4</c:v>
                </c:pt>
                <c:pt idx="10">
                  <c:v>58.1</c:v>
                </c:pt>
                <c:pt idx="11">
                  <c:v>58.7</c:v>
                </c:pt>
                <c:pt idx="12">
                  <c:v>59.4</c:v>
                </c:pt>
                <c:pt idx="13">
                  <c:v>59.7</c:v>
                </c:pt>
                <c:pt idx="14">
                  <c:v>60.1</c:v>
                </c:pt>
              </c:numCache>
            </c:numRef>
          </c:val>
          <c:smooth val="0"/>
          <c:extLst>
            <c:ext xmlns:c16="http://schemas.microsoft.com/office/drawing/2014/chart" uri="{C3380CC4-5D6E-409C-BE32-E72D297353CC}">
              <c16:uniqueId val="{00000000-75A8-4406-8800-34337A45941C}"/>
            </c:ext>
          </c:extLst>
        </c:ser>
        <c:ser>
          <c:idx val="1"/>
          <c:order val="1"/>
          <c:tx>
            <c:strRef>
              <c:f>'Life Expectancy '!$D$10</c:f>
              <c:strCache>
                <c:ptCount val="1"/>
                <c:pt idx="0">
                  <c:v>LE female  StatsSA</c:v>
                </c:pt>
              </c:strCache>
            </c:strRef>
          </c:tx>
          <c:spPr>
            <a:ln w="15875">
              <a:solidFill>
                <a:srgbClr val="FF6600"/>
              </a:solidFill>
              <a:prstDash val="solid"/>
            </a:ln>
          </c:spPr>
          <c:marker>
            <c:symbol val="none"/>
          </c:marker>
          <c:cat>
            <c:numRef>
              <c:f>'Life Expectancy '!$E$8:$S$8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'Life Expectancy '!$E$10:$S$10</c:f>
              <c:numCache>
                <c:formatCode>0.0</c:formatCode>
                <c:ptCount val="15"/>
                <c:pt idx="0">
                  <c:v>57.6</c:v>
                </c:pt>
                <c:pt idx="1">
                  <c:v>56.6</c:v>
                </c:pt>
                <c:pt idx="2">
                  <c:v>55.9</c:v>
                </c:pt>
                <c:pt idx="3">
                  <c:v>55.5</c:v>
                </c:pt>
                <c:pt idx="4">
                  <c:v>55.8</c:v>
                </c:pt>
                <c:pt idx="5">
                  <c:v>56.6</c:v>
                </c:pt>
                <c:pt idx="6">
                  <c:v>58.1</c:v>
                </c:pt>
                <c:pt idx="7">
                  <c:v>59.6</c:v>
                </c:pt>
                <c:pt idx="8">
                  <c:v>61.2</c:v>
                </c:pt>
                <c:pt idx="9">
                  <c:v>62.3</c:v>
                </c:pt>
                <c:pt idx="10">
                  <c:v>64.099999999999994</c:v>
                </c:pt>
                <c:pt idx="11">
                  <c:v>64.8</c:v>
                </c:pt>
                <c:pt idx="12">
                  <c:v>65.5</c:v>
                </c:pt>
                <c:pt idx="13">
                  <c:v>65.900000000000006</c:v>
                </c:pt>
                <c:pt idx="14">
                  <c:v>66.2</c:v>
                </c:pt>
              </c:numCache>
            </c:numRef>
          </c:val>
          <c:smooth val="0"/>
          <c:extLst>
            <c:ext xmlns:c16="http://schemas.microsoft.com/office/drawing/2014/chart" uri="{C3380CC4-5D6E-409C-BE32-E72D297353CC}">
              <c16:uniqueId val="{00000001-75A8-4406-8800-34337A45941C}"/>
            </c:ext>
          </c:extLst>
        </c:ser>
        <c:ser>
          <c:idx val="2"/>
          <c:order val="2"/>
          <c:tx>
            <c:strRef>
              <c:f>'Life Expectancy '!$D$11</c:f>
              <c:strCache>
                <c:ptCount val="1"/>
                <c:pt idx="0">
                  <c:v>LE combined  StatsSA</c:v>
                </c:pt>
              </c:strCache>
            </c:strRef>
          </c:tx>
          <c:spPr>
            <a:ln w="15875">
              <a:solidFill>
                <a:srgbClr val="993300"/>
              </a:solidFill>
              <a:prstDash val="solid"/>
            </a:ln>
          </c:spPr>
          <c:marker>
            <c:symbol val="none"/>
          </c:marker>
          <c:cat>
            <c:numRef>
              <c:f>'Life Expectancy '!$E$8:$S$8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'Life Expectancy '!$E$11:$S$11</c:f>
              <c:numCache>
                <c:formatCode>0.0</c:formatCode>
                <c:ptCount val="15"/>
                <c:pt idx="0">
                  <c:v>55.8</c:v>
                </c:pt>
                <c:pt idx="1">
                  <c:v>55</c:v>
                </c:pt>
                <c:pt idx="2">
                  <c:v>54.4</c:v>
                </c:pt>
                <c:pt idx="3">
                  <c:v>54</c:v>
                </c:pt>
                <c:pt idx="4">
                  <c:v>54.1</c:v>
                </c:pt>
                <c:pt idx="5">
                  <c:v>54.9</c:v>
                </c:pt>
                <c:pt idx="6">
                  <c:v>56</c:v>
                </c:pt>
                <c:pt idx="7">
                  <c:v>57.4</c:v>
                </c:pt>
                <c:pt idx="8">
                  <c:v>58.9</c:v>
                </c:pt>
                <c:pt idx="9">
                  <c:v>59.9</c:v>
                </c:pt>
                <c:pt idx="10">
                  <c:v>61.2</c:v>
                </c:pt>
                <c:pt idx="11">
                  <c:v>61.8</c:v>
                </c:pt>
                <c:pt idx="12">
                  <c:v>62.5</c:v>
                </c:pt>
                <c:pt idx="13">
                  <c:v>62.8</c:v>
                </c:pt>
                <c:pt idx="14">
                  <c:v>63.2</c:v>
                </c:pt>
              </c:numCache>
            </c:numRef>
          </c:val>
          <c:smooth val="0"/>
          <c:extLst>
            <c:ext xmlns:c16="http://schemas.microsoft.com/office/drawing/2014/chart" uri="{C3380CC4-5D6E-409C-BE32-E72D297353CC}">
              <c16:uniqueId val="{00000002-75A8-4406-8800-34337A45941C}"/>
            </c:ext>
          </c:extLst>
        </c:ser>
        <c:dLbls>
          <c:showLegendKey val="0"/>
          <c:showVal val="0"/>
          <c:showCatName val="0"/>
          <c:showSerName val="0"/>
          <c:showPercent val="0"/>
          <c:showBubbleSize val="0"/>
        </c:dLbls>
        <c:smooth val="0"/>
        <c:axId val="1786690864"/>
        <c:axId val="1786719696"/>
      </c:lineChart>
      <c:catAx>
        <c:axId val="178669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786719696"/>
        <c:crosses val="autoZero"/>
        <c:auto val="1"/>
        <c:lblAlgn val="ctr"/>
        <c:lblOffset val="100"/>
        <c:tickLblSkip val="1"/>
        <c:tickMarkSkip val="1"/>
        <c:noMultiLvlLbl val="0"/>
      </c:catAx>
      <c:valAx>
        <c:axId val="1786719696"/>
        <c:scaling>
          <c:orientation val="minMax"/>
          <c:min val="48"/>
        </c:scaling>
        <c:delete val="0"/>
        <c:axPos val="l"/>
        <c:majorGridlines>
          <c:spPr>
            <a:ln w="3175">
              <a:solidFill>
                <a:schemeClr val="bg1">
                  <a:lumMod val="75000"/>
                </a:schemeClr>
              </a:solidFill>
              <a:prstDash val="sysDash"/>
            </a:ln>
          </c:spPr>
        </c:majorGridlines>
        <c:title>
          <c:tx>
            <c:rich>
              <a:bodyPr/>
              <a:lstStyle/>
              <a:p>
                <a:pPr>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1786690864"/>
        <c:crosses val="autoZero"/>
        <c:crossBetween val="between"/>
      </c:valAx>
      <c:spPr>
        <a:solidFill>
          <a:srgbClr val="FFFFFF"/>
        </a:solidFill>
        <a:ln w="25400">
          <a:noFill/>
        </a:ln>
      </c:spPr>
    </c:plotArea>
    <c:legend>
      <c:legendPos val="r"/>
      <c:layout>
        <c:manualLayout>
          <c:xMode val="edge"/>
          <c:yMode val="edge"/>
          <c:x val="4.9054683767365957E-2"/>
          <c:y val="0.91516709511568106"/>
          <c:w val="0.86539280107717031"/>
          <c:h val="7.1979434447300802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'Infant &amp; Child mortality'!$G$58</c:f>
              <c:strCache>
                <c:ptCount val="1"/>
                <c:pt idx="0">
                  <c:v>Infant mortality rate (IMR)</c:v>
                </c:pt>
              </c:strCache>
            </c:strRef>
          </c:tx>
          <c:spPr>
            <a:ln w="15875">
              <a:solidFill>
                <a:schemeClr val="accent6">
                  <a:lumMod val="75000"/>
                </a:schemeClr>
              </a:solidFill>
            </a:ln>
          </c:spPr>
          <c:marker>
            <c:symbol val="none"/>
          </c:marker>
          <c:cat>
            <c:numRef>
              <c:f>'Infant &amp; Child mortality'!$H$57:$X$57</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'Infant &amp; Child mortality'!$H$58:$X$58</c:f>
              <c:numCache>
                <c:formatCode>General</c:formatCode>
                <c:ptCount val="17"/>
                <c:pt idx="0">
                  <c:v>53.2</c:v>
                </c:pt>
                <c:pt idx="1">
                  <c:v>52.8</c:v>
                </c:pt>
                <c:pt idx="2">
                  <c:v>52.3</c:v>
                </c:pt>
                <c:pt idx="3">
                  <c:v>51.8</c:v>
                </c:pt>
                <c:pt idx="4">
                  <c:v>51.2</c:v>
                </c:pt>
                <c:pt idx="5">
                  <c:v>50.4</c:v>
                </c:pt>
                <c:pt idx="6">
                  <c:v>49.5</c:v>
                </c:pt>
                <c:pt idx="7">
                  <c:v>45.8</c:v>
                </c:pt>
                <c:pt idx="8">
                  <c:v>45.4</c:v>
                </c:pt>
                <c:pt idx="9">
                  <c:v>44.8</c:v>
                </c:pt>
                <c:pt idx="10">
                  <c:v>42.4</c:v>
                </c:pt>
                <c:pt idx="11">
                  <c:v>39.799999999999997</c:v>
                </c:pt>
                <c:pt idx="12">
                  <c:v>38.299999999999997</c:v>
                </c:pt>
                <c:pt idx="13">
                  <c:v>38.4</c:v>
                </c:pt>
                <c:pt idx="14">
                  <c:v>37.9</c:v>
                </c:pt>
                <c:pt idx="15">
                  <c:v>37</c:v>
                </c:pt>
                <c:pt idx="16">
                  <c:v>36.4</c:v>
                </c:pt>
              </c:numCache>
            </c:numRef>
          </c:val>
          <c:smooth val="0"/>
          <c:extLst>
            <c:ext xmlns:c16="http://schemas.microsoft.com/office/drawing/2014/chart" uri="{C3380CC4-5D6E-409C-BE32-E72D297353CC}">
              <c16:uniqueId val="{00000000-497C-4A12-A2A0-31CA24057AD8}"/>
            </c:ext>
          </c:extLst>
        </c:ser>
        <c:ser>
          <c:idx val="1"/>
          <c:order val="1"/>
          <c:tx>
            <c:strRef>
              <c:f>'Infant &amp; Child mortality'!$G$59</c:f>
              <c:strCache>
                <c:ptCount val="1"/>
                <c:pt idx="0">
                  <c:v>Under 5 mortality rate (U5MR)</c:v>
                </c:pt>
              </c:strCache>
            </c:strRef>
          </c:tx>
          <c:spPr>
            <a:ln w="15875"/>
          </c:spPr>
          <c:marker>
            <c:symbol val="none"/>
          </c:marker>
          <c:cat>
            <c:numRef>
              <c:f>'Infant &amp; Child mortality'!$H$57:$X$57</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'Infant &amp; Child mortality'!$H$59:$X$59</c:f>
              <c:numCache>
                <c:formatCode>General</c:formatCode>
                <c:ptCount val="17"/>
                <c:pt idx="0">
                  <c:v>80.099999999999994</c:v>
                </c:pt>
                <c:pt idx="1">
                  <c:v>79.5</c:v>
                </c:pt>
                <c:pt idx="2">
                  <c:v>78.599999999999994</c:v>
                </c:pt>
                <c:pt idx="3">
                  <c:v>78</c:v>
                </c:pt>
                <c:pt idx="4">
                  <c:v>76.900000000000006</c:v>
                </c:pt>
                <c:pt idx="5">
                  <c:v>75.5</c:v>
                </c:pt>
                <c:pt idx="6">
                  <c:v>73.599999999999994</c:v>
                </c:pt>
                <c:pt idx="7">
                  <c:v>68.900000000000006</c:v>
                </c:pt>
                <c:pt idx="8">
                  <c:v>66.900000000000006</c:v>
                </c:pt>
                <c:pt idx="9">
                  <c:v>60.8</c:v>
                </c:pt>
                <c:pt idx="10">
                  <c:v>54.7</c:v>
                </c:pt>
                <c:pt idx="11">
                  <c:v>50.2</c:v>
                </c:pt>
                <c:pt idx="12">
                  <c:v>48.1</c:v>
                </c:pt>
                <c:pt idx="13">
                  <c:v>48</c:v>
                </c:pt>
                <c:pt idx="14">
                  <c:v>47.4</c:v>
                </c:pt>
                <c:pt idx="15">
                  <c:v>46.1</c:v>
                </c:pt>
                <c:pt idx="16">
                  <c:v>45</c:v>
                </c:pt>
              </c:numCache>
            </c:numRef>
          </c:val>
          <c:smooth val="0"/>
          <c:extLst>
            <c:ext xmlns:c16="http://schemas.microsoft.com/office/drawing/2014/chart" uri="{C3380CC4-5D6E-409C-BE32-E72D297353CC}">
              <c16:uniqueId val="{00000001-497C-4A12-A2A0-31CA24057AD8}"/>
            </c:ext>
          </c:extLst>
        </c:ser>
        <c:dLbls>
          <c:showLegendKey val="0"/>
          <c:showVal val="0"/>
          <c:showCatName val="0"/>
          <c:showSerName val="0"/>
          <c:showPercent val="0"/>
          <c:showBubbleSize val="0"/>
        </c:dLbls>
        <c:smooth val="0"/>
        <c:axId val="1786706096"/>
        <c:axId val="1786693040"/>
      </c:lineChart>
      <c:catAx>
        <c:axId val="1786706096"/>
        <c:scaling>
          <c:orientation val="minMax"/>
        </c:scaling>
        <c:delete val="0"/>
        <c:axPos val="b"/>
        <c:numFmt formatCode="General" sourceLinked="1"/>
        <c:majorTickMark val="none"/>
        <c:minorTickMark val="none"/>
        <c:tickLblPos val="nextTo"/>
        <c:spPr>
          <a:ln>
            <a:solidFill>
              <a:schemeClr val="tx1"/>
            </a:solidFill>
          </a:ln>
        </c:spPr>
        <c:crossAx val="1786693040"/>
        <c:crosses val="autoZero"/>
        <c:auto val="1"/>
        <c:lblAlgn val="ctr"/>
        <c:lblOffset val="100"/>
        <c:noMultiLvlLbl val="0"/>
      </c:catAx>
      <c:valAx>
        <c:axId val="1786693040"/>
        <c:scaling>
          <c:orientation val="minMax"/>
          <c:min val="20"/>
        </c:scaling>
        <c:delete val="0"/>
        <c:axPos val="l"/>
        <c:majorGridlines>
          <c:spPr>
            <a:ln w="3175">
              <a:solidFill>
                <a:schemeClr val="bg1">
                  <a:lumMod val="75000"/>
                </a:schemeClr>
              </a:solidFill>
              <a:prstDash val="sysDash"/>
            </a:ln>
          </c:spPr>
        </c:majorGridlines>
        <c:title>
          <c:tx>
            <c:rich>
              <a:bodyPr/>
              <a:lstStyle/>
              <a:p>
                <a:pPr>
                  <a:defRPr b="0"/>
                </a:pPr>
                <a:r>
                  <a:rPr lang="en-US" b="0"/>
                  <a:t>Infant mortality ( deaths per 1 000 live births)</a:t>
                </a:r>
              </a:p>
            </c:rich>
          </c:tx>
          <c:overlay val="0"/>
        </c:title>
        <c:numFmt formatCode="General" sourceLinked="1"/>
        <c:majorTickMark val="none"/>
        <c:minorTickMark val="none"/>
        <c:tickLblPos val="nextTo"/>
        <c:spPr>
          <a:ln>
            <a:solidFill>
              <a:schemeClr val="tx1"/>
            </a:solidFill>
          </a:ln>
        </c:spPr>
        <c:crossAx val="1786706096"/>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SEVERE ACUTE</a:t>
            </a:r>
            <a:r>
              <a:rPr lang="en-ZA" baseline="0"/>
              <a:t> </a:t>
            </a:r>
            <a:r>
              <a:rPr lang="en-ZA"/>
              <a:t>MALNUTRITION - UNDER FIVE YEARS</a:t>
            </a:r>
          </a:p>
        </c:rich>
      </c:tx>
      <c:layout>
        <c:manualLayout>
          <c:xMode val="edge"/>
          <c:yMode val="edge"/>
          <c:x val="6.5326702583229729E-2"/>
          <c:y val="4.5454646559010645E-2"/>
        </c:manualLayout>
      </c:layout>
      <c:overlay val="0"/>
      <c:spPr>
        <a:noFill/>
        <a:ln w="25400">
          <a:noFill/>
        </a:ln>
      </c:spPr>
    </c:title>
    <c:autoTitleDeleted val="0"/>
    <c:plotArea>
      <c:layout>
        <c:manualLayout>
          <c:layoutTarget val="inner"/>
          <c:xMode val="edge"/>
          <c:yMode val="edge"/>
          <c:x val="6.6492882117385299E-2"/>
          <c:y val="0.22033936295049289"/>
          <c:w val="0.91069172860771785"/>
          <c:h val="0.64124404345848596"/>
        </c:manualLayout>
      </c:layout>
      <c:lineChart>
        <c:grouping val="standard"/>
        <c:varyColors val="0"/>
        <c:ser>
          <c:idx val="0"/>
          <c:order val="0"/>
          <c:tx>
            <c:strRef>
              <c:f>Stunting!$D$9</c:f>
              <c:strCache>
                <c:ptCount val="1"/>
                <c:pt idx="0">
                  <c:v>Severe acute malnutrition under five years</c:v>
                </c:pt>
              </c:strCache>
            </c:strRef>
          </c:tx>
          <c:spPr>
            <a:ln w="25400">
              <a:solidFill>
                <a:srgbClr val="FF6600"/>
              </a:solidFill>
              <a:prstDash val="solid"/>
            </a:ln>
          </c:spPr>
          <c:marker>
            <c:symbol val="none"/>
          </c:marker>
          <c:cat>
            <c:numRef>
              <c:f>Stunting!$G$8:$W$8</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Stunting!$G$9:$W$9</c:f>
              <c:numCache>
                <c:formatCode>#\ ###\ ##0</c:formatCode>
                <c:ptCount val="17"/>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pt idx="14">
                  <c:v>23545</c:v>
                </c:pt>
                <c:pt idx="15">
                  <c:v>15336</c:v>
                </c:pt>
                <c:pt idx="16">
                  <c:v>11799</c:v>
                </c:pt>
              </c:numCache>
            </c:numRef>
          </c:val>
          <c:smooth val="0"/>
          <c:extLst>
            <c:ext xmlns:c16="http://schemas.microsoft.com/office/drawing/2014/chart" uri="{C3380CC4-5D6E-409C-BE32-E72D297353CC}">
              <c16:uniqueId val="{00000000-3D3F-4704-929C-F0FCCB36202B}"/>
            </c:ext>
          </c:extLst>
        </c:ser>
        <c:dLbls>
          <c:showLegendKey val="0"/>
          <c:showVal val="0"/>
          <c:showCatName val="0"/>
          <c:showSerName val="0"/>
          <c:showPercent val="0"/>
          <c:showBubbleSize val="0"/>
        </c:dLbls>
        <c:smooth val="0"/>
        <c:axId val="1786696304"/>
        <c:axId val="1786712624"/>
      </c:lineChart>
      <c:catAx>
        <c:axId val="178669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12624"/>
        <c:crosses val="autoZero"/>
        <c:auto val="1"/>
        <c:lblAlgn val="ctr"/>
        <c:lblOffset val="100"/>
        <c:tickLblSkip val="1"/>
        <c:tickMarkSkip val="1"/>
        <c:noMultiLvlLbl val="0"/>
      </c:catAx>
      <c:valAx>
        <c:axId val="1786712624"/>
        <c:scaling>
          <c:orientation val="minMax"/>
          <c:min val="10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6304"/>
        <c:crosses val="autoZero"/>
        <c:crossBetween val="midCat"/>
        <c:majorUnit val="10500"/>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5781665016423"/>
          <c:y val="6.9768031332532038E-2"/>
          <c:w val="0.86830166438775991"/>
          <c:h val="0.79181527542702035"/>
        </c:manualLayout>
      </c:layout>
      <c:lineChart>
        <c:grouping val="standard"/>
        <c:varyColors val="0"/>
        <c:ser>
          <c:idx val="0"/>
          <c:order val="0"/>
          <c:tx>
            <c:strRef>
              <c:f>Stunting!$D$9</c:f>
              <c:strCache>
                <c:ptCount val="1"/>
                <c:pt idx="0">
                  <c:v>Severe acute malnutrition under five years</c:v>
                </c:pt>
              </c:strCache>
            </c:strRef>
          </c:tx>
          <c:spPr>
            <a:ln w="12700">
              <a:solidFill>
                <a:srgbClr val="FF6600"/>
              </a:solidFill>
              <a:prstDash val="solid"/>
            </a:ln>
          </c:spPr>
          <c:marker>
            <c:symbol val="none"/>
          </c:marker>
          <c:cat>
            <c:numRef>
              <c:f>Stunting!$G$8:$T$8</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Stunting!$G$9:$T$9</c:f>
              <c:numCache>
                <c:formatCode>#\ ###\ ##0</c:formatCode>
                <c:ptCount val="14"/>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numCache>
            </c:numRef>
          </c:val>
          <c:smooth val="0"/>
          <c:extLst>
            <c:ext xmlns:c16="http://schemas.microsoft.com/office/drawing/2014/chart" uri="{C3380CC4-5D6E-409C-BE32-E72D297353CC}">
              <c16:uniqueId val="{00000000-8594-4900-BAE8-23579B806C79}"/>
            </c:ext>
          </c:extLst>
        </c:ser>
        <c:dLbls>
          <c:showLegendKey val="0"/>
          <c:showVal val="0"/>
          <c:showCatName val="0"/>
          <c:showSerName val="0"/>
          <c:showPercent val="0"/>
          <c:showBubbleSize val="0"/>
        </c:dLbls>
        <c:smooth val="0"/>
        <c:axId val="1786718608"/>
        <c:axId val="1786689776"/>
      </c:lineChart>
      <c:catAx>
        <c:axId val="1786718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786689776"/>
        <c:crosses val="autoZero"/>
        <c:auto val="1"/>
        <c:lblAlgn val="ctr"/>
        <c:lblOffset val="100"/>
        <c:tickLblSkip val="1"/>
        <c:tickMarkSkip val="1"/>
        <c:noMultiLvlLbl val="0"/>
      </c:catAx>
      <c:valAx>
        <c:axId val="1786689776"/>
        <c:scaling>
          <c:orientation val="minMax"/>
          <c:max val="100000"/>
          <c:min val="5000"/>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a:pPr>
            <a:endParaRPr lang="en-US"/>
          </a:p>
        </c:txPr>
        <c:crossAx val="1786718608"/>
        <c:crosses val="autoZero"/>
        <c:crossBetween val="midCat"/>
        <c:majorUnit val="10500"/>
      </c:valAx>
      <c:spPr>
        <a:solidFill>
          <a:srgbClr val="FFFFFF"/>
        </a:solid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5123198885849E-2"/>
          <c:y val="9.7515803482311203E-2"/>
          <c:w val="0.87689970673308693"/>
          <c:h val="0.77435923502519932"/>
        </c:manualLayout>
      </c:layout>
      <c:lineChart>
        <c:grouping val="stacked"/>
        <c:varyColors val="0"/>
        <c:ser>
          <c:idx val="0"/>
          <c:order val="0"/>
          <c:tx>
            <c:strRef>
              <c:f>'GDP per Capita '!$F$8</c:f>
              <c:strCache>
                <c:ptCount val="1"/>
                <c:pt idx="0">
                  <c:v>1.1</c:v>
                </c:pt>
              </c:strCache>
            </c:strRef>
          </c:tx>
          <c:spPr>
            <a:ln w="3175">
              <a:solidFill>
                <a:srgbClr val="FF6600"/>
              </a:solidFill>
              <a:prstDash val="solid"/>
            </a:ln>
          </c:spPr>
          <c:marker>
            <c:symbol val="none"/>
          </c:marker>
          <c:cat>
            <c:strRef>
              <c:f>'GDP per Capita '!$G$7:$AC$7</c:f>
              <c:strCach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Cache>
            </c:strRef>
          </c:cat>
          <c:val>
            <c:numRef>
              <c:f>'GDP per Capita '!$G$8:$AC$8</c:f>
              <c:numCache>
                <c:formatCode>0.0</c:formatCode>
                <c:ptCount val="23"/>
                <c:pt idx="0">
                  <c:v>1</c:v>
                </c:pt>
                <c:pt idx="1">
                  <c:v>2.1</c:v>
                </c:pt>
                <c:pt idx="2">
                  <c:v>0.5</c:v>
                </c:pt>
                <c:pt idx="3">
                  <c:v>-1.6</c:v>
                </c:pt>
                <c:pt idx="4">
                  <c:v>0.2</c:v>
                </c:pt>
                <c:pt idx="5">
                  <c:v>2.1</c:v>
                </c:pt>
                <c:pt idx="6">
                  <c:v>0.8</c:v>
                </c:pt>
                <c:pt idx="7">
                  <c:v>1.6</c:v>
                </c:pt>
                <c:pt idx="8">
                  <c:v>1.1000000000000001</c:v>
                </c:pt>
                <c:pt idx="9">
                  <c:v>2.8</c:v>
                </c:pt>
                <c:pt idx="10">
                  <c:v>3.6</c:v>
                </c:pt>
                <c:pt idx="11">
                  <c:v>4</c:v>
                </c:pt>
                <c:pt idx="12">
                  <c:v>3.9</c:v>
                </c:pt>
                <c:pt idx="13">
                  <c:v>1.9</c:v>
                </c:pt>
                <c:pt idx="14">
                  <c:v>-2.7</c:v>
                </c:pt>
                <c:pt idx="15">
                  <c:v>1.9</c:v>
                </c:pt>
                <c:pt idx="16">
                  <c:v>2.1</c:v>
                </c:pt>
                <c:pt idx="17" formatCode="_ * #\ ##0.0_ ;_ * \-#\ ##0.0_ ;_ * &quot;-&quot;??_ ;_ @_ ">
                  <c:v>1</c:v>
                </c:pt>
                <c:pt idx="18">
                  <c:v>1.2</c:v>
                </c:pt>
                <c:pt idx="19">
                  <c:v>0.6</c:v>
                </c:pt>
                <c:pt idx="20">
                  <c:v>-0.1</c:v>
                </c:pt>
                <c:pt idx="21">
                  <c:v>-0.8</c:v>
                </c:pt>
                <c:pt idx="22">
                  <c:v>-0.1</c:v>
                </c:pt>
              </c:numCache>
            </c:numRef>
          </c:val>
          <c:smooth val="0"/>
          <c:extLst>
            <c:ext xmlns:c16="http://schemas.microsoft.com/office/drawing/2014/chart" uri="{C3380CC4-5D6E-409C-BE32-E72D297353CC}">
              <c16:uniqueId val="{00000000-DC76-4359-ABAA-F086079F0ECB}"/>
            </c:ext>
          </c:extLst>
        </c:ser>
        <c:dLbls>
          <c:showLegendKey val="0"/>
          <c:showVal val="0"/>
          <c:showCatName val="0"/>
          <c:showSerName val="0"/>
          <c:showPercent val="0"/>
          <c:showBubbleSize val="0"/>
        </c:dLbls>
        <c:smooth val="0"/>
        <c:axId val="399072224"/>
        <c:axId val="399076536"/>
      </c:lineChart>
      <c:catAx>
        <c:axId val="39907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6536"/>
        <c:crossesAt val="-4"/>
        <c:auto val="1"/>
        <c:lblAlgn val="ctr"/>
        <c:lblOffset val="100"/>
        <c:tickLblSkip val="1"/>
        <c:tickMarkSkip val="1"/>
        <c:noMultiLvlLbl val="0"/>
      </c:catAx>
      <c:valAx>
        <c:axId val="399076536"/>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2224"/>
        <c:crossesAt val="1"/>
        <c:crossBetween val="midCat"/>
      </c:valAx>
      <c:spPr>
        <a:noFill/>
        <a:ln w="25400">
          <a:noFill/>
        </a:ln>
      </c:spPr>
    </c:plotArea>
    <c:plotVisOnly val="1"/>
    <c:dispBlanksAs val="zero"/>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Stunting!$F$9</c:f>
              <c:strCache>
                <c:ptCount val="1"/>
                <c:pt idx="0">
                  <c:v>number</c:v>
                </c:pt>
              </c:strCache>
            </c:strRef>
          </c:tx>
          <c:spPr>
            <a:solidFill>
              <a:schemeClr val="accent2"/>
            </a:solidFill>
            <a:ln>
              <a:noFill/>
            </a:ln>
            <a:effectLst/>
          </c:spPr>
          <c:invertIfNegative val="0"/>
          <c:cat>
            <c:numRef>
              <c:f>Stunting!$H$8:$W$8</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Stunting!$H$9:$W$9</c:f>
              <c:numCache>
                <c:formatCode>#\ ###\ ##0</c:formatCode>
                <c:ptCount val="16"/>
                <c:pt idx="0">
                  <c:v>83957</c:v>
                </c:pt>
                <c:pt idx="1">
                  <c:v>64718</c:v>
                </c:pt>
                <c:pt idx="2">
                  <c:v>39785</c:v>
                </c:pt>
                <c:pt idx="3">
                  <c:v>30082</c:v>
                </c:pt>
                <c:pt idx="4">
                  <c:v>29176</c:v>
                </c:pt>
                <c:pt idx="5">
                  <c:v>29165</c:v>
                </c:pt>
                <c:pt idx="6">
                  <c:v>27064</c:v>
                </c:pt>
                <c:pt idx="7">
                  <c:v>28029</c:v>
                </c:pt>
                <c:pt idx="8">
                  <c:v>25057</c:v>
                </c:pt>
                <c:pt idx="9">
                  <c:v>23521</c:v>
                </c:pt>
                <c:pt idx="10">
                  <c:v>20786</c:v>
                </c:pt>
                <c:pt idx="11">
                  <c:v>22313</c:v>
                </c:pt>
                <c:pt idx="12">
                  <c:v>25312</c:v>
                </c:pt>
                <c:pt idx="13">
                  <c:v>23545</c:v>
                </c:pt>
                <c:pt idx="14">
                  <c:v>15336</c:v>
                </c:pt>
                <c:pt idx="15">
                  <c:v>11799</c:v>
                </c:pt>
              </c:numCache>
            </c:numRef>
          </c:val>
          <c:extLst>
            <c:ext xmlns:c16="http://schemas.microsoft.com/office/drawing/2014/chart" uri="{C3380CC4-5D6E-409C-BE32-E72D297353CC}">
              <c16:uniqueId val="{00000000-45EC-48C5-AE42-90A5F1148F1F}"/>
            </c:ext>
          </c:extLst>
        </c:ser>
        <c:dLbls>
          <c:showLegendKey val="0"/>
          <c:showVal val="0"/>
          <c:showCatName val="0"/>
          <c:showSerName val="0"/>
          <c:showPercent val="0"/>
          <c:showBubbleSize val="0"/>
        </c:dLbls>
        <c:gapWidth val="219"/>
        <c:overlap val="-27"/>
        <c:axId val="1251829520"/>
        <c:axId val="1251826192"/>
      </c:barChart>
      <c:catAx>
        <c:axId val="125182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26192"/>
        <c:crosses val="autoZero"/>
        <c:auto val="1"/>
        <c:lblAlgn val="ctr"/>
        <c:lblOffset val="100"/>
        <c:noMultiLvlLbl val="0"/>
      </c:catAx>
      <c:valAx>
        <c:axId val="1251826192"/>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2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IMMUNISATION COVERAGE</a:t>
            </a:r>
          </a:p>
        </c:rich>
      </c:tx>
      <c:layout>
        <c:manualLayout>
          <c:xMode val="edge"/>
          <c:yMode val="edge"/>
          <c:x val="2.7667948813570688E-2"/>
          <c:y val="3.2051064039530272E-2"/>
        </c:manualLayout>
      </c:layout>
      <c:overlay val="0"/>
      <c:spPr>
        <a:noFill/>
        <a:ln w="25400">
          <a:noFill/>
        </a:ln>
      </c:spPr>
    </c:title>
    <c:autoTitleDeleted val="0"/>
    <c:plotArea>
      <c:layout>
        <c:manualLayout>
          <c:layoutTarget val="inner"/>
          <c:xMode val="edge"/>
          <c:yMode val="edge"/>
          <c:x val="5.6009599746403939E-2"/>
          <c:y val="0.1194240025173965"/>
          <c:w val="0.92138423728334262"/>
          <c:h val="0.77820056212319511"/>
        </c:manualLayout>
      </c:layout>
      <c:lineChart>
        <c:grouping val="standard"/>
        <c:varyColors val="0"/>
        <c:ser>
          <c:idx val="1"/>
          <c:order val="0"/>
          <c:tx>
            <c:strRef>
              <c:f>Immunization!$D$9</c:f>
              <c:strCache>
                <c:ptCount val="1"/>
                <c:pt idx="0">
                  <c:v>Immunisation Coverage</c:v>
                </c:pt>
              </c:strCache>
            </c:strRef>
          </c:tx>
          <c:marker>
            <c:symbol val="square"/>
            <c:size val="5"/>
            <c:spPr>
              <a:solidFill>
                <a:srgbClr val="FF6600"/>
              </a:solidFill>
              <a:ln>
                <a:solidFill>
                  <a:srgbClr val="FF6600"/>
                </a:solidFill>
                <a:prstDash val="solid"/>
              </a:ln>
            </c:spPr>
          </c:marker>
          <c:cat>
            <c:numRef>
              <c:f>Immunization!$G$8:$X$8</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Immunization!$G$9:$X$9</c:f>
              <c:numCache>
                <c:formatCode>0.0%</c:formatCode>
                <c:ptCount val="18"/>
                <c:pt idx="0">
                  <c:v>0.75800000000000001</c:v>
                </c:pt>
                <c:pt idx="1">
                  <c:v>0.79500000000000004</c:v>
                </c:pt>
                <c:pt idx="2">
                  <c:v>0.80900000000000005</c:v>
                </c:pt>
                <c:pt idx="3">
                  <c:v>0.81100000000000005</c:v>
                </c:pt>
                <c:pt idx="4">
                  <c:v>0.83099999999999996</c:v>
                </c:pt>
                <c:pt idx="5">
                  <c:v>0.90200000000000002</c:v>
                </c:pt>
                <c:pt idx="6">
                  <c:v>0.83399999999999996</c:v>
                </c:pt>
                <c:pt idx="7">
                  <c:v>0.84899999999999998</c:v>
                </c:pt>
                <c:pt idx="8">
                  <c:v>0.90500000000000003</c:v>
                </c:pt>
                <c:pt idx="9">
                  <c:v>0.94399999999999995</c:v>
                </c:pt>
                <c:pt idx="10">
                  <c:v>0.88100000000000001</c:v>
                </c:pt>
                <c:pt idx="11">
                  <c:v>0.90800000000000003</c:v>
                </c:pt>
                <c:pt idx="12">
                  <c:v>0.84</c:v>
                </c:pt>
                <c:pt idx="13">
                  <c:v>0.84099999999999997</c:v>
                </c:pt>
                <c:pt idx="14">
                  <c:v>0.875</c:v>
                </c:pt>
                <c:pt idx="15">
                  <c:v>0.91700000000000004</c:v>
                </c:pt>
                <c:pt idx="16">
                  <c:v>0.81899999999999995</c:v>
                </c:pt>
                <c:pt idx="17">
                  <c:v>0.80600000000000005</c:v>
                </c:pt>
              </c:numCache>
            </c:numRef>
          </c:val>
          <c:smooth val="0"/>
          <c:extLst>
            <c:ext xmlns:c16="http://schemas.microsoft.com/office/drawing/2014/chart" uri="{C3380CC4-5D6E-409C-BE32-E72D297353CC}">
              <c16:uniqueId val="{00000000-CC2B-4CA5-86F3-95FECF8ECDD3}"/>
            </c:ext>
          </c:extLst>
        </c:ser>
        <c:dLbls>
          <c:showLegendKey val="0"/>
          <c:showVal val="0"/>
          <c:showCatName val="0"/>
          <c:showSerName val="0"/>
          <c:showPercent val="0"/>
          <c:showBubbleSize val="0"/>
        </c:dLbls>
        <c:marker val="1"/>
        <c:smooth val="0"/>
        <c:axId val="1786719152"/>
        <c:axId val="1786707184"/>
      </c:lineChart>
      <c:catAx>
        <c:axId val="178671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07184"/>
        <c:crosses val="autoZero"/>
        <c:auto val="1"/>
        <c:lblAlgn val="ctr"/>
        <c:lblOffset val="100"/>
        <c:tickLblSkip val="1"/>
        <c:tickMarkSkip val="1"/>
        <c:noMultiLvlLbl val="0"/>
      </c:catAx>
      <c:valAx>
        <c:axId val="1786707184"/>
        <c:scaling>
          <c:orientation val="minMax"/>
          <c:min val="0.60000000000000064"/>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19152"/>
        <c:crosses val="autoZero"/>
        <c:crossBetween val="midCat"/>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Maternal Deaths / 100 000 live births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971400373318461E-2"/>
          <c:y val="0.15850427350427351"/>
          <c:w val="0.95212941706537368"/>
          <c:h val="0.64460091527020658"/>
        </c:manualLayout>
      </c:layout>
      <c:lineChart>
        <c:grouping val="standard"/>
        <c:varyColors val="0"/>
        <c:ser>
          <c:idx val="0"/>
          <c:order val="0"/>
          <c:tx>
            <c:strRef>
              <c:f>'Martenal mortality'!$C$10</c:f>
              <c:strCache>
                <c:ptCount val="1"/>
                <c:pt idx="0">
                  <c:v>StatsSA</c:v>
                </c:pt>
              </c:strCache>
            </c:strRef>
          </c:tx>
          <c:spPr>
            <a:ln w="28575" cap="rnd">
              <a:solidFill>
                <a:schemeClr val="accent4">
                  <a:lumMod val="75000"/>
                </a:schemeClr>
              </a:solidFill>
              <a:round/>
            </a:ln>
            <a:effectLst/>
          </c:spPr>
          <c:marker>
            <c:symbol val="none"/>
          </c:marker>
          <c:cat>
            <c:numRef>
              <c:f>'Martenal mortality'!$J$9:$W$9</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'Martenal mortality'!$J$10:$W$10</c:f>
              <c:numCache>
                <c:formatCode>0</c:formatCode>
                <c:ptCount val="14"/>
                <c:pt idx="0">
                  <c:v>150</c:v>
                </c:pt>
                <c:pt idx="1">
                  <c:v>196</c:v>
                </c:pt>
                <c:pt idx="2">
                  <c:v>212</c:v>
                </c:pt>
                <c:pt idx="3">
                  <c:v>237</c:v>
                </c:pt>
                <c:pt idx="4">
                  <c:v>299</c:v>
                </c:pt>
                <c:pt idx="5">
                  <c:v>300</c:v>
                </c:pt>
                <c:pt idx="6">
                  <c:v>312</c:v>
                </c:pt>
                <c:pt idx="7">
                  <c:v>218.10583406572502</c:v>
                </c:pt>
                <c:pt idx="8">
                  <c:v>161.43908785621633</c:v>
                </c:pt>
                <c:pt idx="9">
                  <c:v>135.21900353156624</c:v>
                </c:pt>
                <c:pt idx="10">
                  <c:v>126.08371317672425</c:v>
                </c:pt>
                <c:pt idx="11">
                  <c:v>138.87777392190156</c:v>
                </c:pt>
                <c:pt idx="12">
                  <c:v>124.83465907985945</c:v>
                </c:pt>
                <c:pt idx="13">
                  <c:v>105</c:v>
                </c:pt>
              </c:numCache>
            </c:numRef>
          </c:val>
          <c:smooth val="0"/>
          <c:extLst>
            <c:ext xmlns:c16="http://schemas.microsoft.com/office/drawing/2014/chart" uri="{C3380CC4-5D6E-409C-BE32-E72D297353CC}">
              <c16:uniqueId val="{00000000-9127-4BF0-912D-F49341F3D862}"/>
            </c:ext>
          </c:extLst>
        </c:ser>
        <c:ser>
          <c:idx val="2"/>
          <c:order val="1"/>
          <c:tx>
            <c:strRef>
              <c:f>'Martenal mortality'!#REF!</c:f>
              <c:strCache>
                <c:ptCount val="1"/>
                <c:pt idx="0">
                  <c:v>#REF!</c:v>
                </c:pt>
              </c:strCache>
              <c:extLst xmlns:c15="http://schemas.microsoft.com/office/drawing/2012/chart"/>
            </c:strRef>
          </c:tx>
          <c:spPr>
            <a:ln w="28575" cap="rnd">
              <a:solidFill>
                <a:schemeClr val="accent3"/>
              </a:solidFill>
              <a:round/>
            </a:ln>
            <a:effectLst/>
          </c:spPr>
          <c:marker>
            <c:symbol val="none"/>
          </c:marker>
          <c:cat>
            <c:numRef>
              <c:f>'[10]Martenal mortality'!$J$9:$W$9</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extLst/>
            </c:numRef>
          </c:cat>
          <c:val>
            <c:numRef>
              <c:f>'Martenal mortality'!#REF!</c:f>
              <c:extLst xmlns:c15="http://schemas.microsoft.com/office/drawing/2012/chart"/>
            </c:numRef>
          </c:val>
          <c:smooth val="0"/>
          <c:extLst xmlns:c15="http://schemas.microsoft.com/office/drawing/2012/chart">
            <c:ext xmlns:c16="http://schemas.microsoft.com/office/drawing/2014/chart" uri="{C3380CC4-5D6E-409C-BE32-E72D297353CC}">
              <c16:uniqueId val="{00000001-9127-4BF0-912D-F49341F3D862}"/>
            </c:ext>
          </c:extLst>
        </c:ser>
        <c:ser>
          <c:idx val="3"/>
          <c:order val="2"/>
          <c:tx>
            <c:strRef>
              <c:f>'Martenal mortality'!$C$12</c:f>
              <c:strCache>
                <c:ptCount val="1"/>
                <c:pt idx="0">
                  <c:v>RMS</c:v>
                </c:pt>
              </c:strCache>
            </c:strRef>
          </c:tx>
          <c:spPr>
            <a:ln w="28575" cap="rnd">
              <a:solidFill>
                <a:schemeClr val="accent4"/>
              </a:solidFill>
              <a:round/>
            </a:ln>
            <a:effectLst/>
          </c:spPr>
          <c:marker>
            <c:symbol val="none"/>
          </c:marker>
          <c:cat>
            <c:numRef>
              <c:f>'Martenal mortality'!$J$9:$W$9</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'Martenal mortality'!$J$12:$W$12</c:f>
              <c:numCache>
                <c:formatCode>0</c:formatCode>
                <c:ptCount val="14"/>
                <c:pt idx="5">
                  <c:v>280</c:v>
                </c:pt>
                <c:pt idx="6">
                  <c:v>304</c:v>
                </c:pt>
                <c:pt idx="7">
                  <c:v>269</c:v>
                </c:pt>
                <c:pt idx="8">
                  <c:v>200</c:v>
                </c:pt>
                <c:pt idx="9">
                  <c:v>165</c:v>
                </c:pt>
                <c:pt idx="10">
                  <c:v>154</c:v>
                </c:pt>
                <c:pt idx="11">
                  <c:v>164</c:v>
                </c:pt>
                <c:pt idx="12">
                  <c:v>152</c:v>
                </c:pt>
              </c:numCache>
            </c:numRef>
          </c:val>
          <c:smooth val="0"/>
          <c:extLst>
            <c:ext xmlns:c16="http://schemas.microsoft.com/office/drawing/2014/chart" uri="{C3380CC4-5D6E-409C-BE32-E72D297353CC}">
              <c16:uniqueId val="{00000002-9127-4BF0-912D-F49341F3D862}"/>
            </c:ext>
          </c:extLst>
        </c:ser>
        <c:dLbls>
          <c:showLegendKey val="0"/>
          <c:showVal val="0"/>
          <c:showCatName val="0"/>
          <c:showSerName val="0"/>
          <c:showPercent val="0"/>
          <c:showBubbleSize val="0"/>
        </c:dLbls>
        <c:smooth val="0"/>
        <c:axId val="1786698480"/>
        <c:axId val="1786709360"/>
        <c:extLst/>
      </c:lineChart>
      <c:catAx>
        <c:axId val="17866984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709360"/>
        <c:crossesAt val="0"/>
        <c:auto val="1"/>
        <c:lblAlgn val="ctr"/>
        <c:lblOffset val="100"/>
        <c:noMultiLvlLbl val="0"/>
      </c:catAx>
      <c:valAx>
        <c:axId val="1786709360"/>
        <c:scaling>
          <c:orientation val="minMax"/>
          <c:min val="0"/>
        </c:scaling>
        <c:delete val="0"/>
        <c:axPos val="l"/>
        <c:majorGridlines>
          <c:spPr>
            <a:ln w="9525" cap="flat" cmpd="sng" algn="ctr">
              <a:solidFill>
                <a:srgbClr val="969696"/>
              </a:solidFill>
              <a:prstDash val="sys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698480"/>
        <c:crosses val="autoZero"/>
        <c:crossBetween val="between"/>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2568308834031"/>
          <c:y val="0.11224139934438464"/>
          <c:w val="0.83439015416471474"/>
          <c:h val="0.72101533543055085"/>
        </c:manualLayout>
      </c:layout>
      <c:lineChart>
        <c:grouping val="standard"/>
        <c:varyColors val="0"/>
        <c:ser>
          <c:idx val="0"/>
          <c:order val="0"/>
          <c:tx>
            <c:strRef>
              <c:f>'HIV Prevalance '!$D$17</c:f>
              <c:strCache>
                <c:ptCount val="1"/>
                <c:pt idx="0">
                  <c:v>Total Population </c:v>
                </c:pt>
              </c:strCache>
            </c:strRef>
          </c:tx>
          <c:spPr>
            <a:ln w="25400">
              <a:solidFill>
                <a:srgbClr val="FF6600"/>
              </a:solidFill>
            </a:ln>
          </c:spPr>
          <c:marker>
            <c:symbol val="none"/>
          </c:marker>
          <c:cat>
            <c:numRef>
              <c:f>'HIV Prevalance '!$F$8:$V$8</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'HIV Prevalance '!$F$17:$V$17</c:f>
              <c:numCache>
                <c:formatCode>0.00</c:formatCode>
                <c:ptCount val="17"/>
                <c:pt idx="0" formatCode="General">
                  <c:v>9.2899999999999991</c:v>
                </c:pt>
                <c:pt idx="1">
                  <c:v>9.6199999999999992</c:v>
                </c:pt>
                <c:pt idx="2">
                  <c:v>9.9</c:v>
                </c:pt>
                <c:pt idx="3">
                  <c:v>10.11</c:v>
                </c:pt>
                <c:pt idx="4">
                  <c:v>10.31</c:v>
                </c:pt>
                <c:pt idx="5">
                  <c:v>10.51</c:v>
                </c:pt>
                <c:pt idx="6">
                  <c:v>10.74</c:v>
                </c:pt>
                <c:pt idx="7">
                  <c:v>10.97</c:v>
                </c:pt>
                <c:pt idx="8">
                  <c:v>11.23</c:v>
                </c:pt>
                <c:pt idx="9">
                  <c:v>11.51</c:v>
                </c:pt>
                <c:pt idx="10">
                  <c:v>11.79</c:v>
                </c:pt>
                <c:pt idx="11">
                  <c:v>12.07</c:v>
                </c:pt>
                <c:pt idx="12">
                  <c:v>12.29</c:v>
                </c:pt>
                <c:pt idx="13">
                  <c:v>12.54</c:v>
                </c:pt>
                <c:pt idx="14">
                  <c:v>12.77</c:v>
                </c:pt>
                <c:pt idx="15">
                  <c:v>12.9</c:v>
                </c:pt>
                <c:pt idx="16">
                  <c:v>13.06</c:v>
                </c:pt>
              </c:numCache>
            </c:numRef>
          </c:val>
          <c:smooth val="0"/>
          <c:extLst>
            <c:ext xmlns:c16="http://schemas.microsoft.com/office/drawing/2014/chart" uri="{C3380CC4-5D6E-409C-BE32-E72D297353CC}">
              <c16:uniqueId val="{00000000-E566-4961-866D-98B8612874D4}"/>
            </c:ext>
          </c:extLst>
        </c:ser>
        <c:ser>
          <c:idx val="1"/>
          <c:order val="1"/>
          <c:tx>
            <c:strRef>
              <c:f>'HIV Prevalance '!$D$9</c:f>
              <c:strCache>
                <c:ptCount val="1"/>
                <c:pt idx="0">
                  <c:v>Youth 15-24</c:v>
                </c:pt>
              </c:strCache>
            </c:strRef>
          </c:tx>
          <c:marker>
            <c:symbol val="none"/>
          </c:marker>
          <c:val>
            <c:numRef>
              <c:f>'HIV Prevalance '!$F$9:$V$9</c:f>
              <c:numCache>
                <c:formatCode>0.00</c:formatCode>
                <c:ptCount val="17"/>
                <c:pt idx="0" formatCode="General">
                  <c:v>6.74</c:v>
                </c:pt>
                <c:pt idx="1">
                  <c:v>6.61</c:v>
                </c:pt>
                <c:pt idx="2">
                  <c:v>6.5</c:v>
                </c:pt>
                <c:pt idx="3">
                  <c:v>6.43</c:v>
                </c:pt>
                <c:pt idx="4">
                  <c:v>6.33</c:v>
                </c:pt>
                <c:pt idx="5">
                  <c:v>6.24</c:v>
                </c:pt>
                <c:pt idx="6">
                  <c:v>6.16</c:v>
                </c:pt>
                <c:pt idx="7">
                  <c:v>6.1</c:v>
                </c:pt>
                <c:pt idx="8">
                  <c:v>6.03</c:v>
                </c:pt>
                <c:pt idx="9">
                  <c:v>5.98</c:v>
                </c:pt>
                <c:pt idx="10">
                  <c:v>5.94</c:v>
                </c:pt>
                <c:pt idx="11">
                  <c:v>5.91</c:v>
                </c:pt>
                <c:pt idx="12">
                  <c:v>5.8</c:v>
                </c:pt>
                <c:pt idx="13">
                  <c:v>5.76</c:v>
                </c:pt>
                <c:pt idx="14">
                  <c:v>5.71</c:v>
                </c:pt>
                <c:pt idx="15">
                  <c:v>5.57</c:v>
                </c:pt>
                <c:pt idx="16">
                  <c:v>5.49</c:v>
                </c:pt>
              </c:numCache>
            </c:numRef>
          </c:val>
          <c:smooth val="0"/>
          <c:extLst>
            <c:ext xmlns:c16="http://schemas.microsoft.com/office/drawing/2014/chart" uri="{C3380CC4-5D6E-409C-BE32-E72D297353CC}">
              <c16:uniqueId val="{00000001-E566-4961-866D-98B8612874D4}"/>
            </c:ext>
          </c:extLst>
        </c:ser>
        <c:ser>
          <c:idx val="2"/>
          <c:order val="2"/>
          <c:tx>
            <c:strRef>
              <c:f>'HIV Prevalance '!$D$15</c:f>
              <c:strCache>
                <c:ptCount val="1"/>
                <c:pt idx="0">
                  <c:v>Total Female Population</c:v>
                </c:pt>
              </c:strCache>
            </c:strRef>
          </c:tx>
          <c:marker>
            <c:symbol val="none"/>
          </c:marker>
          <c:val>
            <c:numRef>
              <c:f>'HIV Prevalance '!$F$15:$V$15</c:f>
              <c:numCache>
                <c:formatCode>0.00</c:formatCode>
                <c:ptCount val="17"/>
                <c:pt idx="0">
                  <c:v>10.502205082432631</c:v>
                </c:pt>
                <c:pt idx="1">
                  <c:v>10.893139029388532</c:v>
                </c:pt>
                <c:pt idx="2">
                  <c:v>11.210064846561481</c:v>
                </c:pt>
                <c:pt idx="3">
                  <c:v>11.473076279925538</c:v>
                </c:pt>
                <c:pt idx="4">
                  <c:v>11.700056512781678</c:v>
                </c:pt>
                <c:pt idx="5">
                  <c:v>11.947335537918729</c:v>
                </c:pt>
                <c:pt idx="6">
                  <c:v>12.238693066084684</c:v>
                </c:pt>
                <c:pt idx="7">
                  <c:v>12.532264411908248</c:v>
                </c:pt>
                <c:pt idx="8">
                  <c:v>12.838384061782616</c:v>
                </c:pt>
                <c:pt idx="9">
                  <c:v>13.163300316560417</c:v>
                </c:pt>
                <c:pt idx="10">
                  <c:v>13.514079245189109</c:v>
                </c:pt>
                <c:pt idx="11">
                  <c:v>13.851716757717494</c:v>
                </c:pt>
                <c:pt idx="12">
                  <c:v>14.133697452052395</c:v>
                </c:pt>
                <c:pt idx="13">
                  <c:v>14.436165109767519</c:v>
                </c:pt>
                <c:pt idx="14">
                  <c:v>14.708457879923223</c:v>
                </c:pt>
                <c:pt idx="15">
                  <c:v>14.857195948917395</c:v>
                </c:pt>
                <c:pt idx="16">
                  <c:v>15.05518684219348</c:v>
                </c:pt>
              </c:numCache>
            </c:numRef>
          </c:val>
          <c:smooth val="0"/>
          <c:extLst>
            <c:ext xmlns:c16="http://schemas.microsoft.com/office/drawing/2014/chart" uri="{C3380CC4-5D6E-409C-BE32-E72D297353CC}">
              <c16:uniqueId val="{00000002-E566-4961-866D-98B8612874D4}"/>
            </c:ext>
          </c:extLst>
        </c:ser>
        <c:dLbls>
          <c:showLegendKey val="0"/>
          <c:showVal val="0"/>
          <c:showCatName val="0"/>
          <c:showSerName val="0"/>
          <c:showPercent val="0"/>
          <c:showBubbleSize val="0"/>
        </c:dLbls>
        <c:smooth val="0"/>
        <c:axId val="1786713168"/>
        <c:axId val="1786709904"/>
      </c:lineChart>
      <c:catAx>
        <c:axId val="1786713168"/>
        <c:scaling>
          <c:orientation val="minMax"/>
        </c:scaling>
        <c:delete val="0"/>
        <c:axPos val="b"/>
        <c:numFmt formatCode="General" sourceLinked="1"/>
        <c:majorTickMark val="none"/>
        <c:minorTickMark val="none"/>
        <c:tickLblPos val="nextTo"/>
        <c:spPr>
          <a:ln>
            <a:solidFill>
              <a:schemeClr val="tx1"/>
            </a:solidFill>
          </a:ln>
        </c:spPr>
        <c:crossAx val="1786709904"/>
        <c:crosses val="autoZero"/>
        <c:auto val="1"/>
        <c:lblAlgn val="ctr"/>
        <c:lblOffset val="100"/>
        <c:noMultiLvlLbl val="0"/>
      </c:catAx>
      <c:valAx>
        <c:axId val="1786709904"/>
        <c:scaling>
          <c:orientation val="minMax"/>
          <c:min val="4"/>
        </c:scaling>
        <c:delete val="0"/>
        <c:axPos val="l"/>
        <c:majorGridlines>
          <c:spPr>
            <a:ln>
              <a:prstDash val="sysDash"/>
            </a:ln>
          </c:spPr>
        </c:majorGridlines>
        <c:title>
          <c:tx>
            <c:rich>
              <a:bodyPr/>
              <a:lstStyle/>
              <a:p>
                <a:pPr>
                  <a:defRPr/>
                </a:pPr>
                <a:r>
                  <a:rPr lang="en-US"/>
                  <a:t>prevalence</a:t>
                </a:r>
              </a:p>
            </c:rich>
          </c:tx>
          <c:layout>
            <c:manualLayout>
              <c:xMode val="edge"/>
              <c:yMode val="edge"/>
              <c:x val="3.8562168690923909E-2"/>
              <c:y val="0.30500994346488713"/>
            </c:manualLayout>
          </c:layout>
          <c:overlay val="0"/>
        </c:title>
        <c:numFmt formatCode="General" sourceLinked="1"/>
        <c:majorTickMark val="none"/>
        <c:minorTickMark val="none"/>
        <c:tickLblPos val="nextTo"/>
        <c:spPr>
          <a:ln>
            <a:solidFill>
              <a:schemeClr val="tx1"/>
            </a:solidFill>
          </a:ln>
        </c:spPr>
        <c:crossAx val="1786713168"/>
        <c:crosses val="autoZero"/>
        <c:crossBetween val="between"/>
      </c:valAx>
    </c:plotArea>
    <c:legend>
      <c:legendPos val="b"/>
      <c:overlay val="0"/>
    </c:legend>
    <c:plotVisOnly val="1"/>
    <c:dispBlanksAs val="gap"/>
    <c:showDLblsOverMax val="0"/>
  </c:chart>
  <c:spPr>
    <a:ln>
      <a:solidFill>
        <a:schemeClr val="tx1"/>
      </a:solidFill>
    </a:ln>
  </c:spPr>
  <c:txPr>
    <a:bodyPr/>
    <a:lstStyle/>
    <a:p>
      <a:pPr>
        <a:defRPr sz="7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ART Total Remaining</a:t>
            </a:r>
            <a:r>
              <a:rPr lang="en-ZA" baseline="0"/>
              <a:t> on ART</a:t>
            </a:r>
            <a:endParaRPr lang="en-ZA"/>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1446381147883715"/>
          <c:y val="0.16131776631369354"/>
          <c:w val="0.85568635868380349"/>
          <c:h val="0.69552960046660839"/>
        </c:manualLayout>
      </c:layout>
      <c:lineChart>
        <c:grouping val="standard"/>
        <c:varyColors val="0"/>
        <c:ser>
          <c:idx val="0"/>
          <c:order val="0"/>
          <c:tx>
            <c:strRef>
              <c:f>'ART new TROA'!$D$9</c:f>
              <c:strCache>
                <c:ptCount val="1"/>
                <c:pt idx="0">
                  <c:v>Total remaining on ART (Adult) * (December)</c:v>
                </c:pt>
              </c:strCache>
            </c:strRef>
          </c:tx>
          <c:spPr>
            <a:ln w="25400">
              <a:solidFill>
                <a:srgbClr val="FF6600"/>
              </a:solidFill>
            </a:ln>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TROA'!$E$9:$Q$9</c:f>
              <c:numCache>
                <c:formatCode>#,##0</c:formatCode>
                <c:ptCount val="13"/>
                <c:pt idx="0">
                  <c:v>113375</c:v>
                </c:pt>
                <c:pt idx="1">
                  <c:v>173705</c:v>
                </c:pt>
                <c:pt idx="2">
                  <c:v>318447</c:v>
                </c:pt>
                <c:pt idx="3">
                  <c:v>532693</c:v>
                </c:pt>
                <c:pt idx="4">
                  <c:v>695293</c:v>
                </c:pt>
                <c:pt idx="5">
                  <c:v>1204269</c:v>
                </c:pt>
                <c:pt idx="6">
                  <c:v>1308602</c:v>
                </c:pt>
                <c:pt idx="7">
                  <c:v>2029233</c:v>
                </c:pt>
                <c:pt idx="8">
                  <c:v>2469236</c:v>
                </c:pt>
                <c:pt idx="9">
                  <c:v>2761519</c:v>
                </c:pt>
                <c:pt idx="10">
                  <c:v>3182343</c:v>
                </c:pt>
                <c:pt idx="11">
                  <c:v>3499630</c:v>
                </c:pt>
                <c:pt idx="12">
                  <c:v>3923464</c:v>
                </c:pt>
              </c:numCache>
            </c:numRef>
          </c:val>
          <c:smooth val="0"/>
          <c:extLst>
            <c:ext xmlns:c16="http://schemas.microsoft.com/office/drawing/2014/chart" uri="{C3380CC4-5D6E-409C-BE32-E72D297353CC}">
              <c16:uniqueId val="{00000000-73C0-47A8-8678-DE427B07924E}"/>
            </c:ext>
          </c:extLst>
        </c:ser>
        <c:ser>
          <c:idx val="1"/>
          <c:order val="1"/>
          <c:tx>
            <c:strRef>
              <c:f>'ART new TROA'!$D$11</c:f>
              <c:strCache>
                <c:ptCount val="1"/>
                <c:pt idx="0">
                  <c:v>*Remaing on ART (All)</c:v>
                </c:pt>
              </c:strCache>
            </c:strRef>
          </c:tx>
          <c:spPr>
            <a:ln w="25400">
              <a:solidFill>
                <a:srgbClr val="BE4B48"/>
              </a:solidFill>
            </a:ln>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TROA'!$E$11:$Q$11</c:f>
              <c:numCache>
                <c:formatCode>#,##0</c:formatCode>
                <c:ptCount val="13"/>
                <c:pt idx="0">
                  <c:v>125334</c:v>
                </c:pt>
                <c:pt idx="1">
                  <c:v>196074</c:v>
                </c:pt>
                <c:pt idx="2">
                  <c:v>356141</c:v>
                </c:pt>
                <c:pt idx="3">
                  <c:v>592216</c:v>
                </c:pt>
                <c:pt idx="4">
                  <c:v>780923</c:v>
                </c:pt>
                <c:pt idx="5">
                  <c:v>1318028</c:v>
                </c:pt>
                <c:pt idx="6">
                  <c:v>1406790</c:v>
                </c:pt>
                <c:pt idx="7">
                  <c:v>2171256</c:v>
                </c:pt>
                <c:pt idx="8">
                  <c:v>2626052</c:v>
                </c:pt>
                <c:pt idx="9">
                  <c:v>2921226</c:v>
                </c:pt>
                <c:pt idx="10">
                  <c:v>3348159</c:v>
                </c:pt>
                <c:pt idx="11">
                  <c:v>3669341</c:v>
                </c:pt>
                <c:pt idx="12">
                  <c:v>4086228</c:v>
                </c:pt>
              </c:numCache>
            </c:numRef>
          </c:val>
          <c:smooth val="0"/>
          <c:extLst>
            <c:ext xmlns:c16="http://schemas.microsoft.com/office/drawing/2014/chart" uri="{C3380CC4-5D6E-409C-BE32-E72D297353CC}">
              <c16:uniqueId val="{00000001-73C0-47A8-8678-DE427B07924E}"/>
            </c:ext>
          </c:extLst>
        </c:ser>
        <c:ser>
          <c:idx val="2"/>
          <c:order val="2"/>
          <c:tx>
            <c:strRef>
              <c:f>'ART new TROA'!$D$10</c:f>
              <c:strCache>
                <c:ptCount val="1"/>
                <c:pt idx="0">
                  <c:v>Total remaining on ART (Child) (December)</c:v>
                </c:pt>
              </c:strCache>
            </c:strRef>
          </c:tx>
          <c:spPr>
            <a:ln w="25400">
              <a:solidFill>
                <a:schemeClr val="accent2">
                  <a:lumMod val="50000"/>
                </a:schemeClr>
              </a:solidFill>
            </a:ln>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TROA'!$E$10:$Q$10</c:f>
              <c:numCache>
                <c:formatCode>#,##0</c:formatCode>
                <c:ptCount val="13"/>
                <c:pt idx="0">
                  <c:v>11959</c:v>
                </c:pt>
                <c:pt idx="1">
                  <c:v>22369</c:v>
                </c:pt>
                <c:pt idx="2">
                  <c:v>37694</c:v>
                </c:pt>
                <c:pt idx="3">
                  <c:v>59523</c:v>
                </c:pt>
                <c:pt idx="4">
                  <c:v>85630</c:v>
                </c:pt>
                <c:pt idx="5">
                  <c:v>113759</c:v>
                </c:pt>
                <c:pt idx="6">
                  <c:v>98188</c:v>
                </c:pt>
                <c:pt idx="7">
                  <c:v>142023</c:v>
                </c:pt>
                <c:pt idx="8">
                  <c:v>156816</c:v>
                </c:pt>
                <c:pt idx="9">
                  <c:v>159707</c:v>
                </c:pt>
                <c:pt idx="10">
                  <c:v>165816</c:v>
                </c:pt>
                <c:pt idx="11">
                  <c:v>169711</c:v>
                </c:pt>
                <c:pt idx="12">
                  <c:v>162764</c:v>
                </c:pt>
              </c:numCache>
            </c:numRef>
          </c:val>
          <c:smooth val="0"/>
          <c:extLst>
            <c:ext xmlns:c16="http://schemas.microsoft.com/office/drawing/2014/chart" uri="{C3380CC4-5D6E-409C-BE32-E72D297353CC}">
              <c16:uniqueId val="{00000002-73C0-47A8-8678-DE427B07924E}"/>
            </c:ext>
          </c:extLst>
        </c:ser>
        <c:dLbls>
          <c:showLegendKey val="0"/>
          <c:showVal val="0"/>
          <c:showCatName val="0"/>
          <c:showSerName val="0"/>
          <c:showPercent val="0"/>
          <c:showBubbleSize val="0"/>
        </c:dLbls>
        <c:smooth val="0"/>
        <c:axId val="1786699568"/>
        <c:axId val="1786691408"/>
      </c:lineChart>
      <c:catAx>
        <c:axId val="1786699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1408"/>
        <c:crosses val="autoZero"/>
        <c:auto val="1"/>
        <c:lblAlgn val="ctr"/>
        <c:lblOffset val="100"/>
        <c:tickLblSkip val="1"/>
        <c:tickMarkSkip val="1"/>
        <c:noMultiLvlLbl val="0"/>
      </c:catAx>
      <c:valAx>
        <c:axId val="178669140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9568"/>
        <c:crosses val="autoZero"/>
        <c:crossBetween val="between"/>
      </c:valAx>
      <c:spPr>
        <a:solidFill>
          <a:srgbClr val="FFFFFF"/>
        </a:solidFill>
        <a:ln w="3175">
          <a:solidFill>
            <a:srgbClr val="000000"/>
          </a:solidFill>
          <a:prstDash val="solid"/>
        </a:ln>
      </c:spPr>
    </c:plotArea>
    <c:legend>
      <c:legendPos val="r"/>
      <c:layout>
        <c:manualLayout>
          <c:xMode val="edge"/>
          <c:yMode val="edge"/>
          <c:x val="4.1358576715306704E-2"/>
          <c:y val="0.91198600174978128"/>
          <c:w val="0.94180678288576358"/>
          <c:h val="8.80139982502187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4427107696837"/>
          <c:y val="4.0172078561879168E-2"/>
          <c:w val="0.67970754376290587"/>
          <c:h val="0.66621366754725142"/>
        </c:manualLayout>
      </c:layout>
      <c:lineChart>
        <c:grouping val="standard"/>
        <c:varyColors val="0"/>
        <c:ser>
          <c:idx val="0"/>
          <c:order val="0"/>
          <c:tx>
            <c:strRef>
              <c:f>'ART new TROA'!$D$9</c:f>
              <c:strCache>
                <c:ptCount val="1"/>
                <c:pt idx="0">
                  <c:v>Total remaining on ART (Adult) * (December)</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TROA'!$E$9:$Q$9</c:f>
              <c:numCache>
                <c:formatCode>#,##0</c:formatCode>
                <c:ptCount val="13"/>
                <c:pt idx="0">
                  <c:v>113375</c:v>
                </c:pt>
                <c:pt idx="1">
                  <c:v>173705</c:v>
                </c:pt>
                <c:pt idx="2">
                  <c:v>318447</c:v>
                </c:pt>
                <c:pt idx="3">
                  <c:v>532693</c:v>
                </c:pt>
                <c:pt idx="4">
                  <c:v>695293</c:v>
                </c:pt>
                <c:pt idx="5">
                  <c:v>1204269</c:v>
                </c:pt>
                <c:pt idx="6">
                  <c:v>1308602</c:v>
                </c:pt>
                <c:pt idx="7">
                  <c:v>2029233</c:v>
                </c:pt>
                <c:pt idx="8">
                  <c:v>2469236</c:v>
                </c:pt>
                <c:pt idx="9">
                  <c:v>2761519</c:v>
                </c:pt>
                <c:pt idx="10">
                  <c:v>3182343</c:v>
                </c:pt>
                <c:pt idx="11">
                  <c:v>3499630</c:v>
                </c:pt>
                <c:pt idx="12">
                  <c:v>3923464</c:v>
                </c:pt>
              </c:numCache>
            </c:numRef>
          </c:val>
          <c:smooth val="0"/>
          <c:extLst>
            <c:ext xmlns:c16="http://schemas.microsoft.com/office/drawing/2014/chart" uri="{C3380CC4-5D6E-409C-BE32-E72D297353CC}">
              <c16:uniqueId val="{00000000-F387-435D-8BD8-E489F2B55B71}"/>
            </c:ext>
          </c:extLst>
        </c:ser>
        <c:ser>
          <c:idx val="1"/>
          <c:order val="1"/>
          <c:tx>
            <c:strRef>
              <c:f>'ART new TROA'!$D$11</c:f>
              <c:strCache>
                <c:ptCount val="1"/>
                <c:pt idx="0">
                  <c:v>*Remaing on ART (All)</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TROA'!$E$11:$Q$11</c:f>
              <c:numCache>
                <c:formatCode>#,##0</c:formatCode>
                <c:ptCount val="13"/>
                <c:pt idx="0">
                  <c:v>125334</c:v>
                </c:pt>
                <c:pt idx="1">
                  <c:v>196074</c:v>
                </c:pt>
                <c:pt idx="2">
                  <c:v>356141</c:v>
                </c:pt>
                <c:pt idx="3">
                  <c:v>592216</c:v>
                </c:pt>
                <c:pt idx="4">
                  <c:v>780923</c:v>
                </c:pt>
                <c:pt idx="5">
                  <c:v>1318028</c:v>
                </c:pt>
                <c:pt idx="6">
                  <c:v>1406790</c:v>
                </c:pt>
                <c:pt idx="7">
                  <c:v>2171256</c:v>
                </c:pt>
                <c:pt idx="8">
                  <c:v>2626052</c:v>
                </c:pt>
                <c:pt idx="9">
                  <c:v>2921226</c:v>
                </c:pt>
                <c:pt idx="10">
                  <c:v>3348159</c:v>
                </c:pt>
                <c:pt idx="11">
                  <c:v>3669341</c:v>
                </c:pt>
                <c:pt idx="12">
                  <c:v>4086228</c:v>
                </c:pt>
              </c:numCache>
            </c:numRef>
          </c:val>
          <c:smooth val="0"/>
          <c:extLst>
            <c:ext xmlns:c16="http://schemas.microsoft.com/office/drawing/2014/chart" uri="{C3380CC4-5D6E-409C-BE32-E72D297353CC}">
              <c16:uniqueId val="{00000001-F387-435D-8BD8-E489F2B55B71}"/>
            </c:ext>
          </c:extLst>
        </c:ser>
        <c:dLbls>
          <c:showLegendKey val="0"/>
          <c:showVal val="0"/>
          <c:showCatName val="0"/>
          <c:showSerName val="0"/>
          <c:showPercent val="0"/>
          <c:showBubbleSize val="0"/>
        </c:dLbls>
        <c:smooth val="0"/>
        <c:axId val="1786721328"/>
        <c:axId val="1786721872"/>
      </c:lineChart>
      <c:catAx>
        <c:axId val="1786721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786721872"/>
        <c:crosses val="autoZero"/>
        <c:auto val="1"/>
        <c:lblAlgn val="ctr"/>
        <c:lblOffset val="100"/>
        <c:tickLblSkip val="1"/>
        <c:tickMarkSkip val="1"/>
        <c:noMultiLvlLbl val="0"/>
      </c:catAx>
      <c:valAx>
        <c:axId val="1786721872"/>
        <c:scaling>
          <c:orientation val="minMax"/>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786721328"/>
        <c:crosses val="autoZero"/>
        <c:crossBetween val="between"/>
      </c:valAx>
      <c:spPr>
        <a:solidFill>
          <a:srgbClr val="FFFFFF"/>
        </a:solidFill>
        <a:ln w="3175">
          <a:noFill/>
          <a:prstDash val="solid"/>
        </a:ln>
      </c:spPr>
    </c:plotArea>
    <c:legend>
      <c:legendPos val="r"/>
      <c:layout>
        <c:manualLayout>
          <c:xMode val="edge"/>
          <c:yMode val="edge"/>
          <c:x val="4.1358576715306704E-2"/>
          <c:y val="0.82605625382504433"/>
          <c:w val="0.90390956151256718"/>
          <c:h val="0.1739437461749557"/>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7331026196886976"/>
          <c:y val="0.20716138402306791"/>
          <c:w val="0.7954941024371126"/>
          <c:h val="0.64450208362732231"/>
        </c:manualLayout>
      </c:layout>
      <c:lineChart>
        <c:grouping val="standard"/>
        <c:varyColors val="0"/>
        <c:ser>
          <c:idx val="0"/>
          <c:order val="0"/>
          <c:tx>
            <c:strRef>
              <c:f>TB!$D$9</c:f>
              <c:strCache>
                <c:ptCount val="1"/>
                <c:pt idx="0">
                  <c:v>TB case notification</c:v>
                </c:pt>
              </c:strCache>
            </c:strRef>
          </c:tx>
          <c:spPr>
            <a:ln w="25400">
              <a:solidFill>
                <a:srgbClr val="993300"/>
              </a:solidFill>
              <a:prstDash val="solid"/>
            </a:ln>
          </c:spPr>
          <c:marker>
            <c:symbol val="none"/>
          </c:marker>
          <c:cat>
            <c:strRef>
              <c:f>TB!$F$8:$AA$8</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2013 </c:v>
                </c:pt>
                <c:pt idx="19">
                  <c:v>2014 </c:v>
                </c:pt>
                <c:pt idx="20">
                  <c:v>2015</c:v>
                </c:pt>
                <c:pt idx="21">
                  <c:v>2016</c:v>
                </c:pt>
              </c:strCache>
            </c:strRef>
          </c:cat>
          <c:val>
            <c:numRef>
              <c:f>TB!$F$9:$AA$9</c:f>
              <c:numCache>
                <c:formatCode>#\ ###\ ##0</c:formatCode>
                <c:ptCount val="22"/>
                <c:pt idx="0">
                  <c:v>73917</c:v>
                </c:pt>
                <c:pt idx="1">
                  <c:v>109328</c:v>
                </c:pt>
                <c:pt idx="2">
                  <c:v>125913</c:v>
                </c:pt>
                <c:pt idx="3">
                  <c:v>142281</c:v>
                </c:pt>
                <c:pt idx="4">
                  <c:v>148164</c:v>
                </c:pt>
                <c:pt idx="5">
                  <c:v>151239</c:v>
                </c:pt>
                <c:pt idx="6">
                  <c:v>188695</c:v>
                </c:pt>
                <c:pt idx="7">
                  <c:v>224420</c:v>
                </c:pt>
                <c:pt idx="8">
                  <c:v>255422</c:v>
                </c:pt>
                <c:pt idx="9">
                  <c:v>279260</c:v>
                </c:pt>
                <c:pt idx="10">
                  <c:v>302467</c:v>
                </c:pt>
                <c:pt idx="11">
                  <c:v>341165</c:v>
                </c:pt>
                <c:pt idx="12">
                  <c:v>353879</c:v>
                </c:pt>
                <c:pt idx="13">
                  <c:v>388882</c:v>
                </c:pt>
                <c:pt idx="14">
                  <c:v>406082</c:v>
                </c:pt>
                <c:pt idx="15">
                  <c:v>401048</c:v>
                </c:pt>
                <c:pt idx="16">
                  <c:v>389974</c:v>
                </c:pt>
                <c:pt idx="17">
                  <c:v>349582</c:v>
                </c:pt>
                <c:pt idx="18">
                  <c:v>328896</c:v>
                </c:pt>
                <c:pt idx="19">
                  <c:v>318193</c:v>
                </c:pt>
                <c:pt idx="20">
                  <c:v>235778</c:v>
                </c:pt>
                <c:pt idx="21">
                  <c:v>266105</c:v>
                </c:pt>
              </c:numCache>
            </c:numRef>
          </c:val>
          <c:smooth val="0"/>
          <c:extLst>
            <c:ext xmlns:c16="http://schemas.microsoft.com/office/drawing/2014/chart" uri="{C3380CC4-5D6E-409C-BE32-E72D297353CC}">
              <c16:uniqueId val="{00000000-9382-46CA-A4C1-28C31A447026}"/>
            </c:ext>
          </c:extLst>
        </c:ser>
        <c:dLbls>
          <c:showLegendKey val="0"/>
          <c:showVal val="0"/>
          <c:showCatName val="0"/>
          <c:showSerName val="0"/>
          <c:showPercent val="0"/>
          <c:showBubbleSize val="0"/>
        </c:dLbls>
        <c:smooth val="0"/>
        <c:axId val="1786722416"/>
        <c:axId val="1786743632"/>
      </c:lineChart>
      <c:catAx>
        <c:axId val="17867224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786743632"/>
        <c:crosses val="autoZero"/>
        <c:auto val="1"/>
        <c:lblAlgn val="ctr"/>
        <c:lblOffset val="100"/>
        <c:tickLblSkip val="1"/>
        <c:tickMarkSkip val="1"/>
        <c:noMultiLvlLbl val="0"/>
      </c:catAx>
      <c:valAx>
        <c:axId val="178674363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224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8253329746825123"/>
          <c:y val="0.12361499889240185"/>
          <c:w val="0.78805672388777481"/>
          <c:h val="0.74796806089775858"/>
        </c:manualLayout>
      </c:layout>
      <c:lineChart>
        <c:grouping val="standard"/>
        <c:varyColors val="0"/>
        <c:ser>
          <c:idx val="0"/>
          <c:order val="0"/>
          <c:tx>
            <c:strRef>
              <c:f>TB!$D$9</c:f>
              <c:strCache>
                <c:ptCount val="1"/>
                <c:pt idx="0">
                  <c:v>TB case notification</c:v>
                </c:pt>
              </c:strCache>
            </c:strRef>
          </c:tx>
          <c:spPr>
            <a:ln w="25400">
              <a:solidFill>
                <a:srgbClr val="FF6600"/>
              </a:solidFill>
              <a:prstDash val="solid"/>
            </a:ln>
          </c:spPr>
          <c:marker>
            <c:symbol val="none"/>
          </c:marker>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TB!$E$9:$AB$9</c:f>
              <c:numCache>
                <c:formatCode>#\ ###\ ##0</c:formatCode>
                <c:ptCount val="24"/>
                <c:pt idx="0">
                  <c:v>90292</c:v>
                </c:pt>
                <c:pt idx="1">
                  <c:v>73917</c:v>
                </c:pt>
                <c:pt idx="2">
                  <c:v>109328</c:v>
                </c:pt>
                <c:pt idx="3">
                  <c:v>125913</c:v>
                </c:pt>
                <c:pt idx="4">
                  <c:v>142281</c:v>
                </c:pt>
                <c:pt idx="5">
                  <c:v>148164</c:v>
                </c:pt>
                <c:pt idx="6">
                  <c:v>151239</c:v>
                </c:pt>
                <c:pt idx="7">
                  <c:v>188695</c:v>
                </c:pt>
                <c:pt idx="8">
                  <c:v>224420</c:v>
                </c:pt>
                <c:pt idx="9">
                  <c:v>255422</c:v>
                </c:pt>
                <c:pt idx="10">
                  <c:v>279260</c:v>
                </c:pt>
                <c:pt idx="11">
                  <c:v>302467</c:v>
                </c:pt>
                <c:pt idx="12">
                  <c:v>341165</c:v>
                </c:pt>
                <c:pt idx="13">
                  <c:v>353879</c:v>
                </c:pt>
                <c:pt idx="14">
                  <c:v>388882</c:v>
                </c:pt>
                <c:pt idx="15">
                  <c:v>406082</c:v>
                </c:pt>
                <c:pt idx="16">
                  <c:v>401048</c:v>
                </c:pt>
                <c:pt idx="17">
                  <c:v>389974</c:v>
                </c:pt>
                <c:pt idx="18">
                  <c:v>349582</c:v>
                </c:pt>
                <c:pt idx="19">
                  <c:v>328896</c:v>
                </c:pt>
                <c:pt idx="20">
                  <c:v>318193</c:v>
                </c:pt>
                <c:pt idx="21">
                  <c:v>235778</c:v>
                </c:pt>
                <c:pt idx="22">
                  <c:v>266105</c:v>
                </c:pt>
                <c:pt idx="23">
                  <c:v>227224</c:v>
                </c:pt>
              </c:numCache>
            </c:numRef>
          </c:val>
          <c:smooth val="0"/>
          <c:extLst>
            <c:ext xmlns:c16="http://schemas.microsoft.com/office/drawing/2014/chart" uri="{C3380CC4-5D6E-409C-BE32-E72D297353CC}">
              <c16:uniqueId val="{00000000-8BA5-4EA1-AFB6-26080588F11B}"/>
            </c:ext>
          </c:extLst>
        </c:ser>
        <c:dLbls>
          <c:showLegendKey val="0"/>
          <c:showVal val="0"/>
          <c:showCatName val="0"/>
          <c:showSerName val="0"/>
          <c:showPercent val="0"/>
          <c:showBubbleSize val="0"/>
        </c:dLbls>
        <c:smooth val="0"/>
        <c:axId val="1786690320"/>
        <c:axId val="1786725680"/>
      </c:lineChart>
      <c:catAx>
        <c:axId val="17866903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786725680"/>
        <c:crosses val="autoZero"/>
        <c:auto val="1"/>
        <c:lblAlgn val="ctr"/>
        <c:lblOffset val="100"/>
        <c:tickLblSkip val="1"/>
        <c:tickMarkSkip val="1"/>
        <c:noMultiLvlLbl val="0"/>
      </c:catAx>
      <c:valAx>
        <c:axId val="178672568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69032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TREATMENT</a:t>
            </a:r>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0990512957519914"/>
          <c:y val="0.1459922256553374"/>
          <c:w val="0.86024508827994661"/>
          <c:h val="0.67679557460380746"/>
        </c:manualLayout>
      </c:layout>
      <c:barChart>
        <c:barDir val="col"/>
        <c:grouping val="clustered"/>
        <c:varyColors val="0"/>
        <c:ser>
          <c:idx val="0"/>
          <c:order val="0"/>
          <c:tx>
            <c:strRef>
              <c:f>TB!$D$10</c:f>
              <c:strCache>
                <c:ptCount val="1"/>
                <c:pt idx="0">
                  <c:v>Treatment Success rate (%)</c:v>
                </c:pt>
              </c:strCache>
            </c:strRef>
          </c:tx>
          <c:spPr>
            <a:solidFill>
              <a:srgbClr val="FCD5B5"/>
            </a:solidFill>
            <a:ln w="25400">
              <a:noFill/>
            </a:ln>
          </c:spPr>
          <c:invertIfNegative val="0"/>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TB!$E$10:$AB$10</c:f>
              <c:numCache>
                <c:formatCode>#\ ###\ ##0</c:formatCode>
                <c:ptCount val="24"/>
                <c:pt idx="0">
                  <c:v>73</c:v>
                </c:pt>
                <c:pt idx="1">
                  <c:v>73</c:v>
                </c:pt>
                <c:pt idx="2">
                  <c:v>73</c:v>
                </c:pt>
                <c:pt idx="3">
                  <c:v>73</c:v>
                </c:pt>
                <c:pt idx="4">
                  <c:v>73</c:v>
                </c:pt>
                <c:pt idx="5">
                  <c:v>72</c:v>
                </c:pt>
                <c:pt idx="6">
                  <c:v>63</c:v>
                </c:pt>
                <c:pt idx="7">
                  <c:v>61</c:v>
                </c:pt>
                <c:pt idx="8">
                  <c:v>63</c:v>
                </c:pt>
                <c:pt idx="9">
                  <c:v>63</c:v>
                </c:pt>
                <c:pt idx="10">
                  <c:v>66</c:v>
                </c:pt>
                <c:pt idx="11">
                  <c:v>71</c:v>
                </c:pt>
                <c:pt idx="12">
                  <c:v>74</c:v>
                </c:pt>
                <c:pt idx="13">
                  <c:v>74</c:v>
                </c:pt>
                <c:pt idx="14">
                  <c:v>76</c:v>
                </c:pt>
                <c:pt idx="15">
                  <c:v>77</c:v>
                </c:pt>
                <c:pt idx="16">
                  <c:v>79</c:v>
                </c:pt>
                <c:pt idx="17">
                  <c:v>80</c:v>
                </c:pt>
                <c:pt idx="18">
                  <c:v>81</c:v>
                </c:pt>
                <c:pt idx="19">
                  <c:v>82</c:v>
                </c:pt>
                <c:pt idx="20">
                  <c:v>77.900000000000006</c:v>
                </c:pt>
                <c:pt idx="21">
                  <c:v>77.5</c:v>
                </c:pt>
                <c:pt idx="22">
                  <c:v>82.2</c:v>
                </c:pt>
                <c:pt idx="23">
                  <c:v>81.7</c:v>
                </c:pt>
              </c:numCache>
            </c:numRef>
          </c:val>
          <c:extLst>
            <c:ext xmlns:c16="http://schemas.microsoft.com/office/drawing/2014/chart" uri="{C3380CC4-5D6E-409C-BE32-E72D297353CC}">
              <c16:uniqueId val="{00000000-C6E4-4586-AD81-720E8A3BB259}"/>
            </c:ext>
          </c:extLst>
        </c:ser>
        <c:ser>
          <c:idx val="1"/>
          <c:order val="1"/>
          <c:tx>
            <c:strRef>
              <c:f>TB!$D$11</c:f>
              <c:strCache>
                <c:ptCount val="1"/>
                <c:pt idx="0">
                  <c:v>Loss to Follow-up rate</c:v>
                </c:pt>
              </c:strCache>
            </c:strRef>
          </c:tx>
          <c:spPr>
            <a:solidFill>
              <a:srgbClr val="F8A662"/>
            </a:solidFill>
            <a:ln w="25400">
              <a:noFill/>
            </a:ln>
          </c:spPr>
          <c:invertIfNegative val="0"/>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TB!$E$11:$AB$11</c:f>
              <c:numCache>
                <c:formatCode>0.0</c:formatCode>
                <c:ptCount val="24"/>
                <c:pt idx="0">
                  <c:v>18</c:v>
                </c:pt>
                <c:pt idx="1">
                  <c:v>19</c:v>
                </c:pt>
                <c:pt idx="2">
                  <c:v>18</c:v>
                </c:pt>
                <c:pt idx="3">
                  <c:v>19</c:v>
                </c:pt>
                <c:pt idx="4">
                  <c:v>19</c:v>
                </c:pt>
                <c:pt idx="5">
                  <c:v>17</c:v>
                </c:pt>
                <c:pt idx="6">
                  <c:v>13</c:v>
                </c:pt>
                <c:pt idx="7">
                  <c:v>11</c:v>
                </c:pt>
                <c:pt idx="8">
                  <c:v>12</c:v>
                </c:pt>
                <c:pt idx="9">
                  <c:v>11</c:v>
                </c:pt>
                <c:pt idx="10">
                  <c:v>10</c:v>
                </c:pt>
                <c:pt idx="11">
                  <c:v>10</c:v>
                </c:pt>
                <c:pt idx="12">
                  <c:v>9</c:v>
                </c:pt>
                <c:pt idx="13">
                  <c:v>9</c:v>
                </c:pt>
                <c:pt idx="14">
                  <c:v>8</c:v>
                </c:pt>
                <c:pt idx="15">
                  <c:v>7</c:v>
                </c:pt>
                <c:pt idx="16">
                  <c:v>7</c:v>
                </c:pt>
                <c:pt idx="17">
                  <c:v>6</c:v>
                </c:pt>
                <c:pt idx="18">
                  <c:v>6</c:v>
                </c:pt>
                <c:pt idx="19">
                  <c:v>5.8</c:v>
                </c:pt>
                <c:pt idx="20">
                  <c:v>6.3</c:v>
                </c:pt>
                <c:pt idx="21">
                  <c:v>6</c:v>
                </c:pt>
                <c:pt idx="22">
                  <c:v>6.5</c:v>
                </c:pt>
                <c:pt idx="23">
                  <c:v>6.9</c:v>
                </c:pt>
              </c:numCache>
            </c:numRef>
          </c:val>
          <c:extLst>
            <c:ext xmlns:c16="http://schemas.microsoft.com/office/drawing/2014/chart" uri="{C3380CC4-5D6E-409C-BE32-E72D297353CC}">
              <c16:uniqueId val="{00000001-C6E4-4586-AD81-720E8A3BB259}"/>
            </c:ext>
          </c:extLst>
        </c:ser>
        <c:ser>
          <c:idx val="2"/>
          <c:order val="2"/>
          <c:tx>
            <c:strRef>
              <c:f>TB!$D$12</c:f>
              <c:strCache>
                <c:ptCount val="1"/>
                <c:pt idx="0">
                  <c:v>Death rate</c:v>
                </c:pt>
              </c:strCache>
            </c:strRef>
          </c:tx>
          <c:spPr>
            <a:solidFill>
              <a:srgbClr val="E46C0A"/>
            </a:solidFill>
            <a:ln w="25400">
              <a:noFill/>
            </a:ln>
          </c:spPr>
          <c:invertIfNegative val="0"/>
          <c:cat>
            <c:strRef>
              <c:f>TB!$E$8:$AB$8</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pt idx="21">
                  <c:v>2015</c:v>
                </c:pt>
                <c:pt idx="22">
                  <c:v>2016</c:v>
                </c:pt>
                <c:pt idx="23">
                  <c:v>2017</c:v>
                </c:pt>
              </c:strCache>
            </c:strRef>
          </c:cat>
          <c:val>
            <c:numRef>
              <c:f>TB!$E$12:$AB$12</c:f>
              <c:numCache>
                <c:formatCode>0.0</c:formatCode>
                <c:ptCount val="24"/>
                <c:pt idx="20">
                  <c:v>7.4</c:v>
                </c:pt>
                <c:pt idx="21">
                  <c:v>6.7</c:v>
                </c:pt>
                <c:pt idx="22">
                  <c:v>6.7</c:v>
                </c:pt>
                <c:pt idx="23">
                  <c:v>6.6</c:v>
                </c:pt>
              </c:numCache>
            </c:numRef>
          </c:val>
          <c:extLst>
            <c:ext xmlns:c16="http://schemas.microsoft.com/office/drawing/2014/chart" uri="{C3380CC4-5D6E-409C-BE32-E72D297353CC}">
              <c16:uniqueId val="{00000002-C6E4-4586-AD81-720E8A3BB259}"/>
            </c:ext>
          </c:extLst>
        </c:ser>
        <c:dLbls>
          <c:showLegendKey val="0"/>
          <c:showVal val="0"/>
          <c:showCatName val="0"/>
          <c:showSerName val="0"/>
          <c:showPercent val="0"/>
          <c:showBubbleSize val="0"/>
        </c:dLbls>
        <c:gapWidth val="150"/>
        <c:axId val="1786739280"/>
        <c:axId val="1786723504"/>
      </c:barChart>
      <c:catAx>
        <c:axId val="178673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786723504"/>
        <c:crosses val="autoZero"/>
        <c:auto val="1"/>
        <c:lblAlgn val="ctr"/>
        <c:lblOffset val="100"/>
        <c:tickLblSkip val="1"/>
        <c:tickMarkSkip val="1"/>
        <c:noMultiLvlLbl val="0"/>
      </c:catAx>
      <c:valAx>
        <c:axId val="178672350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rate</a:t>
                </a:r>
              </a:p>
            </c:rich>
          </c:tx>
          <c:layout>
            <c:manualLayout>
              <c:xMode val="edge"/>
              <c:yMode val="edge"/>
              <c:x val="3.3898258339423858E-2"/>
              <c:y val="0.46491350861844088"/>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39280"/>
        <c:crosses val="autoZero"/>
        <c:crossBetween val="between"/>
      </c:valAx>
      <c:spPr>
        <a:solidFill>
          <a:srgbClr val="FFFFFF"/>
        </a:solidFill>
        <a:ln w="3175">
          <a:solidFill>
            <a:srgbClr val="000000"/>
          </a:solidFill>
          <a:prstDash val="solid"/>
        </a:ln>
      </c:spPr>
    </c:plotArea>
    <c:legend>
      <c:legendPos val="r"/>
      <c:layout>
        <c:manualLayout>
          <c:xMode val="edge"/>
          <c:yMode val="edge"/>
          <c:x val="0.25373159543903773"/>
          <c:y val="0.92658571469188666"/>
          <c:w val="0.58073327726154123"/>
          <c:h val="6.07597189961889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MALARIA</a:t>
            </a:r>
          </a:p>
        </c:rich>
      </c:tx>
      <c:layout>
        <c:manualLayout>
          <c:xMode val="edge"/>
          <c:yMode val="edge"/>
          <c:x val="5.8423857732069207E-2"/>
          <c:y val="2.4615384615384615E-2"/>
        </c:manualLayout>
      </c:layout>
      <c:overlay val="0"/>
      <c:spPr>
        <a:noFill/>
        <a:ln w="25400">
          <a:noFill/>
        </a:ln>
      </c:spPr>
    </c:title>
    <c:autoTitleDeleted val="0"/>
    <c:plotArea>
      <c:layout>
        <c:manualLayout>
          <c:layoutTarget val="inner"/>
          <c:xMode val="edge"/>
          <c:yMode val="edge"/>
          <c:x val="0.10089037825922853"/>
          <c:y val="0.1631016042780733"/>
          <c:w val="0.81899248233961974"/>
          <c:h val="0.62834224598930477"/>
        </c:manualLayout>
      </c:layout>
      <c:lineChart>
        <c:grouping val="standard"/>
        <c:varyColors val="0"/>
        <c:ser>
          <c:idx val="1"/>
          <c:order val="0"/>
          <c:tx>
            <c:strRef>
              <c:f>Malaria!$D$9</c:f>
              <c:strCache>
                <c:ptCount val="1"/>
                <c:pt idx="0">
                  <c:v>Cases</c:v>
                </c:pt>
              </c:strCache>
            </c:strRef>
          </c:tx>
          <c:spPr>
            <a:ln w="25400">
              <a:solidFill>
                <a:srgbClr val="FF6600"/>
              </a:solidFill>
              <a:prstDash val="solid"/>
            </a:ln>
          </c:spPr>
          <c:marker>
            <c:symbol val="none"/>
          </c:marker>
          <c:cat>
            <c:numRef>
              <c:f>Malaria!$E$8:$Z$8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Malaria!$E$9:$Z$9</c:f>
              <c:numCache>
                <c:formatCode>#\ ###\ ##0</c:formatCode>
                <c:ptCount val="22"/>
                <c:pt idx="0">
                  <c:v>27035</c:v>
                </c:pt>
                <c:pt idx="1">
                  <c:v>23121</c:v>
                </c:pt>
                <c:pt idx="2">
                  <c:v>26445</c:v>
                </c:pt>
                <c:pt idx="3">
                  <c:v>51444</c:v>
                </c:pt>
                <c:pt idx="4">
                  <c:v>64622</c:v>
                </c:pt>
                <c:pt idx="5">
                  <c:v>26506</c:v>
                </c:pt>
                <c:pt idx="6">
                  <c:v>15649</c:v>
                </c:pt>
                <c:pt idx="7">
                  <c:v>13459</c:v>
                </c:pt>
                <c:pt idx="8">
                  <c:v>13399</c:v>
                </c:pt>
                <c:pt idx="9">
                  <c:v>7755</c:v>
                </c:pt>
                <c:pt idx="10">
                  <c:v>12163</c:v>
                </c:pt>
                <c:pt idx="11">
                  <c:v>5210</c:v>
                </c:pt>
                <c:pt idx="12">
                  <c:v>7727</c:v>
                </c:pt>
                <c:pt idx="13">
                  <c:v>5586</c:v>
                </c:pt>
                <c:pt idx="14">
                  <c:v>8066</c:v>
                </c:pt>
                <c:pt idx="15">
                  <c:v>9866</c:v>
                </c:pt>
                <c:pt idx="16">
                  <c:v>6646</c:v>
                </c:pt>
                <c:pt idx="17">
                  <c:v>8851</c:v>
                </c:pt>
                <c:pt idx="18">
                  <c:v>13988</c:v>
                </c:pt>
                <c:pt idx="19">
                  <c:v>11276</c:v>
                </c:pt>
                <c:pt idx="20">
                  <c:v>5846</c:v>
                </c:pt>
                <c:pt idx="21">
                  <c:v>30450</c:v>
                </c:pt>
              </c:numCache>
            </c:numRef>
          </c:val>
          <c:smooth val="0"/>
          <c:extLst>
            <c:ext xmlns:c16="http://schemas.microsoft.com/office/drawing/2014/chart" uri="{C3380CC4-5D6E-409C-BE32-E72D297353CC}">
              <c16:uniqueId val="{00000000-FFE5-4478-B66F-BB70A6FE9136}"/>
            </c:ext>
          </c:extLst>
        </c:ser>
        <c:dLbls>
          <c:showLegendKey val="0"/>
          <c:showVal val="0"/>
          <c:showCatName val="0"/>
          <c:showSerName val="0"/>
          <c:showPercent val="0"/>
          <c:showBubbleSize val="0"/>
        </c:dLbls>
        <c:marker val="1"/>
        <c:smooth val="0"/>
        <c:axId val="1786749616"/>
        <c:axId val="1786725136"/>
      </c:lineChart>
      <c:lineChart>
        <c:grouping val="standard"/>
        <c:varyColors val="0"/>
        <c:ser>
          <c:idx val="0"/>
          <c:order val="1"/>
          <c:tx>
            <c:strRef>
              <c:f>Malaria!$D$10</c:f>
              <c:strCache>
                <c:ptCount val="1"/>
                <c:pt idx="0">
                  <c:v>Deaths</c:v>
                </c:pt>
              </c:strCache>
            </c:strRef>
          </c:tx>
          <c:spPr>
            <a:ln w="25400">
              <a:solidFill>
                <a:srgbClr val="BE4B48"/>
              </a:solidFill>
              <a:prstDash val="solid"/>
            </a:ln>
          </c:spPr>
          <c:marker>
            <c:symbol val="none"/>
          </c:marker>
          <c:cat>
            <c:numRef>
              <c:f>Malaria!$E$8:$Z$8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Malaria!$E$10:$Z$10</c:f>
              <c:numCache>
                <c:formatCode>General</c:formatCode>
                <c:ptCount val="22"/>
                <c:pt idx="0">
                  <c:v>163</c:v>
                </c:pt>
                <c:pt idx="1">
                  <c:v>104</c:v>
                </c:pt>
                <c:pt idx="2">
                  <c:v>198</c:v>
                </c:pt>
                <c:pt idx="3">
                  <c:v>406</c:v>
                </c:pt>
                <c:pt idx="4">
                  <c:v>458</c:v>
                </c:pt>
                <c:pt idx="5">
                  <c:v>119</c:v>
                </c:pt>
                <c:pt idx="6">
                  <c:v>96</c:v>
                </c:pt>
                <c:pt idx="7">
                  <c:v>142</c:v>
                </c:pt>
                <c:pt idx="8">
                  <c:v>89</c:v>
                </c:pt>
                <c:pt idx="9">
                  <c:v>64</c:v>
                </c:pt>
                <c:pt idx="10">
                  <c:v>89</c:v>
                </c:pt>
                <c:pt idx="11">
                  <c:v>48</c:v>
                </c:pt>
                <c:pt idx="12">
                  <c:v>44</c:v>
                </c:pt>
                <c:pt idx="13">
                  <c:v>43</c:v>
                </c:pt>
                <c:pt idx="14">
                  <c:v>87</c:v>
                </c:pt>
                <c:pt idx="15">
                  <c:v>89</c:v>
                </c:pt>
                <c:pt idx="16">
                  <c:v>72</c:v>
                </c:pt>
                <c:pt idx="17">
                  <c:v>104</c:v>
                </c:pt>
                <c:pt idx="18">
                  <c:v>174</c:v>
                </c:pt>
                <c:pt idx="19">
                  <c:v>141</c:v>
                </c:pt>
                <c:pt idx="20">
                  <c:v>54</c:v>
                </c:pt>
                <c:pt idx="21">
                  <c:v>331</c:v>
                </c:pt>
              </c:numCache>
            </c:numRef>
          </c:val>
          <c:smooth val="0"/>
          <c:extLst>
            <c:ext xmlns:c16="http://schemas.microsoft.com/office/drawing/2014/chart" uri="{C3380CC4-5D6E-409C-BE32-E72D297353CC}">
              <c16:uniqueId val="{00000001-FFE5-4478-B66F-BB70A6FE9136}"/>
            </c:ext>
          </c:extLst>
        </c:ser>
        <c:dLbls>
          <c:showLegendKey val="0"/>
          <c:showVal val="0"/>
          <c:showCatName val="0"/>
          <c:showSerName val="0"/>
          <c:showPercent val="0"/>
          <c:showBubbleSize val="0"/>
        </c:dLbls>
        <c:marker val="1"/>
        <c:smooth val="0"/>
        <c:axId val="1786742544"/>
        <c:axId val="1786730576"/>
      </c:lineChart>
      <c:catAx>
        <c:axId val="17867496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25136"/>
        <c:crosses val="autoZero"/>
        <c:auto val="0"/>
        <c:lblAlgn val="ctr"/>
        <c:lblOffset val="100"/>
        <c:tickLblSkip val="1"/>
        <c:tickMarkSkip val="1"/>
        <c:noMultiLvlLbl val="0"/>
      </c:catAx>
      <c:valAx>
        <c:axId val="17867251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cases</a:t>
                </a:r>
              </a:p>
            </c:rich>
          </c:tx>
          <c:layout>
            <c:manualLayout>
              <c:xMode val="edge"/>
              <c:yMode val="edge"/>
              <c:x val="2.0380443515989072E-2"/>
              <c:y val="0.41538526145770716"/>
            </c:manualLayout>
          </c:layout>
          <c:overlay val="0"/>
          <c:spPr>
            <a:noFill/>
            <a:ln w="25400">
              <a:noFill/>
            </a:ln>
          </c:spPr>
        </c:title>
        <c:numFmt formatCode="#\ ##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49616"/>
        <c:crosses val="autoZero"/>
        <c:crossBetween val="midCat"/>
      </c:valAx>
      <c:catAx>
        <c:axId val="1786742544"/>
        <c:scaling>
          <c:orientation val="minMax"/>
        </c:scaling>
        <c:delete val="1"/>
        <c:axPos val="b"/>
        <c:numFmt formatCode="General" sourceLinked="1"/>
        <c:majorTickMark val="out"/>
        <c:minorTickMark val="none"/>
        <c:tickLblPos val="none"/>
        <c:crossAx val="1786730576"/>
        <c:crosses val="autoZero"/>
        <c:auto val="0"/>
        <c:lblAlgn val="ctr"/>
        <c:lblOffset val="100"/>
        <c:noMultiLvlLbl val="0"/>
      </c:catAx>
      <c:valAx>
        <c:axId val="17867305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deaths</a:t>
                </a:r>
              </a:p>
            </c:rich>
          </c:tx>
          <c:layout>
            <c:manualLayout>
              <c:xMode val="edge"/>
              <c:yMode val="edge"/>
              <c:x val="0.9624177266303251"/>
              <c:y val="0.412308474529689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6742544"/>
        <c:crosses val="max"/>
        <c:crossBetween val="midCat"/>
      </c:valAx>
      <c:spPr>
        <a:solidFill>
          <a:srgbClr val="FFFFFF"/>
        </a:solidFill>
        <a:ln w="3175">
          <a:solidFill>
            <a:srgbClr val="000000"/>
          </a:solidFill>
          <a:prstDash val="solid"/>
        </a:ln>
      </c:spPr>
    </c:plotArea>
    <c:legend>
      <c:legendPos val="r"/>
      <c:layout>
        <c:manualLayout>
          <c:xMode val="edge"/>
          <c:yMode val="edge"/>
          <c:x val="0.42334394014656684"/>
          <c:y val="0.91176470588234493"/>
          <c:w val="0.18298745076428924"/>
          <c:h val="7.4866310160428592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NET</a:t>
            </a:r>
            <a:r>
              <a:rPr lang="en-US" baseline="0"/>
              <a:t> </a:t>
            </a:r>
            <a:r>
              <a:rPr lang="en-US"/>
              <a:t>FOREIGN DIRECT INVESTMENT (NET FDI)</a:t>
            </a:r>
          </a:p>
        </c:rich>
      </c:tx>
      <c:layout>
        <c:manualLayout>
          <c:xMode val="edge"/>
          <c:yMode val="edge"/>
          <c:x val="4.2531069158523865E-2"/>
          <c:y val="2.3460325035128182E-2"/>
        </c:manualLayout>
      </c:layout>
      <c:overlay val="0"/>
      <c:spPr>
        <a:noFill/>
        <a:ln w="25400">
          <a:noFill/>
        </a:ln>
      </c:spPr>
    </c:title>
    <c:autoTitleDeleted val="0"/>
    <c:plotArea>
      <c:layout>
        <c:manualLayout>
          <c:layoutTarget val="inner"/>
          <c:xMode val="edge"/>
          <c:yMode val="edge"/>
          <c:x val="5.2741749118094934E-2"/>
          <c:y val="0.23612476470744187"/>
          <c:w val="0.90298077047153769"/>
          <c:h val="0.70087976539590002"/>
        </c:manualLayout>
      </c:layout>
      <c:lineChart>
        <c:grouping val="standard"/>
        <c:varyColors val="0"/>
        <c:ser>
          <c:idx val="0"/>
          <c:order val="0"/>
          <c:tx>
            <c:strRef>
              <c:f>'NFDI  '!$D$8</c:f>
              <c:strCache>
                <c:ptCount val="1"/>
                <c:pt idx="0">
                  <c:v>FDI</c:v>
                </c:pt>
              </c:strCache>
            </c:strRef>
          </c:tx>
          <c:marker>
            <c:symbol val="none"/>
          </c:marker>
          <c:cat>
            <c:strRef>
              <c:f>'NFDI  '!$E$7:$AB$7</c:f>
              <c:strCach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strCache>
            </c:strRef>
          </c:cat>
          <c:val>
            <c:numRef>
              <c:f>'NFDI  '!$E$8:$AB$8</c:f>
              <c:numCache>
                <c:formatCode>#\ ##0.000</c:formatCode>
                <c:ptCount val="24"/>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pt idx="21" formatCode="#,##0.00">
                  <c:v>-51.216999999999999</c:v>
                </c:pt>
                <c:pt idx="22" formatCode="#,##0.00">
                  <c:v>-32.942</c:v>
                </c:pt>
                <c:pt idx="23" formatCode="#,##0.00">
                  <c:v>-80.471999999999994</c:v>
                </c:pt>
              </c:numCache>
            </c:numRef>
          </c:val>
          <c:smooth val="0"/>
          <c:extLst>
            <c:ext xmlns:c16="http://schemas.microsoft.com/office/drawing/2014/chart" uri="{C3380CC4-5D6E-409C-BE32-E72D297353CC}">
              <c16:uniqueId val="{00000000-92F5-4F28-999C-A164BEB0BB6F}"/>
            </c:ext>
          </c:extLst>
        </c:ser>
        <c:dLbls>
          <c:showLegendKey val="0"/>
          <c:showVal val="0"/>
          <c:showCatName val="0"/>
          <c:showSerName val="0"/>
          <c:showPercent val="0"/>
          <c:showBubbleSize val="0"/>
        </c:dLbls>
        <c:smooth val="0"/>
        <c:axId val="399078104"/>
        <c:axId val="399073008"/>
      </c:lineChart>
      <c:catAx>
        <c:axId val="3990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3008"/>
        <c:crossesAt val="-76.5"/>
        <c:auto val="1"/>
        <c:lblAlgn val="ctr"/>
        <c:lblOffset val="100"/>
        <c:tickLblSkip val="1"/>
        <c:tickMarkSkip val="1"/>
        <c:noMultiLvlLbl val="0"/>
      </c:catAx>
      <c:valAx>
        <c:axId val="399073008"/>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R'billion</a:t>
                </a:r>
              </a:p>
            </c:rich>
          </c:tx>
          <c:layout>
            <c:manualLayout>
              <c:xMode val="edge"/>
              <c:yMode val="edge"/>
              <c:x val="1.6597539765360655E-2"/>
              <c:y val="0.472140830880988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8104"/>
        <c:crosses val="autoZero"/>
        <c:crossBetween val="midCat"/>
        <c:majorUnit val="25"/>
        <c:min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CHILDREN ATTENDING ECD FACILITIES</a:t>
            </a:r>
          </a:p>
        </c:rich>
      </c:tx>
      <c:layout>
        <c:manualLayout>
          <c:xMode val="edge"/>
          <c:yMode val="edge"/>
          <c:x val="7.8320097447626524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114"/>
          <c:h val="0.61794120175781564"/>
        </c:manualLayout>
      </c:layout>
      <c:barChart>
        <c:barDir val="col"/>
        <c:grouping val="clustered"/>
        <c:varyColors val="0"/>
        <c:ser>
          <c:idx val="0"/>
          <c:order val="0"/>
          <c:tx>
            <c:strRef>
              <c:f>ECD!$D$8</c:f>
              <c:strCache>
                <c:ptCount val="1"/>
                <c:pt idx="0">
                  <c:v>0-4 year olds</c:v>
                </c:pt>
              </c:strCache>
            </c:strRef>
          </c:tx>
          <c:spPr>
            <a:solidFill>
              <a:srgbClr val="FCD5B5"/>
            </a:solidFill>
            <a:ln w="25400">
              <a:noFill/>
              <a:prstDash val="solid"/>
            </a:ln>
          </c:spPr>
          <c:invertIfNegative val="0"/>
          <c:cat>
            <c:numRef>
              <c:f>ECD!$F$7:$T$7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ECD!$F$8:$T$8</c:f>
              <c:numCache>
                <c:formatCode>0.0</c:formatCode>
                <c:ptCount val="15"/>
                <c:pt idx="0">
                  <c:v>7.3</c:v>
                </c:pt>
                <c:pt idx="1">
                  <c:v>11.6</c:v>
                </c:pt>
                <c:pt idx="2">
                  <c:v>11.5</c:v>
                </c:pt>
                <c:pt idx="3">
                  <c:v>14.3</c:v>
                </c:pt>
                <c:pt idx="4">
                  <c:v>16</c:v>
                </c:pt>
                <c:pt idx="5">
                  <c:v>16.100000000000001</c:v>
                </c:pt>
                <c:pt idx="6">
                  <c:v>16.7</c:v>
                </c:pt>
                <c:pt idx="7">
                  <c:v>29.8</c:v>
                </c:pt>
                <c:pt idx="8">
                  <c:v>32.200000000000003</c:v>
                </c:pt>
                <c:pt idx="9">
                  <c:v>34.5</c:v>
                </c:pt>
                <c:pt idx="10">
                  <c:v>36.5</c:v>
                </c:pt>
                <c:pt idx="11">
                  <c:v>44.7</c:v>
                </c:pt>
                <c:pt idx="12">
                  <c:v>48.3</c:v>
                </c:pt>
                <c:pt idx="13">
                  <c:v>45.7</c:v>
                </c:pt>
                <c:pt idx="14">
                  <c:v>40.4</c:v>
                </c:pt>
              </c:numCache>
            </c:numRef>
          </c:val>
          <c:extLst>
            <c:ext xmlns:c16="http://schemas.microsoft.com/office/drawing/2014/chart" uri="{C3380CC4-5D6E-409C-BE32-E72D297353CC}">
              <c16:uniqueId val="{00000000-FB0F-4BCC-A1B5-D4DC7DF74A70}"/>
            </c:ext>
          </c:extLst>
        </c:ser>
        <c:ser>
          <c:idx val="1"/>
          <c:order val="1"/>
          <c:tx>
            <c:strRef>
              <c:f>ECD!$D$9</c:f>
              <c:strCache>
                <c:ptCount val="1"/>
                <c:pt idx="0">
                  <c:v>3-5 year olds</c:v>
                </c:pt>
              </c:strCache>
            </c:strRef>
          </c:tx>
          <c:spPr>
            <a:solidFill>
              <a:srgbClr val="F8A662"/>
            </a:solidFill>
            <a:ln w="25400">
              <a:noFill/>
              <a:prstDash val="solid"/>
            </a:ln>
          </c:spPr>
          <c:invertIfNegative val="0"/>
          <c:cat>
            <c:numRef>
              <c:f>ECD!$F$7:$T$7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ECD!$F$9:$Q$9</c:f>
              <c:numCache>
                <c:formatCode>0.0</c:formatCode>
                <c:ptCount val="12"/>
                <c:pt idx="7">
                  <c:v>60</c:v>
                </c:pt>
                <c:pt idx="8">
                  <c:v>64</c:v>
                </c:pt>
                <c:pt idx="9">
                  <c:v>66</c:v>
                </c:pt>
                <c:pt idx="10">
                  <c:v>67.387887449672405</c:v>
                </c:pt>
                <c:pt idx="11">
                  <c:v>71.275629761606439</c:v>
                </c:pt>
              </c:numCache>
            </c:numRef>
          </c:val>
          <c:extLst>
            <c:ext xmlns:c16="http://schemas.microsoft.com/office/drawing/2014/chart" uri="{C3380CC4-5D6E-409C-BE32-E72D297353CC}">
              <c16:uniqueId val="{00000001-FB0F-4BCC-A1B5-D4DC7DF74A70}"/>
            </c:ext>
          </c:extLst>
        </c:ser>
        <c:ser>
          <c:idx val="2"/>
          <c:order val="2"/>
          <c:tx>
            <c:strRef>
              <c:f>ECD!$D$10</c:f>
              <c:strCache>
                <c:ptCount val="1"/>
                <c:pt idx="0">
                  <c:v>5 year olds</c:v>
                </c:pt>
              </c:strCache>
            </c:strRef>
          </c:tx>
          <c:spPr>
            <a:solidFill>
              <a:srgbClr val="E46C0A"/>
            </a:solidFill>
            <a:ln>
              <a:noFill/>
            </a:ln>
          </c:spPr>
          <c:invertIfNegative val="0"/>
          <c:cat>
            <c:numRef>
              <c:f>ECD!$F$7:$T$7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ECD!$F$10:$T$10</c:f>
              <c:numCache>
                <c:formatCode>0.0</c:formatCode>
                <c:ptCount val="15"/>
                <c:pt idx="0">
                  <c:v>39.299999999999997</c:v>
                </c:pt>
                <c:pt idx="1">
                  <c:v>48.1</c:v>
                </c:pt>
                <c:pt idx="2">
                  <c:v>51.9</c:v>
                </c:pt>
                <c:pt idx="3">
                  <c:v>59.3</c:v>
                </c:pt>
                <c:pt idx="4">
                  <c:v>61.6</c:v>
                </c:pt>
                <c:pt idx="5">
                  <c:v>60.2</c:v>
                </c:pt>
                <c:pt idx="6">
                  <c:v>63.2</c:v>
                </c:pt>
                <c:pt idx="7">
                  <c:v>78.3</c:v>
                </c:pt>
                <c:pt idx="8">
                  <c:v>83.4</c:v>
                </c:pt>
                <c:pt idx="9">
                  <c:v>84.8</c:v>
                </c:pt>
                <c:pt idx="10">
                  <c:v>84.6</c:v>
                </c:pt>
                <c:pt idx="11">
                  <c:v>85.3</c:v>
                </c:pt>
                <c:pt idx="12">
                  <c:v>87.2</c:v>
                </c:pt>
                <c:pt idx="13">
                  <c:v>85.8</c:v>
                </c:pt>
                <c:pt idx="14">
                  <c:v>88.1</c:v>
                </c:pt>
              </c:numCache>
            </c:numRef>
          </c:val>
          <c:extLst>
            <c:ext xmlns:c16="http://schemas.microsoft.com/office/drawing/2014/chart" uri="{C3380CC4-5D6E-409C-BE32-E72D297353CC}">
              <c16:uniqueId val="{00000002-FB0F-4BCC-A1B5-D4DC7DF74A70}"/>
            </c:ext>
          </c:extLst>
        </c:ser>
        <c:ser>
          <c:idx val="3"/>
          <c:order val="3"/>
          <c:tx>
            <c:v>6 year olds</c:v>
          </c:tx>
          <c:invertIfNegative val="0"/>
          <c:val>
            <c:numRef>
              <c:f>ECD!$F$11:$T$11</c:f>
              <c:numCache>
                <c:formatCode>General</c:formatCode>
                <c:ptCount val="15"/>
                <c:pt idx="7" formatCode="0.0">
                  <c:v>94.791239000000004</c:v>
                </c:pt>
                <c:pt idx="8" formatCode="0.0">
                  <c:v>96.097873000000007</c:v>
                </c:pt>
                <c:pt idx="9" formatCode="0.0">
                  <c:v>95.457340000000002</c:v>
                </c:pt>
                <c:pt idx="10" formatCode="0.0">
                  <c:v>95.849581000000001</c:v>
                </c:pt>
                <c:pt idx="11" formatCode="0.0">
                  <c:v>95.459684999999993</c:v>
                </c:pt>
                <c:pt idx="12" formatCode="0.0">
                  <c:v>95.888360000000006</c:v>
                </c:pt>
                <c:pt idx="13" formatCode="0.0">
                  <c:v>98.2</c:v>
                </c:pt>
                <c:pt idx="14" formatCode="0.0">
                  <c:v>97.3</c:v>
                </c:pt>
              </c:numCache>
            </c:numRef>
          </c:val>
          <c:extLst>
            <c:ext xmlns:c16="http://schemas.microsoft.com/office/drawing/2014/chart" uri="{C3380CC4-5D6E-409C-BE32-E72D297353CC}">
              <c16:uniqueId val="{00000003-FB0F-4BCC-A1B5-D4DC7DF74A70}"/>
            </c:ext>
          </c:extLst>
        </c:ser>
        <c:dLbls>
          <c:showLegendKey val="0"/>
          <c:showVal val="0"/>
          <c:showCatName val="0"/>
          <c:showSerName val="0"/>
          <c:showPercent val="0"/>
          <c:showBubbleSize val="0"/>
        </c:dLbls>
        <c:gapWidth val="150"/>
        <c:axId val="714556424"/>
        <c:axId val="714559560"/>
      </c:barChart>
      <c:catAx>
        <c:axId val="714556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9560"/>
        <c:crosses val="autoZero"/>
        <c:auto val="1"/>
        <c:lblAlgn val="ctr"/>
        <c:lblOffset val="100"/>
        <c:tickLblSkip val="1"/>
        <c:tickMarkSkip val="1"/>
        <c:noMultiLvlLbl val="0"/>
      </c:catAx>
      <c:valAx>
        <c:axId val="71455956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3.6322308586025018E-2"/>
              <c:y val="0.368771461706822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6424"/>
        <c:crosses val="autoZero"/>
        <c:crossBetween val="between"/>
      </c:valAx>
      <c:spPr>
        <a:solidFill>
          <a:srgbClr val="FFFFFF"/>
        </a:solidFill>
        <a:ln w="12700">
          <a:solidFill>
            <a:schemeClr val="tx1"/>
          </a:solidFill>
        </a:ln>
      </c:spPr>
    </c:plotArea>
    <c:legend>
      <c:legendPos val="r"/>
      <c:layout>
        <c:manualLayout>
          <c:xMode val="edge"/>
          <c:yMode val="edge"/>
          <c:x val="0.24753608200347169"/>
          <c:y val="0.85404225144228629"/>
          <c:w val="0.49546139494141284"/>
          <c:h val="8.48330541811857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197502837696E-2"/>
          <c:y val="5.1679586563307491E-2"/>
          <c:w val="0.88989784335982114"/>
          <c:h val="0.68254084518504954"/>
        </c:manualLayout>
      </c:layout>
      <c:barChart>
        <c:barDir val="col"/>
        <c:grouping val="clustered"/>
        <c:varyColors val="0"/>
        <c:ser>
          <c:idx val="0"/>
          <c:order val="0"/>
          <c:tx>
            <c:strRef>
              <c:f>ECD!$D$8</c:f>
              <c:strCache>
                <c:ptCount val="1"/>
                <c:pt idx="0">
                  <c:v>0-4 year olds</c:v>
                </c:pt>
              </c:strCache>
            </c:strRef>
          </c:tx>
          <c:spPr>
            <a:ln w="25400">
              <a:solidFill>
                <a:srgbClr val="808000"/>
              </a:solidFill>
              <a:prstDash val="solid"/>
            </a:ln>
          </c:spPr>
          <c:invertIfNegative val="0"/>
          <c:cat>
            <c:strRef>
              <c:f>ECD!$E$7:$T$7</c:f>
              <c:strCache>
                <c:ptCount val="16"/>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ECD!$E$8:$T$8</c:f>
              <c:numCache>
                <c:formatCode>0.0</c:formatCode>
                <c:ptCount val="16"/>
                <c:pt idx="1">
                  <c:v>7.3</c:v>
                </c:pt>
                <c:pt idx="2">
                  <c:v>11.6</c:v>
                </c:pt>
                <c:pt idx="3">
                  <c:v>11.5</c:v>
                </c:pt>
                <c:pt idx="4">
                  <c:v>14.3</c:v>
                </c:pt>
                <c:pt idx="5">
                  <c:v>16</c:v>
                </c:pt>
                <c:pt idx="6">
                  <c:v>16.100000000000001</c:v>
                </c:pt>
                <c:pt idx="7">
                  <c:v>16.7</c:v>
                </c:pt>
                <c:pt idx="8">
                  <c:v>29.8</c:v>
                </c:pt>
                <c:pt idx="9">
                  <c:v>32.200000000000003</c:v>
                </c:pt>
                <c:pt idx="10">
                  <c:v>34.5</c:v>
                </c:pt>
                <c:pt idx="11">
                  <c:v>36.5</c:v>
                </c:pt>
                <c:pt idx="12">
                  <c:v>44.7</c:v>
                </c:pt>
                <c:pt idx="13">
                  <c:v>48.3</c:v>
                </c:pt>
                <c:pt idx="14">
                  <c:v>45.7</c:v>
                </c:pt>
                <c:pt idx="15">
                  <c:v>40.4</c:v>
                </c:pt>
              </c:numCache>
            </c:numRef>
          </c:val>
          <c:extLst>
            <c:ext xmlns:c16="http://schemas.microsoft.com/office/drawing/2014/chart" uri="{C3380CC4-5D6E-409C-BE32-E72D297353CC}">
              <c16:uniqueId val="{00000000-602F-487A-B7F5-B73350AB4A40}"/>
            </c:ext>
          </c:extLst>
        </c:ser>
        <c:ser>
          <c:idx val="2"/>
          <c:order val="1"/>
          <c:tx>
            <c:strRef>
              <c:f>ECD!$D$10</c:f>
              <c:strCache>
                <c:ptCount val="1"/>
                <c:pt idx="0">
                  <c:v>5 year olds</c:v>
                </c:pt>
              </c:strCache>
            </c:strRef>
          </c:tx>
          <c:invertIfNegative val="0"/>
          <c:cat>
            <c:strRef>
              <c:f>ECD!$E$7:$T$7</c:f>
              <c:strCache>
                <c:ptCount val="16"/>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ECD!$E$10:$T$10</c:f>
              <c:numCache>
                <c:formatCode>0.0</c:formatCode>
                <c:ptCount val="16"/>
                <c:pt idx="1">
                  <c:v>39.299999999999997</c:v>
                </c:pt>
                <c:pt idx="2">
                  <c:v>48.1</c:v>
                </c:pt>
                <c:pt idx="3">
                  <c:v>51.9</c:v>
                </c:pt>
                <c:pt idx="4">
                  <c:v>59.3</c:v>
                </c:pt>
                <c:pt idx="5">
                  <c:v>61.6</c:v>
                </c:pt>
                <c:pt idx="6">
                  <c:v>60.2</c:v>
                </c:pt>
                <c:pt idx="7">
                  <c:v>63.2</c:v>
                </c:pt>
                <c:pt idx="8">
                  <c:v>78.3</c:v>
                </c:pt>
                <c:pt idx="9">
                  <c:v>83.4</c:v>
                </c:pt>
                <c:pt idx="10">
                  <c:v>84.8</c:v>
                </c:pt>
                <c:pt idx="11">
                  <c:v>84.6</c:v>
                </c:pt>
                <c:pt idx="12">
                  <c:v>85.3</c:v>
                </c:pt>
                <c:pt idx="13">
                  <c:v>87.2</c:v>
                </c:pt>
                <c:pt idx="14">
                  <c:v>85.8</c:v>
                </c:pt>
                <c:pt idx="15">
                  <c:v>88.1</c:v>
                </c:pt>
              </c:numCache>
            </c:numRef>
          </c:val>
          <c:extLst>
            <c:ext xmlns:c16="http://schemas.microsoft.com/office/drawing/2014/chart" uri="{C3380CC4-5D6E-409C-BE32-E72D297353CC}">
              <c16:uniqueId val="{00000001-602F-487A-B7F5-B73350AB4A40}"/>
            </c:ext>
          </c:extLst>
        </c:ser>
        <c:dLbls>
          <c:showLegendKey val="0"/>
          <c:showVal val="0"/>
          <c:showCatName val="0"/>
          <c:showSerName val="0"/>
          <c:showPercent val="0"/>
          <c:showBubbleSize val="0"/>
        </c:dLbls>
        <c:gapWidth val="150"/>
        <c:axId val="714555248"/>
        <c:axId val="714555640"/>
      </c:barChart>
      <c:catAx>
        <c:axId val="714555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640"/>
        <c:crosses val="autoZero"/>
        <c:auto val="1"/>
        <c:lblAlgn val="ctr"/>
        <c:lblOffset val="100"/>
        <c:tickLblSkip val="1"/>
        <c:tickMarkSkip val="1"/>
        <c:noMultiLvlLbl val="0"/>
      </c:catAx>
      <c:valAx>
        <c:axId val="71455564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1.5036721942324256E-2"/>
              <c:y val="0.36877149077295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248"/>
        <c:crosses val="autoZero"/>
        <c:crossBetween val="between"/>
      </c:valAx>
      <c:spPr>
        <a:noFill/>
        <a:ln w="25400">
          <a:noFill/>
        </a:ln>
      </c:spPr>
    </c:plotArea>
    <c:legend>
      <c:legendPos val="r"/>
      <c:layout>
        <c:manualLayout>
          <c:xMode val="edge"/>
          <c:yMode val="edge"/>
          <c:x val="0.24916968784237375"/>
          <c:y val="0.91516709511568106"/>
          <c:w val="0.53778020987414521"/>
          <c:h val="8.48330027448858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6921493835826915E-2"/>
          <c:y val="0.12569418184429071"/>
          <c:w val="0.91054717784337114"/>
          <c:h val="0.79131991479788433"/>
        </c:manualLayout>
      </c:layout>
      <c:lineChart>
        <c:grouping val="standard"/>
        <c:varyColors val="0"/>
        <c:ser>
          <c:idx val="0"/>
          <c:order val="0"/>
          <c:tx>
            <c:strRef>
              <c:f>'Educator Learner ratio'!$D$10</c:f>
              <c:strCache>
                <c:ptCount val="1"/>
                <c:pt idx="0">
                  <c:v>Learner: Educator Ratio</c:v>
                </c:pt>
              </c:strCache>
            </c:strRef>
          </c:tx>
          <c:spPr>
            <a:ln w="25400">
              <a:solidFill>
                <a:srgbClr val="FF6600"/>
              </a:solidFill>
            </a:ln>
          </c:spPr>
          <c:marker>
            <c:symbol val="none"/>
          </c:marker>
          <c:cat>
            <c:numRef>
              <c:f>'Educator Learner ratio'!$E$7:$W$7</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'Educator Learner ratio'!$E$10:$W$10</c:f>
              <c:numCache>
                <c:formatCode>0</c:formatCode>
                <c:ptCount val="19"/>
                <c:pt idx="0">
                  <c:v>33.695444209420245</c:v>
                </c:pt>
                <c:pt idx="1">
                  <c:v>32.760931131190091</c:v>
                </c:pt>
                <c:pt idx="2">
                  <c:v>33.139731395450603</c:v>
                </c:pt>
                <c:pt idx="3">
                  <c:v>33.088578528689034</c:v>
                </c:pt>
                <c:pt idx="4">
                  <c:v>33.201843363725118</c:v>
                </c:pt>
                <c:pt idx="5" formatCode="0.0">
                  <c:v>33.63253710895421</c:v>
                </c:pt>
                <c:pt idx="6">
                  <c:v>31.972546207733956</c:v>
                </c:pt>
                <c:pt idx="7">
                  <c:v>31.822025634061486</c:v>
                </c:pt>
                <c:pt idx="8">
                  <c:v>31.383078097973964</c:v>
                </c:pt>
                <c:pt idx="9">
                  <c:v>30.525680067239801</c:v>
                </c:pt>
                <c:pt idx="10">
                  <c:v>30.597891289670891</c:v>
                </c:pt>
                <c:pt idx="11">
                  <c:v>30.332585037333462</c:v>
                </c:pt>
                <c:pt idx="12">
                  <c:v>30.261094048821505</c:v>
                </c:pt>
                <c:pt idx="13">
                  <c:v>30.388310222056848</c:v>
                </c:pt>
                <c:pt idx="14">
                  <c:v>30.261094048821505</c:v>
                </c:pt>
                <c:pt idx="15">
                  <c:v>31.02090842993487</c:v>
                </c:pt>
                <c:pt idx="16">
                  <c:v>32</c:v>
                </c:pt>
                <c:pt idx="17">
                  <c:v>30.893992274450504</c:v>
                </c:pt>
                <c:pt idx="18">
                  <c:v>29.752314686605743</c:v>
                </c:pt>
              </c:numCache>
            </c:numRef>
          </c:val>
          <c:smooth val="0"/>
          <c:extLst>
            <c:ext xmlns:c16="http://schemas.microsoft.com/office/drawing/2014/chart" uri="{C3380CC4-5D6E-409C-BE32-E72D297353CC}">
              <c16:uniqueId val="{00000000-527E-4AF4-BC06-B68968F696F4}"/>
            </c:ext>
          </c:extLst>
        </c:ser>
        <c:dLbls>
          <c:showLegendKey val="0"/>
          <c:showVal val="0"/>
          <c:showCatName val="0"/>
          <c:showSerName val="0"/>
          <c:showPercent val="0"/>
          <c:showBubbleSize val="0"/>
        </c:dLbls>
        <c:smooth val="0"/>
        <c:axId val="714560344"/>
        <c:axId val="714533296"/>
      </c:lineChart>
      <c:catAx>
        <c:axId val="714560344"/>
        <c:scaling>
          <c:orientation val="minMax"/>
        </c:scaling>
        <c:delete val="0"/>
        <c:axPos val="b"/>
        <c:numFmt formatCode="General" sourceLinked="1"/>
        <c:majorTickMark val="out"/>
        <c:minorTickMark val="none"/>
        <c:tickLblPos val="nextTo"/>
        <c:spPr>
          <a:ln>
            <a:solidFill>
              <a:sysClr val="windowText" lastClr="000000"/>
            </a:solidFill>
          </a:ln>
        </c:spPr>
        <c:crossAx val="714533296"/>
        <c:crossesAt val="30"/>
        <c:auto val="1"/>
        <c:lblAlgn val="ctr"/>
        <c:lblOffset val="100"/>
        <c:noMultiLvlLbl val="0"/>
      </c:catAx>
      <c:valAx>
        <c:axId val="714533296"/>
        <c:scaling>
          <c:orientation val="minMax"/>
          <c:min val="30"/>
        </c:scaling>
        <c:delete val="0"/>
        <c:axPos val="l"/>
        <c:majorGridlines>
          <c:spPr>
            <a:ln>
              <a:solidFill>
                <a:sysClr val="windowText" lastClr="000000">
                  <a:tint val="75000"/>
                  <a:shade val="95000"/>
                  <a:satMod val="105000"/>
                  <a:alpha val="55000"/>
                </a:sysClr>
              </a:solidFill>
              <a:prstDash val="sysDash"/>
            </a:ln>
          </c:spPr>
        </c:majorGridlines>
        <c:title>
          <c:tx>
            <c:rich>
              <a:bodyPr rot="-5400000" vert="horz"/>
              <a:lstStyle/>
              <a:p>
                <a:pPr>
                  <a:defRPr/>
                </a:pPr>
                <a:r>
                  <a:rPr lang="en-US"/>
                  <a:t>ratio</a:t>
                </a:r>
              </a:p>
            </c:rich>
          </c:tx>
          <c:overlay val="0"/>
        </c:title>
        <c:numFmt formatCode="0" sourceLinked="1"/>
        <c:majorTickMark val="out"/>
        <c:minorTickMark val="none"/>
        <c:tickLblPos val="nextTo"/>
        <c:spPr>
          <a:ln>
            <a:solidFill>
              <a:schemeClr val="tx1"/>
            </a:solidFill>
          </a:ln>
        </c:spPr>
        <c:crossAx val="714560344"/>
        <c:crosses val="autoZero"/>
        <c:crossBetween val="between"/>
        <c:majorUnit val="1"/>
      </c:valAx>
      <c:spPr>
        <a:ln>
          <a:solidFill>
            <a:schemeClr val="tx1"/>
          </a:solidFill>
        </a:ln>
      </c:spPr>
    </c:plotArea>
    <c:plotVisOnly val="1"/>
    <c:dispBlanksAs val="gap"/>
    <c:showDLblsOverMax val="0"/>
  </c:chart>
  <c:spPr>
    <a:ln>
      <a:solidFill>
        <a:sysClr val="windowText" lastClr="000000"/>
      </a:solidFill>
    </a:ln>
  </c:spPr>
  <c:txPr>
    <a:bodyPr/>
    <a:lstStyle/>
    <a:p>
      <a:pPr>
        <a:defRPr sz="800">
          <a:latin typeface="Arial Narrow"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GENDER PARITY INDEX</a:t>
            </a:r>
          </a:p>
        </c:rich>
      </c:tx>
      <c:layout>
        <c:manualLayout>
          <c:xMode val="edge"/>
          <c:yMode val="edge"/>
          <c:x val="4.7898338220919004E-2"/>
          <c:y val="3.3898305084745811E-2"/>
        </c:manualLayout>
      </c:layout>
      <c:overlay val="0"/>
      <c:spPr>
        <a:noFill/>
        <a:ln w="25400">
          <a:noFill/>
        </a:ln>
      </c:spPr>
    </c:title>
    <c:autoTitleDeleted val="0"/>
    <c:plotArea>
      <c:layout>
        <c:manualLayout>
          <c:layoutTarget val="inner"/>
          <c:xMode val="edge"/>
          <c:yMode val="edge"/>
          <c:x val="6.4024396200821912E-2"/>
          <c:y val="0.20309094554304971"/>
          <c:w val="0.90472569393304658"/>
          <c:h val="0.63134793940557543"/>
        </c:manualLayout>
      </c:layout>
      <c:lineChart>
        <c:grouping val="standard"/>
        <c:varyColors val="0"/>
        <c:ser>
          <c:idx val="0"/>
          <c:order val="0"/>
          <c:tx>
            <c:strRef>
              <c:f>'Gender parity index'!$D$11</c:f>
              <c:strCache>
                <c:ptCount val="1"/>
                <c:pt idx="0">
                  <c:v>Primary GPI</c:v>
                </c:pt>
              </c:strCache>
            </c:strRef>
          </c:tx>
          <c:spPr>
            <a:ln w="25400">
              <a:solidFill>
                <a:srgbClr val="FF6600"/>
              </a:solidFill>
              <a:prstDash val="solid"/>
            </a:ln>
          </c:spPr>
          <c:marker>
            <c:symbol val="none"/>
          </c:marker>
          <c:cat>
            <c:numRef>
              <c:f>'Gender parity index'!$E$7:$Y$7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'Gender parity index'!$E$11:$Y$11</c:f>
              <c:numCache>
                <c:formatCode>0.000</c:formatCode>
                <c:ptCount val="21"/>
                <c:pt idx="0">
                  <c:v>0.97220430877723707</c:v>
                </c:pt>
                <c:pt idx="1">
                  <c:v>0.97265681865781106</c:v>
                </c:pt>
                <c:pt idx="2">
                  <c:v>0.96854317304471504</c:v>
                </c:pt>
                <c:pt idx="3">
                  <c:v>0.94758085633443245</c:v>
                </c:pt>
                <c:pt idx="4">
                  <c:v>0.95972188398609892</c:v>
                </c:pt>
                <c:pt idx="5">
                  <c:v>0.96168870009050489</c:v>
                </c:pt>
                <c:pt idx="6">
                  <c:v>0.95883287520608784</c:v>
                </c:pt>
                <c:pt idx="7">
                  <c:v>0.95501031704018791</c:v>
                </c:pt>
                <c:pt idx="8">
                  <c:v>0.96190476190476193</c:v>
                </c:pt>
                <c:pt idx="9">
                  <c:v>0.96</c:v>
                </c:pt>
                <c:pt idx="10">
                  <c:v>0.96596311085757736</c:v>
                </c:pt>
                <c:pt idx="11">
                  <c:v>0.98</c:v>
                </c:pt>
                <c:pt idx="12">
                  <c:v>0.98</c:v>
                </c:pt>
                <c:pt idx="13">
                  <c:v>0.96048289591001679</c:v>
                </c:pt>
                <c:pt idx="14">
                  <c:v>0.95789473684210524</c:v>
                </c:pt>
                <c:pt idx="15">
                  <c:v>0.95049504950495045</c:v>
                </c:pt>
                <c:pt idx="16">
                  <c:v>0.94510233556841527</c:v>
                </c:pt>
                <c:pt idx="17">
                  <c:v>0.96</c:v>
                </c:pt>
                <c:pt idx="18">
                  <c:v>0.96</c:v>
                </c:pt>
                <c:pt idx="19">
                  <c:v>0.96</c:v>
                </c:pt>
                <c:pt idx="20">
                  <c:v>0.94</c:v>
                </c:pt>
              </c:numCache>
            </c:numRef>
          </c:val>
          <c:smooth val="0"/>
          <c:extLst>
            <c:ext xmlns:c16="http://schemas.microsoft.com/office/drawing/2014/chart" uri="{C3380CC4-5D6E-409C-BE32-E72D297353CC}">
              <c16:uniqueId val="{00000000-DB0E-4554-A26A-6A2FC47B082E}"/>
            </c:ext>
          </c:extLst>
        </c:ser>
        <c:ser>
          <c:idx val="1"/>
          <c:order val="1"/>
          <c:tx>
            <c:strRef>
              <c:f>'Gender parity index'!$D$15</c:f>
              <c:strCache>
                <c:ptCount val="1"/>
                <c:pt idx="0">
                  <c:v>Secondary GPI</c:v>
                </c:pt>
              </c:strCache>
            </c:strRef>
          </c:tx>
          <c:spPr>
            <a:ln w="25400">
              <a:solidFill>
                <a:srgbClr val="BE4B48"/>
              </a:solidFill>
              <a:prstDash val="solid"/>
            </a:ln>
          </c:spPr>
          <c:marker>
            <c:symbol val="none"/>
          </c:marker>
          <c:cat>
            <c:numRef>
              <c:f>'Gender parity index'!$E$7:$Y$7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'Gender parity index'!$E$15:$Y$15</c:f>
              <c:numCache>
                <c:formatCode>0.000</c:formatCode>
                <c:ptCount val="21"/>
                <c:pt idx="0">
                  <c:v>1.1621219712847857</c:v>
                </c:pt>
                <c:pt idx="1">
                  <c:v>1.145951315692658</c:v>
                </c:pt>
                <c:pt idx="2">
                  <c:v>1.1393470007039119</c:v>
                </c:pt>
                <c:pt idx="3">
                  <c:v>1.1273952993426704</c:v>
                </c:pt>
                <c:pt idx="4">
                  <c:v>1.1192281697743534</c:v>
                </c:pt>
                <c:pt idx="5">
                  <c:v>1.1030812114148394</c:v>
                </c:pt>
                <c:pt idx="6">
                  <c:v>1.0941611006686522</c:v>
                </c:pt>
                <c:pt idx="7">
                  <c:v>1.0967113735144836</c:v>
                </c:pt>
                <c:pt idx="8">
                  <c:v>1.0823529411764705</c:v>
                </c:pt>
                <c:pt idx="9">
                  <c:v>1.0900000000000001</c:v>
                </c:pt>
                <c:pt idx="10">
                  <c:v>1.0580000000000001</c:v>
                </c:pt>
                <c:pt idx="11">
                  <c:v>1.08</c:v>
                </c:pt>
                <c:pt idx="12">
                  <c:v>1.01</c:v>
                </c:pt>
                <c:pt idx="13">
                  <c:v>1.07078134597603</c:v>
                </c:pt>
                <c:pt idx="14">
                  <c:v>1.0714285714285714</c:v>
                </c:pt>
                <c:pt idx="15">
                  <c:v>1.069767441860465</c:v>
                </c:pt>
                <c:pt idx="16">
                  <c:v>1.0603352145470628</c:v>
                </c:pt>
                <c:pt idx="17">
                  <c:v>1.07</c:v>
                </c:pt>
                <c:pt idx="18">
                  <c:v>1.05</c:v>
                </c:pt>
                <c:pt idx="19">
                  <c:v>1.06</c:v>
                </c:pt>
                <c:pt idx="20">
                  <c:v>1.04</c:v>
                </c:pt>
              </c:numCache>
            </c:numRef>
          </c:val>
          <c:smooth val="0"/>
          <c:extLst>
            <c:ext xmlns:c16="http://schemas.microsoft.com/office/drawing/2014/chart" uri="{C3380CC4-5D6E-409C-BE32-E72D297353CC}">
              <c16:uniqueId val="{00000001-DB0E-4554-A26A-6A2FC47B082E}"/>
            </c:ext>
          </c:extLst>
        </c:ser>
        <c:ser>
          <c:idx val="2"/>
          <c:order val="2"/>
          <c:tx>
            <c:strRef>
              <c:f>'Gender parity index'!$D$28</c:f>
              <c:strCache>
                <c:ptCount val="1"/>
                <c:pt idx="0">
                  <c:v>Higher Education GPI</c:v>
                </c:pt>
              </c:strCache>
            </c:strRef>
          </c:tx>
          <c:spPr>
            <a:ln w="25400">
              <a:solidFill>
                <a:srgbClr val="FFC600"/>
              </a:solidFill>
            </a:ln>
          </c:spPr>
          <c:marker>
            <c:symbol val="none"/>
          </c:marker>
          <c:cat>
            <c:numRef>
              <c:f>'Gender parity index'!$E$7:$Y$7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'Gender parity index'!$E$28:$Y$28</c:f>
              <c:numCache>
                <c:formatCode>0.00</c:formatCode>
                <c:ptCount val="21"/>
                <c:pt idx="0">
                  <c:v>0.96689193878039681</c:v>
                </c:pt>
                <c:pt idx="1">
                  <c:v>1.0256553027354351</c:v>
                </c:pt>
                <c:pt idx="2">
                  <c:v>1.0522800574665609</c:v>
                </c:pt>
                <c:pt idx="3">
                  <c:v>1.1065014059701967</c:v>
                </c:pt>
                <c:pt idx="4">
                  <c:v>1.1631444455643856</c:v>
                </c:pt>
                <c:pt idx="5">
                  <c:v>1.1731951556372324</c:v>
                </c:pt>
                <c:pt idx="6">
                  <c:v>1.1680447685006445</c:v>
                </c:pt>
                <c:pt idx="7">
                  <c:v>1.188970123147894</c:v>
                </c:pt>
                <c:pt idx="8">
                  <c:v>1.2052437897033896</c:v>
                </c:pt>
                <c:pt idx="9">
                  <c:v>1.2348583387488057</c:v>
                </c:pt>
                <c:pt idx="10">
                  <c:v>1.2565538048616052</c:v>
                </c:pt>
                <c:pt idx="11">
                  <c:v>1.2653061224489797</c:v>
                </c:pt>
                <c:pt idx="12">
                  <c:v>1.318185787594814</c:v>
                </c:pt>
                <c:pt idx="13">
                  <c:v>1.36</c:v>
                </c:pt>
                <c:pt idx="14">
                  <c:v>1.3881705688694896</c:v>
                </c:pt>
                <c:pt idx="15">
                  <c:v>1.42</c:v>
                </c:pt>
                <c:pt idx="16">
                  <c:v>1.4262037283858577</c:v>
                </c:pt>
                <c:pt idx="17">
                  <c:v>1.4281177836052827</c:v>
                </c:pt>
                <c:pt idx="18">
                  <c:v>1.4071469246312569</c:v>
                </c:pt>
                <c:pt idx="19">
                  <c:v>1.3930599195757936</c:v>
                </c:pt>
              </c:numCache>
            </c:numRef>
          </c:val>
          <c:smooth val="0"/>
          <c:extLst>
            <c:ext xmlns:c16="http://schemas.microsoft.com/office/drawing/2014/chart" uri="{C3380CC4-5D6E-409C-BE32-E72D297353CC}">
              <c16:uniqueId val="{00000002-DB0E-4554-A26A-6A2FC47B082E}"/>
            </c:ext>
          </c:extLst>
        </c:ser>
        <c:dLbls>
          <c:showLegendKey val="0"/>
          <c:showVal val="0"/>
          <c:showCatName val="0"/>
          <c:showSerName val="0"/>
          <c:showPercent val="0"/>
          <c:showBubbleSize val="0"/>
        </c:dLbls>
        <c:smooth val="0"/>
        <c:axId val="409656240"/>
        <c:axId val="409652712"/>
      </c:lineChart>
      <c:catAx>
        <c:axId val="409656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2712"/>
        <c:crosses val="autoZero"/>
        <c:auto val="1"/>
        <c:lblAlgn val="ctr"/>
        <c:lblOffset val="100"/>
        <c:tickLblSkip val="1"/>
        <c:tickMarkSkip val="1"/>
        <c:noMultiLvlLbl val="0"/>
      </c:catAx>
      <c:valAx>
        <c:axId val="409652712"/>
        <c:scaling>
          <c:orientation val="minMax"/>
          <c:max val="1.45"/>
          <c:min val="0.9"/>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sz="800"/>
                  <a:t>index</a:t>
                </a:r>
              </a:p>
            </c:rich>
          </c:tx>
          <c:layout>
            <c:manualLayout>
              <c:xMode val="edge"/>
              <c:yMode val="edge"/>
              <c:x val="1.2907398411640439E-2"/>
              <c:y val="0.407304757435121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6240"/>
        <c:crosses val="autoZero"/>
        <c:crossBetween val="midCat"/>
        <c:majorUnit val="0.05"/>
        <c:minorUnit val="1.0000000000000005E-2"/>
      </c:valAx>
      <c:spPr>
        <a:solidFill>
          <a:srgbClr val="FFFFFF"/>
        </a:solidFill>
        <a:ln w="3175">
          <a:solidFill>
            <a:srgbClr val="000000"/>
          </a:solidFill>
          <a:prstDash val="solid"/>
        </a:ln>
      </c:spPr>
    </c:plotArea>
    <c:legend>
      <c:legendPos val="r"/>
      <c:layout>
        <c:manualLayout>
          <c:xMode val="edge"/>
          <c:yMode val="edge"/>
          <c:x val="0.16493304638928741"/>
          <c:y val="0.9094942343884459"/>
          <c:w val="0.60509344509841578"/>
          <c:h val="9.0505698377106841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0590390564014E-2"/>
          <c:y val="5.33333333333341E-2"/>
          <c:w val="0.84557698376255885"/>
          <c:h val="0.70689000238607402"/>
        </c:manualLayout>
      </c:layout>
      <c:lineChart>
        <c:grouping val="standard"/>
        <c:varyColors val="0"/>
        <c:ser>
          <c:idx val="0"/>
          <c:order val="0"/>
          <c:tx>
            <c:strRef>
              <c:f>'Matric pass rate'!$D$8</c:f>
              <c:strCache>
                <c:ptCount val="1"/>
                <c:pt idx="0">
                  <c:v>Number Wrote</c:v>
                </c:pt>
              </c:strCache>
            </c:strRef>
          </c:tx>
          <c:spPr>
            <a:ln w="25400">
              <a:solidFill>
                <a:srgbClr val="FF6600"/>
              </a:solidFill>
            </a:ln>
          </c:spPr>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rate'!$E$8:$AB$8</c:f>
              <c:numCache>
                <c:formatCode>#\ ###\ ###</c:formatCode>
                <c:ptCount val="24"/>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pt idx="22" formatCode="#,##0">
                  <c:v>610178</c:v>
                </c:pt>
                <c:pt idx="23" formatCode="#,##0">
                  <c:v>534484</c:v>
                </c:pt>
              </c:numCache>
            </c:numRef>
          </c:val>
          <c:smooth val="0"/>
          <c:extLst>
            <c:ext xmlns:c16="http://schemas.microsoft.com/office/drawing/2014/chart" uri="{C3380CC4-5D6E-409C-BE32-E72D297353CC}">
              <c16:uniqueId val="{00000000-F9AE-4BAF-BA37-7F2A0AB086F1}"/>
            </c:ext>
          </c:extLst>
        </c:ser>
        <c:ser>
          <c:idx val="1"/>
          <c:order val="1"/>
          <c:tx>
            <c:strRef>
              <c:f>'Matric pass rate'!$D$9</c:f>
              <c:strCache>
                <c:ptCount val="1"/>
                <c:pt idx="0">
                  <c:v>Number Passed</c:v>
                </c:pt>
              </c:strCache>
            </c:strRef>
          </c:tx>
          <c:spPr>
            <a:ln w="25400">
              <a:solidFill>
                <a:srgbClr val="BE4B48"/>
              </a:solidFill>
            </a:ln>
          </c:spPr>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rate'!$E$9:$AB$9</c:f>
              <c:numCache>
                <c:formatCode>#\ ###\ ###</c:formatCode>
                <c:ptCount val="24"/>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pt idx="22" formatCode="#,##0">
                  <c:v>442672</c:v>
                </c:pt>
                <c:pt idx="23" formatCode="#,##0">
                  <c:v>401435</c:v>
                </c:pt>
              </c:numCache>
            </c:numRef>
          </c:val>
          <c:smooth val="0"/>
          <c:extLst>
            <c:ext xmlns:c16="http://schemas.microsoft.com/office/drawing/2014/chart" uri="{C3380CC4-5D6E-409C-BE32-E72D297353CC}">
              <c16:uniqueId val="{00000001-F9AE-4BAF-BA37-7F2A0AB086F1}"/>
            </c:ext>
          </c:extLst>
        </c:ser>
        <c:ser>
          <c:idx val="3"/>
          <c:order val="3"/>
          <c:tx>
            <c:strRef>
              <c:f>'Matric pass rate'!$D$10</c:f>
              <c:strCache>
                <c:ptCount val="1"/>
                <c:pt idx="0">
                  <c:v>Bachelor passes</c:v>
                </c:pt>
              </c:strCache>
            </c:strRef>
          </c:tx>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rate'!$E$10:$AB$10</c:f>
              <c:numCache>
                <c:formatCode>#\ ###\ ###</c:formatCode>
                <c:ptCount val="24"/>
                <c:pt idx="15">
                  <c:v>109697</c:v>
                </c:pt>
                <c:pt idx="16" formatCode="#,##0">
                  <c:v>126371</c:v>
                </c:pt>
                <c:pt idx="17" formatCode="#,##0">
                  <c:v>120767</c:v>
                </c:pt>
                <c:pt idx="18" formatCode="#,##0">
                  <c:v>136047</c:v>
                </c:pt>
                <c:pt idx="19" formatCode="#,##0">
                  <c:v>171755</c:v>
                </c:pt>
                <c:pt idx="20" formatCode="#,##0">
                  <c:v>150752</c:v>
                </c:pt>
                <c:pt idx="21" formatCode="#,##0">
                  <c:v>166263</c:v>
                </c:pt>
                <c:pt idx="22" formatCode="#,##0">
                  <c:v>162374</c:v>
                </c:pt>
                <c:pt idx="23" formatCode="#,##0">
                  <c:v>153610</c:v>
                </c:pt>
              </c:numCache>
            </c:numRef>
          </c:val>
          <c:smooth val="0"/>
          <c:extLst>
            <c:ext xmlns:c16="http://schemas.microsoft.com/office/drawing/2014/chart" uri="{C3380CC4-5D6E-409C-BE32-E72D297353CC}">
              <c16:uniqueId val="{00000002-F9AE-4BAF-BA37-7F2A0AB086F1}"/>
            </c:ext>
          </c:extLst>
        </c:ser>
        <c:dLbls>
          <c:showLegendKey val="0"/>
          <c:showVal val="0"/>
          <c:showCatName val="0"/>
          <c:showSerName val="0"/>
          <c:showPercent val="0"/>
          <c:showBubbleSize val="0"/>
        </c:dLbls>
        <c:marker val="1"/>
        <c:smooth val="0"/>
        <c:axId val="414990616"/>
        <c:axId val="714549368"/>
      </c:lineChart>
      <c:lineChart>
        <c:grouping val="standard"/>
        <c:varyColors val="0"/>
        <c:ser>
          <c:idx val="2"/>
          <c:order val="2"/>
          <c:tx>
            <c:strRef>
              <c:f>'Matric pass rate'!$D$11</c:f>
              <c:strCache>
                <c:ptCount val="1"/>
                <c:pt idx="0">
                  <c:v>Pass rate</c:v>
                </c:pt>
              </c:strCache>
            </c:strRef>
          </c:tx>
          <c:spPr>
            <a:ln w="25400">
              <a:solidFill>
                <a:srgbClr val="FFC600"/>
              </a:solidFill>
            </a:ln>
          </c:spPr>
          <c:marker>
            <c:symbol val="none"/>
          </c:marker>
          <c:cat>
            <c:numRef>
              <c:f>'Matric pass rate'!$E$7:$AB$7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'Matric pass rate'!$E$11:$AB$11</c:f>
              <c:numCache>
                <c:formatCode>0.0%</c:formatCode>
                <c:ptCount val="24"/>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pt idx="22">
                  <c:v>0.72499999999999998</c:v>
                </c:pt>
                <c:pt idx="23">
                  <c:v>0.751</c:v>
                </c:pt>
              </c:numCache>
            </c:numRef>
          </c:val>
          <c:smooth val="0"/>
          <c:extLst>
            <c:ext xmlns:c16="http://schemas.microsoft.com/office/drawing/2014/chart" uri="{C3380CC4-5D6E-409C-BE32-E72D297353CC}">
              <c16:uniqueId val="{00000003-F9AE-4BAF-BA37-7F2A0AB086F1}"/>
            </c:ext>
          </c:extLst>
        </c:ser>
        <c:dLbls>
          <c:showLegendKey val="0"/>
          <c:showVal val="0"/>
          <c:showCatName val="0"/>
          <c:showSerName val="0"/>
          <c:showPercent val="0"/>
          <c:showBubbleSize val="0"/>
        </c:dLbls>
        <c:marker val="1"/>
        <c:smooth val="0"/>
        <c:axId val="714561128"/>
        <c:axId val="714530552"/>
      </c:lineChart>
      <c:catAx>
        <c:axId val="414990616"/>
        <c:scaling>
          <c:orientation val="minMax"/>
        </c:scaling>
        <c:delete val="0"/>
        <c:axPos val="b"/>
        <c:numFmt formatCode="General" sourceLinked="0"/>
        <c:majorTickMark val="out"/>
        <c:minorTickMark val="none"/>
        <c:tickLblPos val="nextTo"/>
        <c:crossAx val="714549368"/>
        <c:crosses val="autoZero"/>
        <c:auto val="1"/>
        <c:lblAlgn val="ctr"/>
        <c:lblOffset val="100"/>
        <c:tickMarkSkip val="1"/>
        <c:noMultiLvlLbl val="0"/>
      </c:catAx>
      <c:valAx>
        <c:axId val="714549368"/>
        <c:scaling>
          <c:orientation val="minMax"/>
          <c:max val="700000"/>
          <c:min val="100000"/>
        </c:scaling>
        <c:delete val="0"/>
        <c:axPos val="l"/>
        <c:majorGridlines>
          <c:spPr>
            <a:ln>
              <a:prstDash val="sysDash"/>
            </a:ln>
          </c:spPr>
        </c:majorGridlines>
        <c:numFmt formatCode="#\ ##0" sourceLinked="0"/>
        <c:majorTickMark val="out"/>
        <c:minorTickMark val="none"/>
        <c:tickLblPos val="nextTo"/>
        <c:crossAx val="414990616"/>
        <c:crosses val="autoZero"/>
        <c:crossBetween val="between"/>
        <c:majorUnit val="100000"/>
      </c:valAx>
      <c:catAx>
        <c:axId val="714561128"/>
        <c:scaling>
          <c:orientation val="minMax"/>
        </c:scaling>
        <c:delete val="1"/>
        <c:axPos val="b"/>
        <c:numFmt formatCode="General" sourceLinked="1"/>
        <c:majorTickMark val="out"/>
        <c:minorTickMark val="none"/>
        <c:tickLblPos val="none"/>
        <c:crossAx val="714530552"/>
        <c:crosses val="autoZero"/>
        <c:auto val="1"/>
        <c:lblAlgn val="ctr"/>
        <c:lblOffset val="100"/>
        <c:noMultiLvlLbl val="0"/>
      </c:catAx>
      <c:valAx>
        <c:axId val="714530552"/>
        <c:scaling>
          <c:orientation val="minMax"/>
          <c:min val="0"/>
        </c:scaling>
        <c:delete val="0"/>
        <c:axPos val="r"/>
        <c:numFmt formatCode="0.0%" sourceLinked="0"/>
        <c:majorTickMark val="out"/>
        <c:minorTickMark val="none"/>
        <c:tickLblPos val="nextTo"/>
        <c:crossAx val="714561128"/>
        <c:crosses val="max"/>
        <c:crossBetween val="between"/>
      </c:valAx>
    </c:plotArea>
    <c:legend>
      <c:legendPos val="r"/>
      <c:layout>
        <c:manualLayout>
          <c:xMode val="edge"/>
          <c:yMode val="edge"/>
          <c:x val="0.23377429580096454"/>
          <c:y val="0.87925866547609388"/>
          <c:w val="0.56022105277041379"/>
          <c:h val="9.4968138647617495E-2"/>
        </c:manualLayout>
      </c:layout>
      <c:overlay val="0"/>
    </c:legend>
    <c:plotVisOnly val="1"/>
    <c:dispBlanksAs val="gap"/>
    <c:showDLblsOverMax val="0"/>
  </c:chart>
  <c:spPr>
    <a:ln>
      <a:solidFill>
        <a:schemeClr val="tx1"/>
      </a:solid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3825253550709"/>
          <c:y val="5.33333333333341E-2"/>
          <c:w val="0.77974213749597088"/>
          <c:h val="0.70689000238607402"/>
        </c:manualLayout>
      </c:layout>
      <c:lineChart>
        <c:grouping val="standard"/>
        <c:varyColors val="0"/>
        <c:ser>
          <c:idx val="0"/>
          <c:order val="0"/>
          <c:tx>
            <c:strRef>
              <c:f>'Matric pass rate'!$D$8</c:f>
              <c:strCache>
                <c:ptCount val="1"/>
                <c:pt idx="0">
                  <c:v>Number Wrote</c:v>
                </c:pt>
              </c:strCache>
            </c:strRef>
          </c:tx>
          <c:spPr>
            <a:ln w="12700">
              <a:solidFill>
                <a:schemeClr val="accent6">
                  <a:lumMod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rate'!$E$8:$Z$8</c:f>
              <c:numCache>
                <c:formatCode>#\ ###\ ###</c:formatCode>
                <c:ptCount val="22"/>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numCache>
            </c:numRef>
          </c:val>
          <c:smooth val="0"/>
          <c:extLst>
            <c:ext xmlns:c16="http://schemas.microsoft.com/office/drawing/2014/chart" uri="{C3380CC4-5D6E-409C-BE32-E72D297353CC}">
              <c16:uniqueId val="{00000000-F607-41EF-9910-79D730B7CD66}"/>
            </c:ext>
          </c:extLst>
        </c:ser>
        <c:ser>
          <c:idx val="1"/>
          <c:order val="1"/>
          <c:tx>
            <c:strRef>
              <c:f>'Matric pass rate'!$D$9</c:f>
              <c:strCache>
                <c:ptCount val="1"/>
                <c:pt idx="0">
                  <c:v>Number Passed</c:v>
                </c:pt>
              </c:strCache>
            </c:strRef>
          </c:tx>
          <c:spPr>
            <a:ln w="12700">
              <a:solidFill>
                <a:schemeClr val="tx1">
                  <a:lumMod val="50000"/>
                  <a:lumOff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rate'!$E$9:$Z$9</c:f>
              <c:numCache>
                <c:formatCode>#\ ###\ ###</c:formatCode>
                <c:ptCount val="22"/>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numCache>
            </c:numRef>
          </c:val>
          <c:smooth val="0"/>
          <c:extLst>
            <c:ext xmlns:c16="http://schemas.microsoft.com/office/drawing/2014/chart" uri="{C3380CC4-5D6E-409C-BE32-E72D297353CC}">
              <c16:uniqueId val="{00000001-F607-41EF-9910-79D730B7CD66}"/>
            </c:ext>
          </c:extLst>
        </c:ser>
        <c:dLbls>
          <c:showLegendKey val="0"/>
          <c:showVal val="0"/>
          <c:showCatName val="0"/>
          <c:showSerName val="0"/>
          <c:showPercent val="0"/>
          <c:showBubbleSize val="0"/>
        </c:dLbls>
        <c:marker val="1"/>
        <c:smooth val="0"/>
        <c:axId val="404686984"/>
        <c:axId val="404674440"/>
      </c:lineChart>
      <c:lineChart>
        <c:grouping val="standard"/>
        <c:varyColors val="0"/>
        <c:ser>
          <c:idx val="2"/>
          <c:order val="2"/>
          <c:tx>
            <c:strRef>
              <c:f>'Matric pass rate'!$D$11</c:f>
              <c:strCache>
                <c:ptCount val="1"/>
                <c:pt idx="0">
                  <c:v>Pass rate</c:v>
                </c:pt>
              </c:strCache>
            </c:strRef>
          </c:tx>
          <c:spPr>
            <a:ln w="12700">
              <a:solidFill>
                <a:schemeClr val="accent6">
                  <a:lumMod val="75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rate'!$E$11:$Z$11</c:f>
              <c:numCache>
                <c:formatCode>0.0%</c:formatCode>
                <c:ptCount val="22"/>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numCache>
            </c:numRef>
          </c:val>
          <c:smooth val="0"/>
          <c:extLst>
            <c:ext xmlns:c16="http://schemas.microsoft.com/office/drawing/2014/chart" uri="{C3380CC4-5D6E-409C-BE32-E72D297353CC}">
              <c16:uniqueId val="{00000002-F607-41EF-9910-79D730B7CD66}"/>
            </c:ext>
          </c:extLst>
        </c:ser>
        <c:dLbls>
          <c:showLegendKey val="0"/>
          <c:showVal val="0"/>
          <c:showCatName val="0"/>
          <c:showSerName val="0"/>
          <c:showPercent val="0"/>
          <c:showBubbleSize val="0"/>
        </c:dLbls>
        <c:marker val="1"/>
        <c:smooth val="0"/>
        <c:axId val="422026656"/>
        <c:axId val="422027440"/>
      </c:lineChart>
      <c:catAx>
        <c:axId val="404686984"/>
        <c:scaling>
          <c:orientation val="minMax"/>
        </c:scaling>
        <c:delete val="0"/>
        <c:axPos val="b"/>
        <c:numFmt formatCode="General" sourceLinked="0"/>
        <c:majorTickMark val="out"/>
        <c:minorTickMark val="none"/>
        <c:tickLblPos val="nextTo"/>
        <c:crossAx val="404674440"/>
        <c:crosses val="autoZero"/>
        <c:auto val="1"/>
        <c:lblAlgn val="ctr"/>
        <c:lblOffset val="100"/>
        <c:tickMarkSkip val="1"/>
        <c:noMultiLvlLbl val="0"/>
      </c:catAx>
      <c:valAx>
        <c:axId val="404674440"/>
        <c:scaling>
          <c:orientation val="minMax"/>
          <c:max val="600000"/>
          <c:min val="200000"/>
        </c:scaling>
        <c:delete val="0"/>
        <c:axPos val="l"/>
        <c:majorGridlines>
          <c:spPr>
            <a:ln>
              <a:prstDash val="sysDash"/>
            </a:ln>
          </c:spPr>
        </c:majorGridlines>
        <c:numFmt formatCode="#\ ##0" sourceLinked="0"/>
        <c:majorTickMark val="out"/>
        <c:minorTickMark val="none"/>
        <c:tickLblPos val="nextTo"/>
        <c:crossAx val="404686984"/>
        <c:crosses val="autoZero"/>
        <c:crossBetween val="between"/>
        <c:majorUnit val="100000"/>
      </c:valAx>
      <c:catAx>
        <c:axId val="422026656"/>
        <c:scaling>
          <c:orientation val="minMax"/>
        </c:scaling>
        <c:delete val="1"/>
        <c:axPos val="b"/>
        <c:numFmt formatCode="General" sourceLinked="1"/>
        <c:majorTickMark val="out"/>
        <c:minorTickMark val="none"/>
        <c:tickLblPos val="none"/>
        <c:crossAx val="422027440"/>
        <c:crosses val="autoZero"/>
        <c:auto val="1"/>
        <c:lblAlgn val="ctr"/>
        <c:lblOffset val="100"/>
        <c:noMultiLvlLbl val="0"/>
      </c:catAx>
      <c:valAx>
        <c:axId val="422027440"/>
        <c:scaling>
          <c:orientation val="minMax"/>
          <c:min val="0"/>
        </c:scaling>
        <c:delete val="0"/>
        <c:axPos val="r"/>
        <c:numFmt formatCode="0.0%" sourceLinked="0"/>
        <c:majorTickMark val="out"/>
        <c:minorTickMark val="none"/>
        <c:tickLblPos val="nextTo"/>
        <c:crossAx val="422026656"/>
        <c:crosses val="max"/>
        <c:crossBetween val="between"/>
      </c:valAx>
    </c:plotArea>
    <c:legend>
      <c:legendPos val="r"/>
      <c:layout>
        <c:manualLayout>
          <c:xMode val="edge"/>
          <c:yMode val="edge"/>
          <c:x val="9.2741017021995081E-2"/>
          <c:y val="0.90503194471486048"/>
          <c:w val="0.72979923562186311"/>
          <c:h val="6.7039403312211934E-2"/>
        </c:manualLayout>
      </c:layout>
      <c:overlay val="0"/>
    </c:legend>
    <c:plotVisOnly val="1"/>
    <c:dispBlanksAs val="gap"/>
    <c:showDLblsOverMax val="0"/>
  </c:chart>
  <c:spPr>
    <a:ln>
      <a:no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MATHEMITICS </a:t>
            </a:r>
          </a:p>
        </c:rich>
      </c:tx>
      <c:overlay val="0"/>
    </c:title>
    <c:autoTitleDeleted val="0"/>
    <c:plotArea>
      <c:layout/>
      <c:barChart>
        <c:barDir val="col"/>
        <c:grouping val="clustered"/>
        <c:varyColors val="0"/>
        <c:ser>
          <c:idx val="8"/>
          <c:order val="0"/>
          <c:tx>
            <c:strRef>
              <c:f>'Mathematics pass rate'!$D$9</c:f>
              <c:strCache>
                <c:ptCount val="1"/>
                <c:pt idx="0">
                  <c:v>Mathematics passes</c:v>
                </c:pt>
              </c:strCache>
            </c:strRef>
          </c:tx>
          <c:spPr>
            <a:solidFill>
              <a:srgbClr val="FCD5B5"/>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rate'!$R$9:$AA$9</c:f>
              <c:numCache>
                <c:formatCode>#,##0</c:formatCode>
                <c:ptCount val="8"/>
                <c:pt idx="0">
                  <c:v>124749</c:v>
                </c:pt>
                <c:pt idx="1">
                  <c:v>104033</c:v>
                </c:pt>
                <c:pt idx="2">
                  <c:v>121970</c:v>
                </c:pt>
                <c:pt idx="3">
                  <c:v>142666</c:v>
                </c:pt>
                <c:pt idx="4">
                  <c:v>120523</c:v>
                </c:pt>
                <c:pt idx="5">
                  <c:v>129481</c:v>
                </c:pt>
                <c:pt idx="6">
                  <c:v>135958</c:v>
                </c:pt>
                <c:pt idx="7">
                  <c:v>127197</c:v>
                </c:pt>
              </c:numCache>
            </c:numRef>
          </c:val>
          <c:extLst>
            <c:ext xmlns:c16="http://schemas.microsoft.com/office/drawing/2014/chart" uri="{C3380CC4-5D6E-409C-BE32-E72D297353CC}">
              <c16:uniqueId val="{00000000-75C5-4ABE-872A-D91A91B28D1C}"/>
            </c:ext>
          </c:extLst>
        </c:ser>
        <c:ser>
          <c:idx val="0"/>
          <c:order val="1"/>
          <c:tx>
            <c:strRef>
              <c:f>'Mathematics pass rate'!$D$10</c:f>
              <c:strCache>
                <c:ptCount val="1"/>
                <c:pt idx="0">
                  <c:v>Achieved at 50% and above</c:v>
                </c:pt>
              </c:strCache>
            </c:strRef>
          </c:tx>
          <c:spPr>
            <a:solidFill>
              <a:srgbClr val="F8A662"/>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rate'!$R$10:$AA$10</c:f>
              <c:numCache>
                <c:formatCode>###\ ###\ ###</c:formatCode>
                <c:ptCount val="8"/>
                <c:pt idx="0">
                  <c:v>50195</c:v>
                </c:pt>
                <c:pt idx="1">
                  <c:v>41586</c:v>
                </c:pt>
                <c:pt idx="2">
                  <c:v>51231</c:v>
                </c:pt>
                <c:pt idx="3">
                  <c:v>63151</c:v>
                </c:pt>
                <c:pt idx="4">
                  <c:v>50365</c:v>
                </c:pt>
                <c:pt idx="5">
                  <c:v>53588</c:v>
                </c:pt>
                <c:pt idx="6">
                  <c:v>56555</c:v>
                </c:pt>
                <c:pt idx="7" formatCode="#,##0">
                  <c:v>54359</c:v>
                </c:pt>
              </c:numCache>
            </c:numRef>
          </c:val>
          <c:extLst>
            <c:ext xmlns:c16="http://schemas.microsoft.com/office/drawing/2014/chart" uri="{C3380CC4-5D6E-409C-BE32-E72D297353CC}">
              <c16:uniqueId val="{00000001-75C5-4ABE-872A-D91A91B28D1C}"/>
            </c:ext>
          </c:extLst>
        </c:ser>
        <c:dLbls>
          <c:showLegendKey val="0"/>
          <c:showVal val="0"/>
          <c:showCatName val="0"/>
          <c:showSerName val="0"/>
          <c:showPercent val="0"/>
          <c:showBubbleSize val="0"/>
        </c:dLbls>
        <c:gapWidth val="150"/>
        <c:axId val="409658984"/>
        <c:axId val="409659768"/>
      </c:barChart>
      <c:catAx>
        <c:axId val="409658984"/>
        <c:scaling>
          <c:orientation val="minMax"/>
        </c:scaling>
        <c:delete val="0"/>
        <c:axPos val="b"/>
        <c:numFmt formatCode="General" sourceLinked="1"/>
        <c:majorTickMark val="none"/>
        <c:minorTickMark val="none"/>
        <c:tickLblPos val="nextTo"/>
        <c:crossAx val="409659768"/>
        <c:crosses val="autoZero"/>
        <c:auto val="1"/>
        <c:lblAlgn val="ctr"/>
        <c:lblOffset val="100"/>
        <c:noMultiLvlLbl val="0"/>
      </c:catAx>
      <c:valAx>
        <c:axId val="409659768"/>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409658984"/>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PHYSICAL</a:t>
            </a:r>
            <a:r>
              <a:rPr lang="en-US" baseline="0"/>
              <a:t> SCIENCE</a:t>
            </a:r>
            <a:endParaRPr lang="en-US"/>
          </a:p>
        </c:rich>
      </c:tx>
      <c:overlay val="0"/>
    </c:title>
    <c:autoTitleDeleted val="0"/>
    <c:plotArea>
      <c:layout/>
      <c:barChart>
        <c:barDir val="col"/>
        <c:grouping val="clustered"/>
        <c:varyColors val="0"/>
        <c:ser>
          <c:idx val="8"/>
          <c:order val="0"/>
          <c:tx>
            <c:strRef>
              <c:f>'Mathematics pass rate'!$D$11</c:f>
              <c:strCache>
                <c:ptCount val="1"/>
                <c:pt idx="0">
                  <c:v>Physical Science passes</c:v>
                </c:pt>
              </c:strCache>
            </c:strRef>
          </c:tx>
          <c:spPr>
            <a:solidFill>
              <a:srgbClr val="FCD5B5"/>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rate'!$R$11:$AA$11</c:f>
              <c:numCache>
                <c:formatCode>###\ ###\ ###</c:formatCode>
                <c:ptCount val="8"/>
                <c:pt idx="0">
                  <c:v>98260</c:v>
                </c:pt>
                <c:pt idx="1">
                  <c:v>96441</c:v>
                </c:pt>
                <c:pt idx="2">
                  <c:v>109918</c:v>
                </c:pt>
                <c:pt idx="3">
                  <c:v>124206</c:v>
                </c:pt>
                <c:pt idx="4">
                  <c:v>103348</c:v>
                </c:pt>
                <c:pt idx="5">
                  <c:v>113121</c:v>
                </c:pt>
                <c:pt idx="6">
                  <c:v>119427</c:v>
                </c:pt>
                <c:pt idx="7">
                  <c:v>116862</c:v>
                </c:pt>
              </c:numCache>
            </c:numRef>
          </c:val>
          <c:extLst>
            <c:ext xmlns:c16="http://schemas.microsoft.com/office/drawing/2014/chart" uri="{C3380CC4-5D6E-409C-BE32-E72D297353CC}">
              <c16:uniqueId val="{00000000-0E1F-4180-9134-83B152442926}"/>
            </c:ext>
          </c:extLst>
        </c:ser>
        <c:ser>
          <c:idx val="0"/>
          <c:order val="1"/>
          <c:tx>
            <c:strRef>
              <c:f>'Mathematics pass rate'!$D$12</c:f>
              <c:strCache>
                <c:ptCount val="1"/>
                <c:pt idx="0">
                  <c:v>Achieved at 50% and above</c:v>
                </c:pt>
              </c:strCache>
            </c:strRef>
          </c:tx>
          <c:spPr>
            <a:solidFill>
              <a:srgbClr val="F8A662"/>
            </a:solidFill>
          </c:spPr>
          <c:invertIfNegative val="0"/>
          <c:cat>
            <c:numRef>
              <c:f>'Mathematics pass rate'!$R$8:$AA$8</c:f>
              <c:numCache>
                <c:formatCode>General</c:formatCode>
                <c:ptCount val="8"/>
                <c:pt idx="0">
                  <c:v>2010</c:v>
                </c:pt>
                <c:pt idx="1">
                  <c:v>2011</c:v>
                </c:pt>
                <c:pt idx="2">
                  <c:v>2012</c:v>
                </c:pt>
                <c:pt idx="3">
                  <c:v>2013</c:v>
                </c:pt>
                <c:pt idx="4">
                  <c:v>2014</c:v>
                </c:pt>
                <c:pt idx="5">
                  <c:v>2015</c:v>
                </c:pt>
                <c:pt idx="6">
                  <c:v>2016</c:v>
                </c:pt>
                <c:pt idx="7">
                  <c:v>2017</c:v>
                </c:pt>
              </c:numCache>
            </c:numRef>
          </c:cat>
          <c:val>
            <c:numRef>
              <c:f>'Mathematics pass rate'!$R$12:$AA$12</c:f>
              <c:numCache>
                <c:formatCode>###\ ###\ ###</c:formatCode>
                <c:ptCount val="8"/>
                <c:pt idx="0">
                  <c:v>37853</c:v>
                </c:pt>
                <c:pt idx="1">
                  <c:v>37106</c:v>
                </c:pt>
                <c:pt idx="2">
                  <c:v>43639</c:v>
                </c:pt>
                <c:pt idx="3">
                  <c:v>47030</c:v>
                </c:pt>
                <c:pt idx="4">
                  <c:v>37749</c:v>
                </c:pt>
                <c:pt idx="5">
                  <c:v>42433</c:v>
                </c:pt>
                <c:pt idx="6">
                  <c:v>47586</c:v>
                </c:pt>
                <c:pt idx="7">
                  <c:v>48260</c:v>
                </c:pt>
              </c:numCache>
            </c:numRef>
          </c:val>
          <c:extLst>
            <c:ext xmlns:c16="http://schemas.microsoft.com/office/drawing/2014/chart" uri="{C3380CC4-5D6E-409C-BE32-E72D297353CC}">
              <c16:uniqueId val="{00000001-0E1F-4180-9134-83B152442926}"/>
            </c:ext>
          </c:extLst>
        </c:ser>
        <c:dLbls>
          <c:showLegendKey val="0"/>
          <c:showVal val="0"/>
          <c:showCatName val="0"/>
          <c:showSerName val="0"/>
          <c:showPercent val="0"/>
          <c:showBubbleSize val="0"/>
        </c:dLbls>
        <c:gapWidth val="150"/>
        <c:axId val="409661336"/>
        <c:axId val="409661728"/>
      </c:barChart>
      <c:catAx>
        <c:axId val="409661336"/>
        <c:scaling>
          <c:orientation val="minMax"/>
        </c:scaling>
        <c:delete val="0"/>
        <c:axPos val="b"/>
        <c:numFmt formatCode="General" sourceLinked="1"/>
        <c:majorTickMark val="none"/>
        <c:minorTickMark val="none"/>
        <c:tickLblPos val="nextTo"/>
        <c:crossAx val="409661728"/>
        <c:crosses val="autoZero"/>
        <c:auto val="1"/>
        <c:lblAlgn val="ctr"/>
        <c:lblOffset val="100"/>
        <c:noMultiLvlLbl val="0"/>
      </c:catAx>
      <c:valAx>
        <c:axId val="409661728"/>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409661336"/>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ADULT LITERACY RATE</a:t>
            </a:r>
          </a:p>
        </c:rich>
      </c:tx>
      <c:layout>
        <c:manualLayout>
          <c:xMode val="edge"/>
          <c:yMode val="edge"/>
          <c:x val="1.8501387604070343E-2"/>
          <c:y val="5.6537102473498226E-2"/>
        </c:manualLayout>
      </c:layout>
      <c:overlay val="0"/>
      <c:spPr>
        <a:noFill/>
        <a:ln w="25400">
          <a:noFill/>
        </a:ln>
      </c:spPr>
    </c:title>
    <c:autoTitleDeleted val="0"/>
    <c:plotArea>
      <c:layout>
        <c:manualLayout>
          <c:layoutTarget val="inner"/>
          <c:xMode val="edge"/>
          <c:yMode val="edge"/>
          <c:x val="4.9132991312714779E-2"/>
          <c:y val="0.22636182326815033"/>
          <c:w val="0.93786209888091521"/>
          <c:h val="0.55301053026270042"/>
        </c:manualLayout>
      </c:layout>
      <c:lineChart>
        <c:grouping val="standard"/>
        <c:varyColors val="0"/>
        <c:ser>
          <c:idx val="0"/>
          <c:order val="0"/>
          <c:tx>
            <c:strRef>
              <c:f>'Literacy rate '!$D$56</c:f>
              <c:strCache>
                <c:ptCount val="1"/>
                <c:pt idx="0">
                  <c:v>Total literacy </c:v>
                </c:pt>
              </c:strCache>
            </c:strRef>
          </c:tx>
          <c:spPr>
            <a:ln w="25400">
              <a:solidFill>
                <a:srgbClr val="FF6600"/>
              </a:solidFill>
              <a:prstDash val="solid"/>
            </a:ln>
          </c:spPr>
          <c:marker>
            <c:symbol val="diamond"/>
            <c:size val="7"/>
            <c:spPr>
              <a:solidFill>
                <a:srgbClr val="FF6600"/>
              </a:solidFill>
              <a:ln>
                <a:no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'!$E$56:$AA$56</c:f>
              <c:numCache>
                <c:formatCode>General</c:formatCode>
                <c:ptCount val="23"/>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pt idx="20" formatCode="0.0%">
                  <c:v>0.84399999999999997</c:v>
                </c:pt>
                <c:pt idx="21" formatCode="0.0%">
                  <c:v>0.85142957999999991</c:v>
                </c:pt>
                <c:pt idx="22" formatCode="0.0%">
                  <c:v>0.86144141000000007</c:v>
                </c:pt>
              </c:numCache>
            </c:numRef>
          </c:val>
          <c:smooth val="0"/>
          <c:extLst>
            <c:ext xmlns:c16="http://schemas.microsoft.com/office/drawing/2014/chart" uri="{C3380CC4-5D6E-409C-BE32-E72D297353CC}">
              <c16:uniqueId val="{00000000-1075-4B2C-87AC-D4DBAABF413D}"/>
            </c:ext>
          </c:extLst>
        </c:ser>
        <c:ser>
          <c:idx val="1"/>
          <c:order val="1"/>
          <c:tx>
            <c:strRef>
              <c:f>'Literacy rate '!$D$57</c:f>
              <c:strCache>
                <c:ptCount val="1"/>
                <c:pt idx="0">
                  <c:v>Total literacy - OHS</c:v>
                </c:pt>
              </c:strCache>
            </c:strRef>
          </c:tx>
          <c:spPr>
            <a:ln w="25400">
              <a:solidFill>
                <a:srgbClr val="BE4B48"/>
              </a:solidFill>
              <a:prstDash val="solid"/>
            </a:ln>
          </c:spPr>
          <c:marker>
            <c:symbol val="circle"/>
            <c:size val="7"/>
            <c:spPr>
              <a:solidFill>
                <a:srgbClr val="BE4B48"/>
              </a:solidFill>
              <a:ln>
                <a:no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1075-4B2C-87AC-D4DBAABF413D}"/>
            </c:ext>
          </c:extLst>
        </c:ser>
        <c:ser>
          <c:idx val="2"/>
          <c:order val="2"/>
          <c:tx>
            <c:strRef>
              <c:f>'Literacy rate '!$D$58</c:f>
              <c:strCache>
                <c:ptCount val="1"/>
                <c:pt idx="0">
                  <c:v>Female literacy </c:v>
                </c:pt>
              </c:strCache>
            </c:strRef>
          </c:tx>
          <c:spPr>
            <a:ln>
              <a:solidFill>
                <a:srgbClr val="FFC600"/>
              </a:solidFill>
            </a:ln>
          </c:spPr>
          <c:marker>
            <c:spPr>
              <a:solidFill>
                <a:srgbClr val="FFC600"/>
              </a:solidFill>
              <a:ln>
                <a:noFill/>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'!$E$58:$AA$58</c:f>
              <c:numCache>
                <c:formatCode>General</c:formatCode>
                <c:ptCount val="23"/>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pt idx="21" formatCode="0.0%">
                  <c:v>0.83923060999999999</c:v>
                </c:pt>
                <c:pt idx="22" formatCode="0.0%">
                  <c:v>0.85250806000000001</c:v>
                </c:pt>
              </c:numCache>
            </c:numRef>
          </c:val>
          <c:smooth val="0"/>
          <c:extLst>
            <c:ext xmlns:c16="http://schemas.microsoft.com/office/drawing/2014/chart" uri="{C3380CC4-5D6E-409C-BE32-E72D297353CC}">
              <c16:uniqueId val="{00000002-1075-4B2C-87AC-D4DBAABF413D}"/>
            </c:ext>
          </c:extLst>
        </c:ser>
        <c:ser>
          <c:idx val="3"/>
          <c:order val="3"/>
          <c:tx>
            <c:strRef>
              <c:f>'Literacy rate '!$D$59</c:f>
              <c:strCache>
                <c:ptCount val="1"/>
                <c:pt idx="0">
                  <c:v>Female literacy - OHS</c:v>
                </c:pt>
              </c:strCache>
            </c:strRef>
          </c:tx>
          <c:spPr>
            <a:ln>
              <a:solidFill>
                <a:srgbClr val="00B050"/>
              </a:solidFill>
            </a:ln>
          </c:spPr>
          <c:marker>
            <c:spPr>
              <a:solidFill>
                <a:srgbClr val="00B050"/>
              </a:solidFill>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1075-4B2C-87AC-D4DBAABF413D}"/>
            </c:ext>
          </c:extLst>
        </c:ser>
        <c:ser>
          <c:idx val="4"/>
          <c:order val="4"/>
          <c:tx>
            <c:strRef>
              <c:f>'Literacy rate '!$D$60</c:f>
              <c:strCache>
                <c:ptCount val="1"/>
                <c:pt idx="0">
                  <c:v>Illeteracy</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'!$E$60:$AA$60</c:f>
              <c:numCache>
                <c:formatCode>0.0%</c:formatCode>
                <c:ptCount val="23"/>
                <c:pt idx="0">
                  <c:v>0.30417885881492301</c:v>
                </c:pt>
                <c:pt idx="2">
                  <c:v>0.30741218894412503</c:v>
                </c:pt>
                <c:pt idx="3">
                  <c:v>0.31296069398723203</c:v>
                </c:pt>
                <c:pt idx="4">
                  <c:v>0.30950379923490101</c:v>
                </c:pt>
                <c:pt idx="7">
                  <c:v>0.27300000000000002</c:v>
                </c:pt>
                <c:pt idx="8">
                  <c:v>0.255</c:v>
                </c:pt>
                <c:pt idx="9">
                  <c:v>0.25</c:v>
                </c:pt>
                <c:pt idx="10">
                  <c:v>0.24199999999999999</c:v>
                </c:pt>
                <c:pt idx="11">
                  <c:v>0.23699999999999999</c:v>
                </c:pt>
                <c:pt idx="12">
                  <c:v>0.22699999999999998</c:v>
                </c:pt>
                <c:pt idx="13">
                  <c:v>0.22399999999999998</c:v>
                </c:pt>
                <c:pt idx="14">
                  <c:v>0.19299999999999995</c:v>
                </c:pt>
                <c:pt idx="15">
                  <c:v>0.18799999999999994</c:v>
                </c:pt>
                <c:pt idx="16">
                  <c:v>0.17700000000000005</c:v>
                </c:pt>
                <c:pt idx="17">
                  <c:v>0.16500000000000004</c:v>
                </c:pt>
                <c:pt idx="18">
                  <c:v>0.16200000000000003</c:v>
                </c:pt>
                <c:pt idx="19">
                  <c:v>0.15800000000000003</c:v>
                </c:pt>
                <c:pt idx="20">
                  <c:v>0.156</c:v>
                </c:pt>
                <c:pt idx="21">
                  <c:v>0.14857042000000009</c:v>
                </c:pt>
                <c:pt idx="22">
                  <c:v>0.13855858999999993</c:v>
                </c:pt>
              </c:numCache>
            </c:numRef>
          </c:val>
          <c:smooth val="0"/>
          <c:extLst>
            <c:ext xmlns:c16="http://schemas.microsoft.com/office/drawing/2014/chart" uri="{C3380CC4-5D6E-409C-BE32-E72D297353CC}">
              <c16:uniqueId val="{00000004-1075-4B2C-87AC-D4DBAABF413D}"/>
            </c:ext>
          </c:extLst>
        </c:ser>
        <c:dLbls>
          <c:showLegendKey val="0"/>
          <c:showVal val="0"/>
          <c:showCatName val="0"/>
          <c:showSerName val="0"/>
          <c:showPercent val="0"/>
          <c:showBubbleSize val="0"/>
        </c:dLbls>
        <c:marker val="1"/>
        <c:smooth val="0"/>
        <c:axId val="720915424"/>
        <c:axId val="720916208"/>
      </c:lineChart>
      <c:catAx>
        <c:axId val="72091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6208"/>
        <c:crosses val="autoZero"/>
        <c:auto val="1"/>
        <c:lblAlgn val="ctr"/>
        <c:lblOffset val="100"/>
        <c:tickLblSkip val="1"/>
        <c:tickMarkSkip val="1"/>
        <c:noMultiLvlLbl val="0"/>
      </c:catAx>
      <c:valAx>
        <c:axId val="720916208"/>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5424"/>
        <c:crosses val="autoZero"/>
        <c:crossBetween val="between"/>
      </c:valAx>
      <c:spPr>
        <a:solidFill>
          <a:srgbClr val="FFFFFF"/>
        </a:solidFill>
        <a:ln w="3175">
          <a:solidFill>
            <a:srgbClr val="000000"/>
          </a:solidFill>
          <a:prstDash val="solid"/>
        </a:ln>
      </c:spPr>
    </c:plotArea>
    <c:legend>
      <c:legendPos val="r"/>
      <c:layout>
        <c:manualLayout>
          <c:xMode val="edge"/>
          <c:yMode val="edge"/>
          <c:x val="0.1270151221181636"/>
          <c:y val="0.91690863816848067"/>
          <c:w val="0.53688676867796081"/>
          <c:h val="8.3091361831519314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663425213612E-2"/>
          <c:y val="8.7845235833456478E-2"/>
          <c:w val="0.92233870670380758"/>
          <c:h val="0.691527165002498"/>
        </c:manualLayout>
      </c:layout>
      <c:lineChart>
        <c:grouping val="standard"/>
        <c:varyColors val="0"/>
        <c:ser>
          <c:idx val="0"/>
          <c:order val="0"/>
          <c:tx>
            <c:strRef>
              <c:f>'Literacy rate '!$D$56</c:f>
              <c:strCache>
                <c:ptCount val="1"/>
                <c:pt idx="0">
                  <c:v>Total literacy </c:v>
                </c:pt>
              </c:strCache>
            </c:strRef>
          </c:tx>
          <c:spPr>
            <a:ln w="25400">
              <a:solidFill>
                <a:srgbClr val="993300"/>
              </a:solidFill>
              <a:prstDash val="solid"/>
            </a:ln>
          </c:spPr>
          <c:marker>
            <c:symbol val="diamond"/>
            <c:size val="7"/>
            <c:spPr>
              <a:solidFill>
                <a:srgbClr val="993300"/>
              </a:solidFill>
              <a:ln>
                <a:solidFill>
                  <a:srgbClr val="993300"/>
                </a:solid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'!$E$56:$AA$56</c:f>
              <c:numCache>
                <c:formatCode>General</c:formatCode>
                <c:ptCount val="23"/>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pt idx="20" formatCode="0.0%">
                  <c:v>0.84399999999999997</c:v>
                </c:pt>
                <c:pt idx="21" formatCode="0.0%">
                  <c:v>0.85142957999999991</c:v>
                </c:pt>
                <c:pt idx="22" formatCode="0.0%">
                  <c:v>0.86144141000000007</c:v>
                </c:pt>
              </c:numCache>
            </c:numRef>
          </c:val>
          <c:smooth val="0"/>
          <c:extLst>
            <c:ext xmlns:c16="http://schemas.microsoft.com/office/drawing/2014/chart" uri="{C3380CC4-5D6E-409C-BE32-E72D297353CC}">
              <c16:uniqueId val="{00000000-C66B-4A3B-9CCB-4098160E3C30}"/>
            </c:ext>
          </c:extLst>
        </c:ser>
        <c:ser>
          <c:idx val="1"/>
          <c:order val="1"/>
          <c:tx>
            <c:strRef>
              <c:f>'Literacy rate '!$D$57</c:f>
              <c:strCache>
                <c:ptCount val="1"/>
                <c:pt idx="0">
                  <c:v>Total literacy - OHS</c:v>
                </c:pt>
              </c:strCache>
            </c:strRef>
          </c:tx>
          <c:spPr>
            <a:ln w="25400">
              <a:solidFill>
                <a:srgbClr val="FF9900"/>
              </a:solidFill>
              <a:prstDash val="solid"/>
            </a:ln>
          </c:spPr>
          <c:marker>
            <c:symbol val="circle"/>
            <c:size val="7"/>
            <c:spPr>
              <a:solidFill>
                <a:srgbClr val="FF9900"/>
              </a:solidFill>
              <a:ln>
                <a:solidFill>
                  <a:srgbClr val="FF9900"/>
                </a:solidFill>
                <a:prstDash val="solid"/>
              </a:ln>
            </c:spPr>
          </c:marker>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C66B-4A3B-9CCB-4098160E3C30}"/>
            </c:ext>
          </c:extLst>
        </c:ser>
        <c:ser>
          <c:idx val="2"/>
          <c:order val="2"/>
          <c:tx>
            <c:strRef>
              <c:f>'Literacy rate '!$D$58</c:f>
              <c:strCache>
                <c:ptCount val="1"/>
                <c:pt idx="0">
                  <c:v>Female literacy </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'!$E$58:$AA$58</c:f>
              <c:numCache>
                <c:formatCode>General</c:formatCode>
                <c:ptCount val="23"/>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pt idx="21" formatCode="0.0%">
                  <c:v>0.83923060999999999</c:v>
                </c:pt>
                <c:pt idx="22" formatCode="0.0%">
                  <c:v>0.85250806000000001</c:v>
                </c:pt>
              </c:numCache>
            </c:numRef>
          </c:val>
          <c:smooth val="0"/>
          <c:extLst>
            <c:ext xmlns:c16="http://schemas.microsoft.com/office/drawing/2014/chart" uri="{C3380CC4-5D6E-409C-BE32-E72D297353CC}">
              <c16:uniqueId val="{00000002-C66B-4A3B-9CCB-4098160E3C30}"/>
            </c:ext>
          </c:extLst>
        </c:ser>
        <c:ser>
          <c:idx val="3"/>
          <c:order val="3"/>
          <c:tx>
            <c:strRef>
              <c:f>'Literacy rate '!$D$59</c:f>
              <c:strCache>
                <c:ptCount val="1"/>
                <c:pt idx="0">
                  <c:v>Female literacy - OHS</c:v>
                </c:pt>
              </c:strCache>
            </c:strRef>
          </c:tx>
          <c:cat>
            <c:numRef>
              <c:f>'Literacy rate '!$E$55:$AA$55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C66B-4A3B-9CCB-4098160E3C30}"/>
            </c:ext>
          </c:extLst>
        </c:ser>
        <c:dLbls>
          <c:showLegendKey val="0"/>
          <c:showVal val="0"/>
          <c:showCatName val="0"/>
          <c:showSerName val="0"/>
          <c:showPercent val="0"/>
          <c:showBubbleSize val="0"/>
        </c:dLbls>
        <c:marker val="1"/>
        <c:smooth val="0"/>
        <c:axId val="720895432"/>
        <c:axId val="720892688"/>
      </c:lineChart>
      <c:catAx>
        <c:axId val="720895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2688"/>
        <c:crosses val="autoZero"/>
        <c:auto val="1"/>
        <c:lblAlgn val="ctr"/>
        <c:lblOffset val="100"/>
        <c:tickLblSkip val="1"/>
        <c:tickMarkSkip val="1"/>
        <c:noMultiLvlLbl val="0"/>
      </c:catAx>
      <c:valAx>
        <c:axId val="720892688"/>
        <c:scaling>
          <c:orientation val="minMax"/>
          <c:min val="0.60000000000000009"/>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5432"/>
        <c:crosses val="autoZero"/>
        <c:crossBetween val="between"/>
      </c:valAx>
      <c:spPr>
        <a:noFill/>
        <a:ln w="25400">
          <a:noFill/>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452403815377"/>
          <c:y val="5.4854727461392916E-2"/>
          <c:w val="0.8643628768964855"/>
          <c:h val="0.82491088323261919"/>
        </c:manualLayout>
      </c:layout>
      <c:lineChart>
        <c:grouping val="standard"/>
        <c:varyColors val="0"/>
        <c:ser>
          <c:idx val="0"/>
          <c:order val="0"/>
          <c:tx>
            <c:strRef>
              <c:f>'NFDI  '!$D$8</c:f>
              <c:strCache>
                <c:ptCount val="1"/>
                <c:pt idx="0">
                  <c:v>FDI</c:v>
                </c:pt>
              </c:strCache>
            </c:strRef>
          </c:tx>
          <c:spPr>
            <a:ln w="3175">
              <a:solidFill>
                <a:srgbClr val="FF6600"/>
              </a:solidFill>
              <a:prstDash val="solid"/>
            </a:ln>
          </c:spPr>
          <c:marker>
            <c:symbol val="none"/>
          </c:marker>
          <c:cat>
            <c:strRef>
              <c:f>'NFDI  '!$E$7:$Y$7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strCache>
            </c:strRef>
          </c:cat>
          <c:val>
            <c:numRef>
              <c:f>'NFDI  '!$E$8:$Y$8</c:f>
              <c:numCache>
                <c:formatCode>#\ ##0.000</c:formatCode>
                <c:ptCount val="21"/>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numCache>
            </c:numRef>
          </c:val>
          <c:smooth val="0"/>
          <c:extLst>
            <c:ext xmlns:c16="http://schemas.microsoft.com/office/drawing/2014/chart" uri="{C3380CC4-5D6E-409C-BE32-E72D297353CC}">
              <c16:uniqueId val="{00000000-ECE3-4C35-A91F-9EE54F0C160A}"/>
            </c:ext>
          </c:extLst>
        </c:ser>
        <c:dLbls>
          <c:showLegendKey val="0"/>
          <c:showVal val="0"/>
          <c:showCatName val="0"/>
          <c:showSerName val="0"/>
          <c:showPercent val="0"/>
          <c:showBubbleSize val="0"/>
        </c:dLbls>
        <c:smooth val="0"/>
        <c:axId val="399078496"/>
        <c:axId val="399079280"/>
      </c:lineChart>
      <c:catAx>
        <c:axId val="39907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9280"/>
        <c:crossesAt val="-76.5"/>
        <c:auto val="1"/>
        <c:lblAlgn val="ctr"/>
        <c:lblOffset val="100"/>
        <c:tickLblSkip val="1"/>
        <c:tickMarkSkip val="1"/>
        <c:noMultiLvlLbl val="0"/>
      </c:catAx>
      <c:valAx>
        <c:axId val="399079280"/>
        <c:scaling>
          <c:orientation val="minMax"/>
          <c:min val="-76.5"/>
        </c:scaling>
        <c:delete val="0"/>
        <c:axPos val="l"/>
        <c:majorGridlines>
          <c:spPr>
            <a:ln w="3175">
              <a:solidFill>
                <a:srgbClr val="969696"/>
              </a:solidFill>
              <a:prstDash val="sysDash"/>
            </a:ln>
          </c:spPr>
        </c:majorGridlines>
        <c:title>
          <c:tx>
            <c:rich>
              <a:bodyPr/>
              <a:lstStyle/>
              <a:p>
                <a:pPr>
                  <a:defRPr/>
                </a:pPr>
                <a:r>
                  <a:rPr lang="en-US"/>
                  <a:t>R'billion</a:t>
                </a:r>
              </a:p>
            </c:rich>
          </c:tx>
          <c:layout>
            <c:manualLayout>
              <c:xMode val="edge"/>
              <c:yMode val="edge"/>
              <c:x val="1.6597539765360655E-2"/>
              <c:y val="0.4721408308809883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8496"/>
        <c:crosses val="autoZero"/>
        <c:crossBetween val="midCat"/>
        <c:majorUnit val="25.5"/>
        <c:minorUnit val="5.0999999999999996"/>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GRADUATING SET STUDENTS</a:t>
            </a:r>
          </a:p>
        </c:rich>
      </c:tx>
      <c:layout>
        <c:manualLayout>
          <c:xMode val="edge"/>
          <c:yMode val="edge"/>
          <c:x val="5.179701902053558E-2"/>
          <c:y val="1.7605633802816902E-2"/>
        </c:manualLayout>
      </c:layout>
      <c:overlay val="0"/>
      <c:spPr>
        <a:noFill/>
        <a:ln w="25400">
          <a:noFill/>
        </a:ln>
      </c:spPr>
    </c:title>
    <c:autoTitleDeleted val="0"/>
    <c:plotArea>
      <c:layout>
        <c:manualLayout>
          <c:layoutTarget val="inner"/>
          <c:xMode val="edge"/>
          <c:yMode val="edge"/>
          <c:x val="7.9198510182392712E-2"/>
          <c:y val="0.14436619718309929"/>
          <c:w val="0.89122178928138296"/>
          <c:h val="0.71830985915492962"/>
        </c:manualLayout>
      </c:layout>
      <c:lineChart>
        <c:grouping val="standard"/>
        <c:varyColors val="0"/>
        <c:ser>
          <c:idx val="1"/>
          <c:order val="0"/>
          <c:tx>
            <c:strRef>
              <c:f>'SET Uni'!$D$19</c:f>
              <c:strCache>
                <c:ptCount val="1"/>
                <c:pt idx="0">
                  <c:v>SET as % of total graduates</c:v>
                </c:pt>
              </c:strCache>
            </c:strRef>
          </c:tx>
          <c:spPr>
            <a:ln w="25400">
              <a:solidFill>
                <a:srgbClr val="FF6600"/>
              </a:solidFill>
              <a:prstDash val="solid"/>
            </a:ln>
          </c:spPr>
          <c:marker>
            <c:symbol val="none"/>
          </c:marker>
          <c:cat>
            <c:numRef>
              <c:f>'SET Uni'!$F$7:$AB$7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'SET Uni'!$F$19:$AB$19</c:f>
              <c:numCache>
                <c:formatCode>_ * #\ ##0.0_ ;_ * \-#\ ##0.0_ ;_ * "-"??_ ;_ @_ </c:formatCode>
                <c:ptCount val="23"/>
                <c:pt idx="0">
                  <c:v>27.8</c:v>
                </c:pt>
                <c:pt idx="1">
                  <c:v>25</c:v>
                </c:pt>
                <c:pt idx="2">
                  <c:v>25.2</c:v>
                </c:pt>
                <c:pt idx="3">
                  <c:v>26</c:v>
                </c:pt>
                <c:pt idx="4">
                  <c:v>26</c:v>
                </c:pt>
                <c:pt idx="5">
                  <c:v>25.2</c:v>
                </c:pt>
                <c:pt idx="6">
                  <c:v>25.5</c:v>
                </c:pt>
                <c:pt idx="7">
                  <c:v>26</c:v>
                </c:pt>
                <c:pt idx="8">
                  <c:v>27</c:v>
                </c:pt>
                <c:pt idx="9">
                  <c:v>27.2</c:v>
                </c:pt>
                <c:pt idx="10">
                  <c:v>26.8</c:v>
                </c:pt>
                <c:pt idx="11">
                  <c:v>27.8</c:v>
                </c:pt>
                <c:pt idx="12">
                  <c:v>28.5</c:v>
                </c:pt>
                <c:pt idx="13">
                  <c:v>28.8</c:v>
                </c:pt>
                <c:pt idx="14">
                  <c:v>29.1</c:v>
                </c:pt>
                <c:pt idx="15">
                  <c:v>28.3</c:v>
                </c:pt>
                <c:pt idx="16">
                  <c:v>27.9</c:v>
                </c:pt>
                <c:pt idx="17">
                  <c:v>28.597005614472863</c:v>
                </c:pt>
                <c:pt idx="18">
                  <c:v>29.427844212175064</c:v>
                </c:pt>
                <c:pt idx="19">
                  <c:v>29.407926026700292</c:v>
                </c:pt>
                <c:pt idx="20">
                  <c:v>29.979231287929871</c:v>
                </c:pt>
                <c:pt idx="21">
                  <c:v>30.330402456089061</c:v>
                </c:pt>
                <c:pt idx="22">
                  <c:v>29.11471567295003</c:v>
                </c:pt>
              </c:numCache>
            </c:numRef>
          </c:val>
          <c:smooth val="0"/>
          <c:extLst>
            <c:ext xmlns:c16="http://schemas.microsoft.com/office/drawing/2014/chart" uri="{C3380CC4-5D6E-409C-BE32-E72D297353CC}">
              <c16:uniqueId val="{00000000-CA3E-42E5-B192-6F7F5DFC5525}"/>
            </c:ext>
          </c:extLst>
        </c:ser>
        <c:dLbls>
          <c:showLegendKey val="0"/>
          <c:showVal val="0"/>
          <c:showCatName val="0"/>
          <c:showSerName val="0"/>
          <c:showPercent val="0"/>
          <c:showBubbleSize val="0"/>
        </c:dLbls>
        <c:smooth val="0"/>
        <c:axId val="720887984"/>
        <c:axId val="720897784"/>
      </c:lineChart>
      <c:catAx>
        <c:axId val="7208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7784"/>
        <c:crosses val="autoZero"/>
        <c:auto val="1"/>
        <c:lblAlgn val="ctr"/>
        <c:lblOffset val="100"/>
        <c:tickLblSkip val="1"/>
        <c:tickMarkSkip val="1"/>
        <c:noMultiLvlLbl val="0"/>
      </c:catAx>
      <c:valAx>
        <c:axId val="720897784"/>
        <c:scaling>
          <c:orientation val="minMax"/>
          <c:min val="2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4312845649284782E-2"/>
              <c:y val="0.4788732394366198"/>
            </c:manualLayout>
          </c:layout>
          <c:overlay val="0"/>
          <c:spPr>
            <a:noFill/>
            <a:ln w="25400">
              <a:noFill/>
            </a:ln>
          </c:spPr>
        </c:title>
        <c:numFmt formatCode="#\ ##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87984"/>
        <c:crosses val="autoZero"/>
        <c:crossBetween val="midCat"/>
      </c:valAx>
      <c:spPr>
        <a:solidFill>
          <a:srgbClr val="FFFFFF"/>
        </a:soli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horizontalDpi="-4"/>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'[11]SET Uni'!$D$52</c:f>
              <c:strCache>
                <c:ptCount val="1"/>
                <c:pt idx="0">
                  <c:v>Total enrolment</c:v>
                </c:pt>
              </c:strCache>
            </c:strRef>
          </c:tx>
          <c:spPr>
            <a:ln w="12700">
              <a:solidFill>
                <a:srgbClr val="000080"/>
              </a:solidFill>
              <a:prstDash val="solid"/>
            </a:ln>
          </c:spPr>
          <c:marker>
            <c:symbol val="none"/>
          </c:marker>
          <c:cat>
            <c:numRef>
              <c:f>'[11]SET Uni'!$E$51:$K$51</c:f>
              <c:numCache>
                <c:formatCode>General</c:formatCode>
                <c:ptCount val="7"/>
                <c:pt idx="0">
                  <c:v>2000</c:v>
                </c:pt>
                <c:pt idx="1">
                  <c:v>2001</c:v>
                </c:pt>
                <c:pt idx="2">
                  <c:v>2002</c:v>
                </c:pt>
                <c:pt idx="3">
                  <c:v>2003</c:v>
                </c:pt>
                <c:pt idx="4">
                  <c:v>2004</c:v>
                </c:pt>
                <c:pt idx="5">
                  <c:v>2005</c:v>
                </c:pt>
                <c:pt idx="6">
                  <c:v>2006</c:v>
                </c:pt>
              </c:numCache>
            </c:numRef>
          </c:cat>
          <c:val>
            <c:numRef>
              <c:f>'[11]SET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DC97-408D-A20E-62279DB54348}"/>
            </c:ext>
          </c:extLst>
        </c:ser>
        <c:ser>
          <c:idx val="4"/>
          <c:order val="1"/>
          <c:tx>
            <c:strRef>
              <c:f>'[11]SET Uni'!$D$56</c:f>
              <c:strCache>
                <c:ptCount val="1"/>
                <c:pt idx="0">
                  <c:v>Total Graduates</c:v>
                </c:pt>
              </c:strCache>
            </c:strRef>
          </c:tx>
          <c:spPr>
            <a:ln w="12700">
              <a:solidFill>
                <a:srgbClr val="800080"/>
              </a:solidFill>
              <a:prstDash val="solid"/>
            </a:ln>
          </c:spPr>
          <c:marker>
            <c:symbol val="none"/>
          </c:marker>
          <c:cat>
            <c:numRef>
              <c:f>'[11]SET Uni'!$E$51:$K$51</c:f>
              <c:numCache>
                <c:formatCode>General</c:formatCode>
                <c:ptCount val="7"/>
                <c:pt idx="0">
                  <c:v>2000</c:v>
                </c:pt>
                <c:pt idx="1">
                  <c:v>2001</c:v>
                </c:pt>
                <c:pt idx="2">
                  <c:v>2002</c:v>
                </c:pt>
                <c:pt idx="3">
                  <c:v>2003</c:v>
                </c:pt>
                <c:pt idx="4">
                  <c:v>2004</c:v>
                </c:pt>
                <c:pt idx="5">
                  <c:v>2005</c:v>
                </c:pt>
                <c:pt idx="6">
                  <c:v>2006</c:v>
                </c:pt>
              </c:numCache>
            </c:numRef>
          </c:cat>
          <c:val>
            <c:numRef>
              <c:f>'[11]SET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DC97-408D-A20E-62279DB54348}"/>
            </c:ext>
          </c:extLst>
        </c:ser>
        <c:ser>
          <c:idx val="5"/>
          <c:order val="2"/>
          <c:tx>
            <c:strRef>
              <c:f>'[11]SET Uni'!$D$57</c:f>
              <c:strCache>
                <c:ptCount val="1"/>
                <c:pt idx="0">
                  <c:v>SET Graduates</c:v>
                </c:pt>
              </c:strCache>
            </c:strRef>
          </c:tx>
          <c:spPr>
            <a:ln w="12700">
              <a:solidFill>
                <a:srgbClr val="800000"/>
              </a:solidFill>
              <a:prstDash val="solid"/>
            </a:ln>
          </c:spPr>
          <c:marker>
            <c:symbol val="none"/>
          </c:marker>
          <c:cat>
            <c:numRef>
              <c:f>'[11]SET Uni'!$E$51:$K$51</c:f>
              <c:numCache>
                <c:formatCode>General</c:formatCode>
                <c:ptCount val="7"/>
                <c:pt idx="0">
                  <c:v>2000</c:v>
                </c:pt>
                <c:pt idx="1">
                  <c:v>2001</c:v>
                </c:pt>
                <c:pt idx="2">
                  <c:v>2002</c:v>
                </c:pt>
                <c:pt idx="3">
                  <c:v>2003</c:v>
                </c:pt>
                <c:pt idx="4">
                  <c:v>2004</c:v>
                </c:pt>
                <c:pt idx="5">
                  <c:v>2005</c:v>
                </c:pt>
                <c:pt idx="6">
                  <c:v>2006</c:v>
                </c:pt>
              </c:numCache>
            </c:numRef>
          </c:cat>
          <c:val>
            <c:numRef>
              <c:f>'[11]SET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DC97-408D-A20E-62279DB54348}"/>
            </c:ext>
          </c:extLst>
        </c:ser>
        <c:dLbls>
          <c:showLegendKey val="0"/>
          <c:showVal val="0"/>
          <c:showCatName val="0"/>
          <c:showSerName val="0"/>
          <c:showPercent val="0"/>
          <c:showBubbleSize val="0"/>
        </c:dLbls>
        <c:smooth val="0"/>
        <c:axId val="720906408"/>
        <c:axId val="720904840"/>
      </c:lineChart>
      <c:catAx>
        <c:axId val="7209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4840"/>
        <c:crosses val="autoZero"/>
        <c:auto val="1"/>
        <c:lblAlgn val="ctr"/>
        <c:lblOffset val="100"/>
        <c:tickLblSkip val="1"/>
        <c:tickMarkSkip val="1"/>
        <c:noMultiLvlLbl val="0"/>
      </c:catAx>
      <c:valAx>
        <c:axId val="720904840"/>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ZA"/>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64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'SET Uni'!$AF$8:$AG$8</c:f>
              <c:strCache>
                <c:ptCount val="2"/>
                <c:pt idx="0">
                  <c:v>Total Enrolment</c:v>
                </c:pt>
              </c:strCache>
            </c:strRef>
          </c:tx>
          <c:marker>
            <c:symbol val="none"/>
          </c:marker>
          <c:cat>
            <c:numRef>
              <c:f>'SET Uni'!$AH$7:$BE$7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Uni'!$AH$8:$BE$8</c:f>
              <c:numCache>
                <c:formatCode>0.00</c:formatCode>
                <c:ptCount val="24"/>
                <c:pt idx="0">
                  <c:v>495356</c:v>
                </c:pt>
                <c:pt idx="1">
                  <c:v>557383</c:v>
                </c:pt>
                <c:pt idx="2">
                  <c:v>574771</c:v>
                </c:pt>
                <c:pt idx="3">
                  <c:v>569814</c:v>
                </c:pt>
                <c:pt idx="4">
                  <c:v>559309</c:v>
                </c:pt>
                <c:pt idx="5">
                  <c:v>553800</c:v>
                </c:pt>
                <c:pt idx="6">
                  <c:v>578134</c:v>
                </c:pt>
                <c:pt idx="7">
                  <c:v>627277</c:v>
                </c:pt>
                <c:pt idx="8">
                  <c:v>667182</c:v>
                </c:pt>
                <c:pt idx="9">
                  <c:v>705255</c:v>
                </c:pt>
                <c:pt idx="10">
                  <c:v>744478</c:v>
                </c:pt>
                <c:pt idx="11">
                  <c:v>735073</c:v>
                </c:pt>
                <c:pt idx="12">
                  <c:v>741380</c:v>
                </c:pt>
                <c:pt idx="13">
                  <c:v>760889</c:v>
                </c:pt>
                <c:pt idx="14">
                  <c:v>799490</c:v>
                </c:pt>
                <c:pt idx="15">
                  <c:v>837779</c:v>
                </c:pt>
                <c:pt idx="16">
                  <c:v>892936</c:v>
                </c:pt>
                <c:pt idx="17">
                  <c:v>937454</c:v>
                </c:pt>
                <c:pt idx="18">
                  <c:v>953373</c:v>
                </c:pt>
                <c:pt idx="19">
                  <c:v>983698</c:v>
                </c:pt>
                <c:pt idx="20">
                  <c:v>969154</c:v>
                </c:pt>
              </c:numCache>
            </c:numRef>
          </c:val>
          <c:smooth val="0"/>
          <c:extLst>
            <c:ext xmlns:c16="http://schemas.microsoft.com/office/drawing/2014/chart" uri="{C3380CC4-5D6E-409C-BE32-E72D297353CC}">
              <c16:uniqueId val="{00000000-B001-461A-B2EF-0BE9D1A649EA}"/>
            </c:ext>
          </c:extLst>
        </c:ser>
        <c:ser>
          <c:idx val="1"/>
          <c:order val="1"/>
          <c:tx>
            <c:strRef>
              <c:f>'SET Uni'!$AF$9:$AG$9</c:f>
              <c:strCache>
                <c:ptCount val="2"/>
                <c:pt idx="0">
                  <c:v>Total number of graduates</c:v>
                </c:pt>
              </c:strCache>
            </c:strRef>
          </c:tx>
          <c:marker>
            <c:symbol val="none"/>
          </c:marker>
          <c:cat>
            <c:numRef>
              <c:f>'SET Uni'!$AH$7:$BE$7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Uni'!$AH$9:$BE$9</c:f>
              <c:numCache>
                <c:formatCode>0.00</c:formatCode>
                <c:ptCount val="24"/>
                <c:pt idx="0">
                  <c:v>74137</c:v>
                </c:pt>
                <c:pt idx="1">
                  <c:v>81684</c:v>
                </c:pt>
                <c:pt idx="2">
                  <c:v>86215</c:v>
                </c:pt>
                <c:pt idx="3">
                  <c:v>88221</c:v>
                </c:pt>
                <c:pt idx="4">
                  <c:v>86625</c:v>
                </c:pt>
                <c:pt idx="5">
                  <c:v>92499</c:v>
                </c:pt>
                <c:pt idx="6">
                  <c:v>92819</c:v>
                </c:pt>
                <c:pt idx="7">
                  <c:v>95940</c:v>
                </c:pt>
                <c:pt idx="8">
                  <c:v>101047</c:v>
                </c:pt>
                <c:pt idx="9">
                  <c:v>108263</c:v>
                </c:pt>
                <c:pt idx="10">
                  <c:v>117240</c:v>
                </c:pt>
                <c:pt idx="11">
                  <c:v>120385</c:v>
                </c:pt>
                <c:pt idx="12">
                  <c:v>124676</c:v>
                </c:pt>
                <c:pt idx="13">
                  <c:v>126618</c:v>
                </c:pt>
                <c:pt idx="14">
                  <c:v>133241</c:v>
                </c:pt>
                <c:pt idx="15">
                  <c:v>144852</c:v>
                </c:pt>
                <c:pt idx="16">
                  <c:v>153325</c:v>
                </c:pt>
                <c:pt idx="17">
                  <c:v>160300</c:v>
                </c:pt>
                <c:pt idx="18">
                  <c:v>165995</c:v>
                </c:pt>
                <c:pt idx="19">
                  <c:v>180823</c:v>
                </c:pt>
                <c:pt idx="20">
                  <c:v>185375</c:v>
                </c:pt>
              </c:numCache>
            </c:numRef>
          </c:val>
          <c:smooth val="0"/>
          <c:extLst>
            <c:ext xmlns:c16="http://schemas.microsoft.com/office/drawing/2014/chart" uri="{C3380CC4-5D6E-409C-BE32-E72D297353CC}">
              <c16:uniqueId val="{00000001-B001-461A-B2EF-0BE9D1A649EA}"/>
            </c:ext>
          </c:extLst>
        </c:ser>
        <c:ser>
          <c:idx val="2"/>
          <c:order val="2"/>
          <c:tx>
            <c:strRef>
              <c:f>'SET Uni'!$AF$10:$AG$10</c:f>
              <c:strCache>
                <c:ptCount val="2"/>
                <c:pt idx="0">
                  <c:v>Total number of SET graduates</c:v>
                </c:pt>
              </c:strCache>
            </c:strRef>
          </c:tx>
          <c:marker>
            <c:symbol val="none"/>
          </c:marker>
          <c:cat>
            <c:numRef>
              <c:f>'SET Uni'!$AH$7:$BE$7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Uni'!$AH$10:$BE$10</c:f>
              <c:numCache>
                <c:formatCode>0.00</c:formatCode>
                <c:ptCount val="24"/>
                <c:pt idx="0">
                  <c:v>20598</c:v>
                </c:pt>
                <c:pt idx="1">
                  <c:v>20456</c:v>
                </c:pt>
                <c:pt idx="2">
                  <c:v>21682</c:v>
                </c:pt>
                <c:pt idx="3">
                  <c:v>22904</c:v>
                </c:pt>
                <c:pt idx="4">
                  <c:v>22506</c:v>
                </c:pt>
                <c:pt idx="5">
                  <c:v>23269</c:v>
                </c:pt>
                <c:pt idx="6">
                  <c:v>23679</c:v>
                </c:pt>
                <c:pt idx="7">
                  <c:v>24907</c:v>
                </c:pt>
                <c:pt idx="8">
                  <c:v>27240</c:v>
                </c:pt>
                <c:pt idx="9">
                  <c:v>29495</c:v>
                </c:pt>
                <c:pt idx="10">
                  <c:v>31436</c:v>
                </c:pt>
                <c:pt idx="11">
                  <c:v>33506</c:v>
                </c:pt>
                <c:pt idx="12">
                  <c:v>35562</c:v>
                </c:pt>
                <c:pt idx="13">
                  <c:v>36429</c:v>
                </c:pt>
                <c:pt idx="14">
                  <c:v>38819</c:v>
                </c:pt>
                <c:pt idx="15">
                  <c:v>40973</c:v>
                </c:pt>
                <c:pt idx="16">
                  <c:v>42759.582999999999</c:v>
                </c:pt>
                <c:pt idx="17">
                  <c:v>45841</c:v>
                </c:pt>
                <c:pt idx="18">
                  <c:v>48848.75</c:v>
                </c:pt>
                <c:pt idx="19">
                  <c:v>53176</c:v>
                </c:pt>
                <c:pt idx="20">
                  <c:v>55574</c:v>
                </c:pt>
              </c:numCache>
            </c:numRef>
          </c:val>
          <c:smooth val="0"/>
          <c:extLst>
            <c:ext xmlns:c16="http://schemas.microsoft.com/office/drawing/2014/chart" uri="{C3380CC4-5D6E-409C-BE32-E72D297353CC}">
              <c16:uniqueId val="{00000002-B001-461A-B2EF-0BE9D1A649EA}"/>
            </c:ext>
          </c:extLst>
        </c:ser>
        <c:dLbls>
          <c:showLegendKey val="0"/>
          <c:showVal val="0"/>
          <c:showCatName val="0"/>
          <c:showSerName val="0"/>
          <c:showPercent val="0"/>
          <c:showBubbleSize val="0"/>
        </c:dLbls>
        <c:smooth val="0"/>
        <c:axId val="720909936"/>
        <c:axId val="720906800"/>
      </c:lineChart>
      <c:catAx>
        <c:axId val="720909936"/>
        <c:scaling>
          <c:orientation val="minMax"/>
        </c:scaling>
        <c:delete val="0"/>
        <c:axPos val="b"/>
        <c:numFmt formatCode="General" sourceLinked="1"/>
        <c:majorTickMark val="out"/>
        <c:minorTickMark val="none"/>
        <c:tickLblPos val="nextTo"/>
        <c:crossAx val="720906800"/>
        <c:crosses val="autoZero"/>
        <c:auto val="1"/>
        <c:lblAlgn val="ctr"/>
        <c:lblOffset val="100"/>
        <c:noMultiLvlLbl val="0"/>
      </c:catAx>
      <c:valAx>
        <c:axId val="720906800"/>
        <c:scaling>
          <c:orientation val="minMax"/>
        </c:scaling>
        <c:delete val="0"/>
        <c:axPos val="l"/>
        <c:majorGridlines/>
        <c:numFmt formatCode="0.00" sourceLinked="1"/>
        <c:majorTickMark val="out"/>
        <c:minorTickMark val="none"/>
        <c:tickLblPos val="nextTo"/>
        <c:crossAx val="720909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'[12]SET Uni'!$D$52</c:f>
              <c:strCache>
                <c:ptCount val="1"/>
                <c:pt idx="0">
                  <c:v>Total enrolment</c:v>
                </c:pt>
              </c:strCache>
            </c:strRef>
          </c:tx>
          <c:spPr>
            <a:ln w="12700">
              <a:solidFill>
                <a:srgbClr val="00008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CD16-4906-9C94-D883B508113E}"/>
            </c:ext>
          </c:extLst>
        </c:ser>
        <c:ser>
          <c:idx val="4"/>
          <c:order val="1"/>
          <c:tx>
            <c:strRef>
              <c:f>'[12]SET Uni'!$D$56</c:f>
              <c:strCache>
                <c:ptCount val="1"/>
                <c:pt idx="0">
                  <c:v>Total Graduates</c:v>
                </c:pt>
              </c:strCache>
            </c:strRef>
          </c:tx>
          <c:spPr>
            <a:ln w="12700">
              <a:solidFill>
                <a:srgbClr val="80008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CD16-4906-9C94-D883B508113E}"/>
            </c:ext>
          </c:extLst>
        </c:ser>
        <c:ser>
          <c:idx val="5"/>
          <c:order val="2"/>
          <c:tx>
            <c:strRef>
              <c:f>'[12]SET Uni'!$D$57</c:f>
              <c:strCache>
                <c:ptCount val="1"/>
                <c:pt idx="0">
                  <c:v>SET Graduates</c:v>
                </c:pt>
              </c:strCache>
            </c:strRef>
          </c:tx>
          <c:spPr>
            <a:ln w="12700">
              <a:solidFill>
                <a:srgbClr val="80000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CD16-4906-9C94-D883B508113E}"/>
            </c:ext>
          </c:extLst>
        </c:ser>
        <c:dLbls>
          <c:showLegendKey val="0"/>
          <c:showVal val="0"/>
          <c:showCatName val="0"/>
          <c:showSerName val="0"/>
          <c:showPercent val="0"/>
          <c:showBubbleSize val="0"/>
        </c:dLbls>
        <c:smooth val="0"/>
        <c:axId val="722396064"/>
        <c:axId val="722398416"/>
      </c:lineChart>
      <c:catAx>
        <c:axId val="72239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8416"/>
        <c:crosses val="autoZero"/>
        <c:auto val="1"/>
        <c:lblAlgn val="ctr"/>
        <c:lblOffset val="100"/>
        <c:tickLblSkip val="1"/>
        <c:tickMarkSkip val="1"/>
        <c:noMultiLvlLbl val="0"/>
      </c:catAx>
      <c:valAx>
        <c:axId val="722398416"/>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60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a:t>Educational Perfomance of Grade 6 Learners 2004</a:t>
            </a:r>
          </a:p>
        </c:rich>
      </c:tx>
      <c:overlay val="0"/>
    </c:title>
    <c:autoTitleDeleted val="0"/>
    <c:plotArea>
      <c:layout/>
      <c:barChart>
        <c:barDir val="col"/>
        <c:grouping val="clustered"/>
        <c:varyColors val="0"/>
        <c:ser>
          <c:idx val="3"/>
          <c:order val="0"/>
          <c:tx>
            <c:strRef>
              <c:f>'[13]Educational Perf'!$H$69:$H$70</c:f>
              <c:strCache>
                <c:ptCount val="1"/>
                <c:pt idx="0">
                  <c:v>Not Achieved</c:v>
                </c:pt>
              </c:strCache>
            </c:strRef>
          </c:tx>
          <c:spPr>
            <a:solidFill>
              <a:schemeClr val="tx2">
                <a:lumMod val="75000"/>
              </a:schemeClr>
            </a:solidFill>
          </c:spPr>
          <c:invertIfNegative val="0"/>
          <c:cat>
            <c:strRef>
              <c:f>'[13]Educational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'[13]Educational Perf'!$H$71:$H$79</c:f>
              <c:numCache>
                <c:formatCode>General</c:formatCode>
                <c:ptCount val="9"/>
                <c:pt idx="0">
                  <c:v>76</c:v>
                </c:pt>
                <c:pt idx="1">
                  <c:v>66</c:v>
                </c:pt>
                <c:pt idx="2">
                  <c:v>36</c:v>
                </c:pt>
                <c:pt idx="3">
                  <c:v>68</c:v>
                </c:pt>
                <c:pt idx="4">
                  <c:v>86</c:v>
                </c:pt>
                <c:pt idx="5">
                  <c:v>67</c:v>
                </c:pt>
                <c:pt idx="6">
                  <c:v>67</c:v>
                </c:pt>
                <c:pt idx="7">
                  <c:v>33</c:v>
                </c:pt>
                <c:pt idx="8">
                  <c:v>28</c:v>
                </c:pt>
              </c:numCache>
            </c:numRef>
          </c:val>
          <c:extLst>
            <c:ext xmlns:c16="http://schemas.microsoft.com/office/drawing/2014/chart" uri="{C3380CC4-5D6E-409C-BE32-E72D297353CC}">
              <c16:uniqueId val="{00000000-F122-46E9-9642-3AC2101BA6C0}"/>
            </c:ext>
          </c:extLst>
        </c:ser>
        <c:ser>
          <c:idx val="7"/>
          <c:order val="1"/>
          <c:tx>
            <c:strRef>
              <c:f>'[13]Educational Perf'!$L$69:$L$70</c:f>
              <c:strCache>
                <c:ptCount val="1"/>
                <c:pt idx="0">
                  <c:v>Not Achieved</c:v>
                </c:pt>
              </c:strCache>
            </c:strRef>
          </c:tx>
          <c:spPr>
            <a:solidFill>
              <a:schemeClr val="accent2">
                <a:lumMod val="75000"/>
              </a:schemeClr>
            </a:solidFill>
          </c:spPr>
          <c:invertIfNegative val="0"/>
          <c:cat>
            <c:strRef>
              <c:f>'[13]Educational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'[13]Educational Perf'!$L$71:$L$79</c:f>
              <c:numCache>
                <c:formatCode>General</c:formatCode>
                <c:ptCount val="9"/>
                <c:pt idx="0">
                  <c:v>87</c:v>
                </c:pt>
                <c:pt idx="1">
                  <c:v>75</c:v>
                </c:pt>
                <c:pt idx="2">
                  <c:v>68</c:v>
                </c:pt>
                <c:pt idx="3">
                  <c:v>82</c:v>
                </c:pt>
                <c:pt idx="4">
                  <c:v>95</c:v>
                </c:pt>
                <c:pt idx="5">
                  <c:v>86</c:v>
                </c:pt>
                <c:pt idx="6">
                  <c:v>88</c:v>
                </c:pt>
                <c:pt idx="7">
                  <c:v>70</c:v>
                </c:pt>
                <c:pt idx="8">
                  <c:v>55</c:v>
                </c:pt>
              </c:numCache>
            </c:numRef>
          </c:val>
          <c:extLst>
            <c:ext xmlns:c16="http://schemas.microsoft.com/office/drawing/2014/chart" uri="{C3380CC4-5D6E-409C-BE32-E72D297353CC}">
              <c16:uniqueId val="{00000001-F122-46E9-9642-3AC2101BA6C0}"/>
            </c:ext>
          </c:extLst>
        </c:ser>
        <c:dLbls>
          <c:showLegendKey val="0"/>
          <c:showVal val="0"/>
          <c:showCatName val="0"/>
          <c:showSerName val="0"/>
          <c:showPercent val="0"/>
          <c:showBubbleSize val="0"/>
        </c:dLbls>
        <c:gapWidth val="55"/>
        <c:axId val="722380384"/>
        <c:axId val="722378816"/>
      </c:barChart>
      <c:catAx>
        <c:axId val="722380384"/>
        <c:scaling>
          <c:orientation val="minMax"/>
        </c:scaling>
        <c:delete val="0"/>
        <c:axPos val="b"/>
        <c:numFmt formatCode="General" sourceLinked="1"/>
        <c:majorTickMark val="none"/>
        <c:minorTickMark val="none"/>
        <c:tickLblPos val="nextTo"/>
        <c:txPr>
          <a:bodyPr/>
          <a:lstStyle/>
          <a:p>
            <a:pPr>
              <a:defRPr lang="en-ZA"/>
            </a:pPr>
            <a:endParaRPr lang="en-US"/>
          </a:p>
        </c:txPr>
        <c:crossAx val="722378816"/>
        <c:crosses val="autoZero"/>
        <c:auto val="1"/>
        <c:lblAlgn val="ctr"/>
        <c:lblOffset val="100"/>
        <c:noMultiLvlLbl val="0"/>
      </c:catAx>
      <c:valAx>
        <c:axId val="722378816"/>
        <c:scaling>
          <c:orientation val="minMax"/>
        </c:scaling>
        <c:delete val="0"/>
        <c:axPos val="l"/>
        <c:majorGridlines/>
        <c:numFmt formatCode="General" sourceLinked="1"/>
        <c:majorTickMark val="none"/>
        <c:minorTickMark val="none"/>
        <c:tickLblPos val="nextTo"/>
        <c:txPr>
          <a:bodyPr/>
          <a:lstStyle/>
          <a:p>
            <a:pPr>
              <a:defRPr lang="en-ZA"/>
            </a:pPr>
            <a:endParaRPr lang="en-US"/>
          </a:p>
        </c:txPr>
        <c:crossAx val="722380384"/>
        <c:crosses val="autoZero"/>
        <c:crossBetween val="between"/>
      </c:valAx>
    </c:plotArea>
    <c:legend>
      <c:legendPos val="r"/>
      <c:layout>
        <c:manualLayout>
          <c:xMode val="edge"/>
          <c:yMode val="edge"/>
          <c:x val="0.23931686353598974"/>
          <c:y val="0.90438269003640959"/>
          <c:w val="0.5042748195936988"/>
          <c:h val="5.7768938350344246E-2"/>
        </c:manualLayout>
      </c:layout>
      <c:overlay val="0"/>
      <c:txPr>
        <a:bodyPr/>
        <a:lstStyle/>
        <a:p>
          <a:pPr>
            <a:defRPr lang="en-ZA"/>
          </a:pPr>
          <a:endParaRPr lang="en-US"/>
        </a:p>
      </c:txPr>
    </c:legend>
    <c:plotVisOnly val="1"/>
    <c:dispBlanksAs val="gap"/>
    <c:showDLblsOverMax val="0"/>
  </c:chart>
  <c:printSettings>
    <c:headerFooter/>
    <c:pageMargins b="0.750000000000006" l="0.70000000000000062" r="0.70000000000000062" t="0.750000000000006" header="0.30000000000000032" footer="0.30000000000000032"/>
    <c:pageSetup orientation="landscape" horizontalDpi="0" verticalDpi="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b="1" i="0" u="none" strike="noStrike" baseline="0"/>
              <a:t>GRADE 3: Overall Literacy and Numeracy Achievement  </a:t>
            </a:r>
            <a:endParaRPr lang="en-US" sz="1000"/>
          </a:p>
        </c:rich>
      </c:tx>
      <c:overlay val="0"/>
    </c:title>
    <c:autoTitleDeleted val="0"/>
    <c:plotArea>
      <c:layout/>
      <c:barChart>
        <c:barDir val="col"/>
        <c:grouping val="clustered"/>
        <c:varyColors val="0"/>
        <c:ser>
          <c:idx val="2"/>
          <c:order val="2"/>
          <c:tx>
            <c:strRef>
              <c:f>'[13]Educational Perf'!$AM$33</c:f>
              <c:strCache>
                <c:ptCount val="1"/>
                <c:pt idx="0">
                  <c:v>Numeracy Achievement 2001</c:v>
                </c:pt>
              </c:strCache>
            </c:strRef>
          </c:tx>
          <c:invertIfNegative val="0"/>
          <c:cat>
            <c:strRef>
              <c:f>'[13]Educational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'[13]Educational Perf'!$H$88:$H$96</c:f>
              <c:numCache>
                <c:formatCode>General</c:formatCode>
                <c:ptCount val="9"/>
                <c:pt idx="0">
                  <c:v>34</c:v>
                </c:pt>
                <c:pt idx="1">
                  <c:v>29</c:v>
                </c:pt>
                <c:pt idx="2">
                  <c:v>32</c:v>
                </c:pt>
                <c:pt idx="3">
                  <c:v>31</c:v>
                </c:pt>
                <c:pt idx="4">
                  <c:v>24</c:v>
                </c:pt>
                <c:pt idx="5">
                  <c:v>29</c:v>
                </c:pt>
                <c:pt idx="6">
                  <c:v>25</c:v>
                </c:pt>
                <c:pt idx="7">
                  <c:v>26</c:v>
                </c:pt>
                <c:pt idx="8">
                  <c:v>32</c:v>
                </c:pt>
              </c:numCache>
            </c:numRef>
          </c:val>
          <c:extLst>
            <c:ext xmlns:c16="http://schemas.microsoft.com/office/drawing/2014/chart" uri="{C3380CC4-5D6E-409C-BE32-E72D297353CC}">
              <c16:uniqueId val="{00000000-5255-4058-8A5D-46D1AC5C659D}"/>
            </c:ext>
          </c:extLst>
        </c:ser>
        <c:ser>
          <c:idx val="3"/>
          <c:order val="3"/>
          <c:tx>
            <c:strRef>
              <c:f>'[13]Educational Perf'!$AM$34</c:f>
              <c:strCache>
                <c:ptCount val="1"/>
                <c:pt idx="0">
                  <c:v>Numeracy Achievement 2007</c:v>
                </c:pt>
              </c:strCache>
            </c:strRef>
          </c:tx>
          <c:invertIfNegative val="0"/>
          <c:cat>
            <c:strRef>
              <c:f>'[13]Educational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'[13]Educational Perf'!$I$88:$I$96</c:f>
              <c:numCache>
                <c:formatCode>General</c:formatCode>
                <c:ptCount val="9"/>
                <c:pt idx="0">
                  <c:v>36</c:v>
                </c:pt>
                <c:pt idx="1">
                  <c:v>42</c:v>
                </c:pt>
                <c:pt idx="2">
                  <c:v>42</c:v>
                </c:pt>
                <c:pt idx="3">
                  <c:v>36</c:v>
                </c:pt>
                <c:pt idx="4">
                  <c:v>26</c:v>
                </c:pt>
                <c:pt idx="5">
                  <c:v>31</c:v>
                </c:pt>
                <c:pt idx="6">
                  <c:v>29</c:v>
                </c:pt>
                <c:pt idx="7">
                  <c:v>31</c:v>
                </c:pt>
                <c:pt idx="8">
                  <c:v>49</c:v>
                </c:pt>
              </c:numCache>
            </c:numRef>
          </c:val>
          <c:extLst>
            <c:ext xmlns:c16="http://schemas.microsoft.com/office/drawing/2014/chart" uri="{C3380CC4-5D6E-409C-BE32-E72D297353CC}">
              <c16:uniqueId val="{00000001-5255-4058-8A5D-46D1AC5C659D}"/>
            </c:ext>
          </c:extLst>
        </c:ser>
        <c:dLbls>
          <c:showLegendKey val="0"/>
          <c:showVal val="0"/>
          <c:showCatName val="0"/>
          <c:showSerName val="0"/>
          <c:showPercent val="0"/>
          <c:showBubbleSize val="0"/>
        </c:dLbls>
        <c:gapWidth val="150"/>
        <c:axId val="397417208"/>
        <c:axId val="714542704"/>
      </c:barChart>
      <c:lineChart>
        <c:grouping val="standard"/>
        <c:varyColors val="0"/>
        <c:ser>
          <c:idx val="0"/>
          <c:order val="0"/>
          <c:tx>
            <c:strRef>
              <c:f>'[13]Educational Perf'!$AM$31</c:f>
              <c:strCache>
                <c:ptCount val="1"/>
                <c:pt idx="0">
                  <c:v>Litercay Achievement 2001</c:v>
                </c:pt>
              </c:strCache>
            </c:strRef>
          </c:tx>
          <c:marker>
            <c:symbol val="none"/>
          </c:marker>
          <c:cat>
            <c:strRef>
              <c:f>'[13]Educational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'[13]Educational Perf'!$E$88:$E$96</c:f>
              <c:numCache>
                <c:formatCode>General</c:formatCode>
                <c:ptCount val="9"/>
                <c:pt idx="0">
                  <c:v>24</c:v>
                </c:pt>
                <c:pt idx="1">
                  <c:v>27</c:v>
                </c:pt>
                <c:pt idx="2">
                  <c:v>33</c:v>
                </c:pt>
                <c:pt idx="3">
                  <c:v>35</c:v>
                </c:pt>
                <c:pt idx="4">
                  <c:v>27</c:v>
                </c:pt>
                <c:pt idx="5">
                  <c:v>28</c:v>
                </c:pt>
                <c:pt idx="6">
                  <c:v>29</c:v>
                </c:pt>
                <c:pt idx="7">
                  <c:v>23</c:v>
                </c:pt>
                <c:pt idx="8">
                  <c:v>33</c:v>
                </c:pt>
              </c:numCache>
            </c:numRef>
          </c:val>
          <c:smooth val="0"/>
          <c:extLst>
            <c:ext xmlns:c16="http://schemas.microsoft.com/office/drawing/2014/chart" uri="{C3380CC4-5D6E-409C-BE32-E72D297353CC}">
              <c16:uniqueId val="{00000002-5255-4058-8A5D-46D1AC5C659D}"/>
            </c:ext>
          </c:extLst>
        </c:ser>
        <c:ser>
          <c:idx val="1"/>
          <c:order val="1"/>
          <c:tx>
            <c:strRef>
              <c:f>'[13]Educational Perf'!$AM$32</c:f>
              <c:strCache>
                <c:ptCount val="1"/>
                <c:pt idx="0">
                  <c:v>Litercay Achievement 2007</c:v>
                </c:pt>
              </c:strCache>
            </c:strRef>
          </c:tx>
          <c:marker>
            <c:symbol val="none"/>
          </c:marker>
          <c:cat>
            <c:strRef>
              <c:f>'[13]Educational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'[13]Educational Perf'!$F$88:$F$96</c:f>
              <c:numCache>
                <c:formatCode>General</c:formatCode>
                <c:ptCount val="9"/>
                <c:pt idx="0">
                  <c:v>35</c:v>
                </c:pt>
                <c:pt idx="1">
                  <c:v>43</c:v>
                </c:pt>
                <c:pt idx="2">
                  <c:v>38</c:v>
                </c:pt>
                <c:pt idx="3">
                  <c:v>38</c:v>
                </c:pt>
                <c:pt idx="4">
                  <c:v>29</c:v>
                </c:pt>
                <c:pt idx="5">
                  <c:v>32</c:v>
                </c:pt>
                <c:pt idx="6">
                  <c:v>35</c:v>
                </c:pt>
                <c:pt idx="7">
                  <c:v>34</c:v>
                </c:pt>
                <c:pt idx="8">
                  <c:v>48</c:v>
                </c:pt>
              </c:numCache>
            </c:numRef>
          </c:val>
          <c:smooth val="0"/>
          <c:extLst>
            <c:ext xmlns:c16="http://schemas.microsoft.com/office/drawing/2014/chart" uri="{C3380CC4-5D6E-409C-BE32-E72D297353CC}">
              <c16:uniqueId val="{00000003-5255-4058-8A5D-46D1AC5C659D}"/>
            </c:ext>
          </c:extLst>
        </c:ser>
        <c:dLbls>
          <c:showLegendKey val="0"/>
          <c:showVal val="0"/>
          <c:showCatName val="0"/>
          <c:showSerName val="0"/>
          <c:showPercent val="0"/>
          <c:showBubbleSize val="0"/>
        </c:dLbls>
        <c:marker val="1"/>
        <c:smooth val="0"/>
        <c:axId val="414999632"/>
        <c:axId val="720917776"/>
      </c:lineChart>
      <c:catAx>
        <c:axId val="397417208"/>
        <c:scaling>
          <c:orientation val="minMax"/>
        </c:scaling>
        <c:delete val="0"/>
        <c:axPos val="b"/>
        <c:numFmt formatCode="General" sourceLinked="1"/>
        <c:majorTickMark val="out"/>
        <c:minorTickMark val="none"/>
        <c:tickLblPos val="nextTo"/>
        <c:txPr>
          <a:bodyPr/>
          <a:lstStyle/>
          <a:p>
            <a:pPr>
              <a:defRPr lang="en-ZA"/>
            </a:pPr>
            <a:endParaRPr lang="en-US"/>
          </a:p>
        </c:txPr>
        <c:crossAx val="714542704"/>
        <c:crosses val="autoZero"/>
        <c:auto val="1"/>
        <c:lblAlgn val="ctr"/>
        <c:lblOffset val="100"/>
        <c:noMultiLvlLbl val="0"/>
      </c:catAx>
      <c:valAx>
        <c:axId val="714542704"/>
        <c:scaling>
          <c:orientation val="minMax"/>
          <c:max val="50"/>
          <c:min val="15"/>
        </c:scaling>
        <c:delete val="0"/>
        <c:axPos val="l"/>
        <c:majorGridlines/>
        <c:title>
          <c:tx>
            <c:rich>
              <a:bodyPr rot="-5400000" vert="horz"/>
              <a:lstStyle/>
              <a:p>
                <a:pPr>
                  <a:defRPr lang="en-ZA" sz="1000">
                    <a:latin typeface="Arial" pitchFamily="34" charset="0"/>
                    <a:cs typeface="Arial" pitchFamily="34" charset="0"/>
                  </a:defRPr>
                </a:pPr>
                <a:r>
                  <a:rPr lang="en-US" sz="1000">
                    <a:latin typeface="Arial" pitchFamily="34" charset="0"/>
                    <a:cs typeface="Arial" pitchFamily="34" charset="0"/>
                  </a:rPr>
                  <a:t>Overall Achievement (%)</a:t>
                </a:r>
              </a:p>
            </c:rich>
          </c:tx>
          <c:overlay val="0"/>
        </c:title>
        <c:numFmt formatCode="#\ ##0" sourceLinked="0"/>
        <c:majorTickMark val="out"/>
        <c:minorTickMark val="none"/>
        <c:tickLblPos val="nextTo"/>
        <c:txPr>
          <a:bodyPr/>
          <a:lstStyle/>
          <a:p>
            <a:pPr>
              <a:defRPr lang="en-ZA"/>
            </a:pPr>
            <a:endParaRPr lang="en-US"/>
          </a:p>
        </c:txPr>
        <c:crossAx val="397417208"/>
        <c:crosses val="autoZero"/>
        <c:crossBetween val="between"/>
        <c:majorUnit val="5"/>
      </c:valAx>
      <c:catAx>
        <c:axId val="414999632"/>
        <c:scaling>
          <c:orientation val="minMax"/>
        </c:scaling>
        <c:delete val="1"/>
        <c:axPos val="b"/>
        <c:numFmt formatCode="General" sourceLinked="1"/>
        <c:majorTickMark val="out"/>
        <c:minorTickMark val="none"/>
        <c:tickLblPos val="none"/>
        <c:crossAx val="720917776"/>
        <c:crosses val="autoZero"/>
        <c:auto val="1"/>
        <c:lblAlgn val="ctr"/>
        <c:lblOffset val="100"/>
        <c:noMultiLvlLbl val="0"/>
      </c:catAx>
      <c:valAx>
        <c:axId val="720917776"/>
        <c:scaling>
          <c:orientation val="minMax"/>
        </c:scaling>
        <c:delete val="0"/>
        <c:axPos val="r"/>
        <c:numFmt formatCode="General" sourceLinked="1"/>
        <c:majorTickMark val="out"/>
        <c:minorTickMark val="none"/>
        <c:tickLblPos val="nextTo"/>
        <c:txPr>
          <a:bodyPr/>
          <a:lstStyle/>
          <a:p>
            <a:pPr>
              <a:defRPr lang="en-ZA"/>
            </a:pPr>
            <a:endParaRPr lang="en-US"/>
          </a:p>
        </c:txPr>
        <c:crossAx val="414999632"/>
        <c:crosses val="max"/>
        <c:crossBetween val="between"/>
      </c:valAx>
    </c:plotArea>
    <c:legend>
      <c:legendPos val="r"/>
      <c:layout>
        <c:manualLayout>
          <c:xMode val="edge"/>
          <c:yMode val="edge"/>
          <c:x val="0.22988860561279542"/>
          <c:y val="0.83011641698399874"/>
          <c:w val="0.60920480487390782"/>
          <c:h val="0.11196919112807405"/>
        </c:manualLayout>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b="0"/>
            </a:pPr>
            <a:r>
              <a:rPr lang="en-US" sz="1200" b="0" baseline="0"/>
              <a:t>GRADE 6 LANGUAGE AND MATHS ACHIEVEMENT</a:t>
            </a:r>
          </a:p>
        </c:rich>
      </c:tx>
      <c:overlay val="0"/>
    </c:title>
    <c:autoTitleDeleted val="0"/>
    <c:plotArea>
      <c:layout/>
      <c:barChart>
        <c:barDir val="col"/>
        <c:grouping val="clustered"/>
        <c:varyColors val="0"/>
        <c:ser>
          <c:idx val="0"/>
          <c:order val="0"/>
          <c:tx>
            <c:strRef>
              <c:f>'[13]Educational Perf'!$E$8</c:f>
              <c:strCache>
                <c:ptCount val="1"/>
                <c:pt idx="0">
                  <c:v>Language Achievement</c:v>
                </c:pt>
              </c:strCache>
            </c:strRef>
          </c:tx>
          <c:spPr>
            <a:solidFill>
              <a:schemeClr val="accent6"/>
            </a:solidFill>
          </c:spPr>
          <c:invertIfNegative val="0"/>
          <c:val>
            <c:numRef>
              <c:f>('M:\Users\Thabo.Mabogoane\AppData\Local\Microsoft\Windows\Temporary Internet Files\Content.Outlook\W02ZPCFK\[Educational Performance Indicator reformated.xls]Educational Perf'!$E$8 'M:\Users\Thabo.Mabogoane\AppData\Local\Microsoft\Windows\Temporary Internet Files\Content.Outlook\W02ZPCFK\[Educational Performance Indicator reformated.xls]Educational Perf'!$E$10:$E$19)</c:f>
              <c:numCache>
                <c:formatCode>General</c:formatCode>
                <c:ptCount val="11"/>
                <c:pt idx="0">
                  <c:v>0</c:v>
                </c:pt>
                <c:pt idx="1">
                  <c:v>24</c:v>
                </c:pt>
                <c:pt idx="2">
                  <c:v>34</c:v>
                </c:pt>
                <c:pt idx="3">
                  <c:v>63</c:v>
                </c:pt>
                <c:pt idx="4">
                  <c:v>32</c:v>
                </c:pt>
                <c:pt idx="5">
                  <c:v>15</c:v>
                </c:pt>
                <c:pt idx="6">
                  <c:v>33</c:v>
                </c:pt>
                <c:pt idx="7">
                  <c:v>32</c:v>
                </c:pt>
                <c:pt idx="8">
                  <c:v>67</c:v>
                </c:pt>
                <c:pt idx="9">
                  <c:v>73</c:v>
                </c:pt>
                <c:pt idx="10">
                  <c:v>41.444444444444443</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0-7A68-4AEA-9C11-E40103AD6D86}"/>
            </c:ext>
          </c:extLst>
        </c:ser>
        <c:ser>
          <c:idx val="1"/>
          <c:order val="1"/>
          <c:tx>
            <c:strRef>
              <c:f>'[13]Educational Perf'!$F$8</c:f>
              <c:strCache>
                <c:ptCount val="1"/>
                <c:pt idx="0">
                  <c:v>Mathematics Achievement</c:v>
                </c:pt>
              </c:strCache>
            </c:strRef>
          </c:tx>
          <c:spPr>
            <a:solidFill>
              <a:schemeClr val="accent6">
                <a:lumMod val="50000"/>
              </a:schemeClr>
            </a:solidFill>
          </c:spPr>
          <c:invertIfNegative val="0"/>
          <c:val>
            <c:numRef>
              <c:f>('M:\Users\Thabo.Mabogoane\AppData\Local\Microsoft\Windows\Temporary Internet Files\Content.Outlook\W02ZPCFK\[Educational Performance Indicator reformated.xls]Educational Perf'!$F$8 'M:\Users\Thabo.Mabogoane\AppData\Local\Microsoft\Windows\Temporary Internet Files\Content.Outlook\W02ZPCFK\[Educational Performance Indicator reformated.xls]Educational Perf'!$F$10:$F$19)</c:f>
              <c:numCache>
                <c:formatCode>General</c:formatCode>
                <c:ptCount val="11"/>
                <c:pt idx="0">
                  <c:v>0</c:v>
                </c:pt>
                <c:pt idx="1">
                  <c:v>12</c:v>
                </c:pt>
                <c:pt idx="2">
                  <c:v>25</c:v>
                </c:pt>
                <c:pt idx="3">
                  <c:v>32</c:v>
                </c:pt>
                <c:pt idx="4">
                  <c:v>19</c:v>
                </c:pt>
                <c:pt idx="5">
                  <c:v>5</c:v>
                </c:pt>
                <c:pt idx="6">
                  <c:v>15</c:v>
                </c:pt>
                <c:pt idx="7">
                  <c:v>12</c:v>
                </c:pt>
                <c:pt idx="8">
                  <c:v>29</c:v>
                </c:pt>
                <c:pt idx="9">
                  <c:v>45</c:v>
                </c:pt>
                <c:pt idx="10">
                  <c:v>21.555555555555557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1-7A68-4AEA-9C11-E40103AD6D86}"/>
            </c:ext>
          </c:extLst>
        </c:ser>
        <c:dLbls>
          <c:showLegendKey val="0"/>
          <c:showVal val="0"/>
          <c:showCatName val="0"/>
          <c:showSerName val="0"/>
          <c:showPercent val="0"/>
          <c:showBubbleSize val="0"/>
        </c:dLbls>
        <c:gapWidth val="150"/>
        <c:axId val="720918168"/>
        <c:axId val="720912288"/>
      </c:barChart>
      <c:catAx>
        <c:axId val="720918168"/>
        <c:scaling>
          <c:orientation val="minMax"/>
        </c:scaling>
        <c:delete val="0"/>
        <c:axPos val="b"/>
        <c:numFmt formatCode="General" sourceLinked="1"/>
        <c:majorTickMark val="out"/>
        <c:minorTickMark val="none"/>
        <c:tickLblPos val="nextTo"/>
        <c:txPr>
          <a:bodyPr rot="-5400000" vert="horz"/>
          <a:lstStyle/>
          <a:p>
            <a:pPr>
              <a:defRPr lang="en-ZA"/>
            </a:pPr>
            <a:endParaRPr lang="en-US"/>
          </a:p>
        </c:txPr>
        <c:crossAx val="720912288"/>
        <c:crosses val="autoZero"/>
        <c:auto val="1"/>
        <c:lblAlgn val="ctr"/>
        <c:lblOffset val="100"/>
        <c:noMultiLvlLbl val="0"/>
      </c:catAx>
      <c:valAx>
        <c:axId val="720912288"/>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918168"/>
        <c:crosses val="autoZero"/>
        <c:crossBetween val="between"/>
      </c:valAx>
    </c:plotArea>
    <c:legend>
      <c:legendPos val="r"/>
      <c:layout>
        <c:manualLayout>
          <c:xMode val="edge"/>
          <c:yMode val="edge"/>
          <c:x val="5.4369086683916761E-2"/>
          <c:y val="0.90430019632848091"/>
          <c:w val="0.8737888931343758"/>
          <c:h val="6.6574247582464247E-2"/>
        </c:manualLayout>
      </c:layout>
      <c:overlay val="0"/>
      <c:txPr>
        <a:bodyPr/>
        <a:lstStyle/>
        <a:p>
          <a:pPr>
            <a:defRPr lang="en-ZA" sz="800">
              <a:latin typeface="Arial" pitchFamily="34" charset="0"/>
              <a:cs typeface="Arial" pitchFamily="34" charset="0"/>
            </a:defRPr>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200" b="0"/>
            </a:pPr>
            <a:r>
              <a:rPr lang="en-US" sz="1200" b="0"/>
              <a:t>GRADE</a:t>
            </a:r>
            <a:r>
              <a:rPr lang="en-US" sz="1200" b="0" baseline="0"/>
              <a:t> 3 LITERACY AND NUMERACY ACHIEVEMENT</a:t>
            </a:r>
            <a:endParaRPr lang="en-US" sz="1200" b="0"/>
          </a:p>
        </c:rich>
      </c:tx>
      <c:layout>
        <c:manualLayout>
          <c:xMode val="edge"/>
          <c:yMode val="edge"/>
          <c:x val="9.7285743473682568E-4"/>
          <c:y val="2.7681833394986699E-2"/>
        </c:manualLayout>
      </c:layout>
      <c:overlay val="0"/>
    </c:title>
    <c:autoTitleDeleted val="0"/>
    <c:plotArea>
      <c:layout/>
      <c:barChart>
        <c:barDir val="col"/>
        <c:grouping val="clustered"/>
        <c:varyColors val="0"/>
        <c:ser>
          <c:idx val="2"/>
          <c:order val="2"/>
          <c:tx>
            <c:strRef>
              <c:f>'[13]Educational Perf'!$J$8:$J$9</c:f>
              <c:strCache>
                <c:ptCount val="1"/>
                <c:pt idx="0">
                  <c:v>Numeracy Achievement 2001</c:v>
                </c:pt>
              </c:strCache>
            </c:strRef>
          </c:tx>
          <c:invertIfNegative val="0"/>
          <c:cat>
            <c:strRef>
              <c:f>'[13]Educational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'[13]Educational Perf'!$J$10:$J$19</c:f>
              <c:numCache>
                <c:formatCode>General</c:formatCode>
                <c:ptCount val="10"/>
                <c:pt idx="0">
                  <c:v>34</c:v>
                </c:pt>
                <c:pt idx="1">
                  <c:v>29</c:v>
                </c:pt>
                <c:pt idx="2">
                  <c:v>32</c:v>
                </c:pt>
                <c:pt idx="3">
                  <c:v>31</c:v>
                </c:pt>
                <c:pt idx="4">
                  <c:v>24</c:v>
                </c:pt>
                <c:pt idx="5">
                  <c:v>29</c:v>
                </c:pt>
                <c:pt idx="6">
                  <c:v>25</c:v>
                </c:pt>
                <c:pt idx="7">
                  <c:v>26</c:v>
                </c:pt>
                <c:pt idx="8">
                  <c:v>32</c:v>
                </c:pt>
                <c:pt idx="9">
                  <c:v>29.111111111111111</c:v>
                </c:pt>
              </c:numCache>
            </c:numRef>
          </c:val>
          <c:extLst>
            <c:ext xmlns:c16="http://schemas.microsoft.com/office/drawing/2014/chart" uri="{C3380CC4-5D6E-409C-BE32-E72D297353CC}">
              <c16:uniqueId val="{00000000-159C-43B9-BC54-E59578EA422B}"/>
            </c:ext>
          </c:extLst>
        </c:ser>
        <c:ser>
          <c:idx val="3"/>
          <c:order val="3"/>
          <c:tx>
            <c:strRef>
              <c:f>'[13]Educational Perf'!$K$8:$K$9</c:f>
              <c:strCache>
                <c:ptCount val="1"/>
                <c:pt idx="0">
                  <c:v>Numeracy Achievement 2007</c:v>
                </c:pt>
              </c:strCache>
            </c:strRef>
          </c:tx>
          <c:invertIfNegative val="0"/>
          <c:cat>
            <c:strRef>
              <c:f>'[13]Educational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'[13]Educational Perf'!$K$10:$K$19</c:f>
              <c:numCache>
                <c:formatCode>General</c:formatCode>
                <c:ptCount val="10"/>
                <c:pt idx="0">
                  <c:v>36</c:v>
                </c:pt>
                <c:pt idx="1">
                  <c:v>42</c:v>
                </c:pt>
                <c:pt idx="2">
                  <c:v>42</c:v>
                </c:pt>
                <c:pt idx="3">
                  <c:v>36</c:v>
                </c:pt>
                <c:pt idx="4">
                  <c:v>26</c:v>
                </c:pt>
                <c:pt idx="5">
                  <c:v>31</c:v>
                </c:pt>
                <c:pt idx="6">
                  <c:v>29</c:v>
                </c:pt>
                <c:pt idx="7">
                  <c:v>31</c:v>
                </c:pt>
                <c:pt idx="8">
                  <c:v>49</c:v>
                </c:pt>
                <c:pt idx="9">
                  <c:v>35.777777777777779</c:v>
                </c:pt>
              </c:numCache>
            </c:numRef>
          </c:val>
          <c:extLst>
            <c:ext xmlns:c16="http://schemas.microsoft.com/office/drawing/2014/chart" uri="{C3380CC4-5D6E-409C-BE32-E72D297353CC}">
              <c16:uniqueId val="{00000001-159C-43B9-BC54-E59578EA422B}"/>
            </c:ext>
          </c:extLst>
        </c:ser>
        <c:ser>
          <c:idx val="4"/>
          <c:order val="4"/>
          <c:tx>
            <c:strRef>
              <c:f>'[13]Educational Perf'!$D$10:$D$11</c:f>
              <c:strCache>
                <c:ptCount val="1"/>
                <c:pt idx="0">
                  <c:v>Eastern Cape Free State</c:v>
                </c:pt>
              </c:strCache>
            </c:strRef>
          </c:tx>
          <c:invertIfNegative val="0"/>
          <c:cat>
            <c:strRef>
              <c:f>'[13]Educational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'[13]Educational Perf'!$D$12:$D$19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159C-43B9-BC54-E59578EA422B}"/>
            </c:ext>
          </c:extLst>
        </c:ser>
        <c:dLbls>
          <c:showLegendKey val="0"/>
          <c:showVal val="0"/>
          <c:showCatName val="0"/>
          <c:showSerName val="0"/>
          <c:showPercent val="0"/>
          <c:showBubbleSize val="0"/>
        </c:dLbls>
        <c:gapWidth val="150"/>
        <c:axId val="720895040"/>
        <c:axId val="720891120"/>
      </c:barChart>
      <c:lineChart>
        <c:grouping val="standard"/>
        <c:varyColors val="0"/>
        <c:ser>
          <c:idx val="0"/>
          <c:order val="0"/>
          <c:tx>
            <c:strRef>
              <c:f>'[13]Educational Perf'!$H$8:$H$9</c:f>
              <c:strCache>
                <c:ptCount val="1"/>
                <c:pt idx="0">
                  <c:v>Literacy Achievement 2001</c:v>
                </c:pt>
              </c:strCache>
            </c:strRef>
          </c:tx>
          <c:marker>
            <c:symbol val="none"/>
          </c:marker>
          <c:cat>
            <c:strRef>
              <c:f>'[13]Educational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'[13]Educational Perf'!$H$10:$H$19</c:f>
              <c:numCache>
                <c:formatCode>General</c:formatCode>
                <c:ptCount val="10"/>
                <c:pt idx="0">
                  <c:v>24</c:v>
                </c:pt>
                <c:pt idx="1">
                  <c:v>27</c:v>
                </c:pt>
                <c:pt idx="2">
                  <c:v>33</c:v>
                </c:pt>
                <c:pt idx="3">
                  <c:v>35</c:v>
                </c:pt>
                <c:pt idx="4">
                  <c:v>27</c:v>
                </c:pt>
                <c:pt idx="5">
                  <c:v>28</c:v>
                </c:pt>
                <c:pt idx="6">
                  <c:v>29</c:v>
                </c:pt>
                <c:pt idx="7">
                  <c:v>23</c:v>
                </c:pt>
                <c:pt idx="8">
                  <c:v>33</c:v>
                </c:pt>
                <c:pt idx="9">
                  <c:v>28.777777777777779</c:v>
                </c:pt>
              </c:numCache>
            </c:numRef>
          </c:val>
          <c:smooth val="0"/>
          <c:extLst>
            <c:ext xmlns:c16="http://schemas.microsoft.com/office/drawing/2014/chart" uri="{C3380CC4-5D6E-409C-BE32-E72D297353CC}">
              <c16:uniqueId val="{00000003-159C-43B9-BC54-E59578EA422B}"/>
            </c:ext>
          </c:extLst>
        </c:ser>
        <c:ser>
          <c:idx val="1"/>
          <c:order val="1"/>
          <c:tx>
            <c:strRef>
              <c:f>'[13]Educational Perf'!$I$8:$I$9</c:f>
              <c:strCache>
                <c:ptCount val="1"/>
                <c:pt idx="0">
                  <c:v>Literacy Achievement 2007</c:v>
                </c:pt>
              </c:strCache>
            </c:strRef>
          </c:tx>
          <c:marker>
            <c:symbol val="none"/>
          </c:marker>
          <c:cat>
            <c:strRef>
              <c:f>'[13]Educational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'[13]Educational Perf'!$I$10:$I$19</c:f>
              <c:numCache>
                <c:formatCode>General</c:formatCode>
                <c:ptCount val="10"/>
                <c:pt idx="0">
                  <c:v>35</c:v>
                </c:pt>
                <c:pt idx="1">
                  <c:v>43</c:v>
                </c:pt>
                <c:pt idx="2">
                  <c:v>38</c:v>
                </c:pt>
                <c:pt idx="3">
                  <c:v>38</c:v>
                </c:pt>
                <c:pt idx="4">
                  <c:v>29</c:v>
                </c:pt>
                <c:pt idx="5">
                  <c:v>32</c:v>
                </c:pt>
                <c:pt idx="6">
                  <c:v>35</c:v>
                </c:pt>
                <c:pt idx="7">
                  <c:v>34</c:v>
                </c:pt>
                <c:pt idx="8">
                  <c:v>48</c:v>
                </c:pt>
                <c:pt idx="9">
                  <c:v>36.888888888888886</c:v>
                </c:pt>
              </c:numCache>
            </c:numRef>
          </c:val>
          <c:smooth val="0"/>
          <c:extLst>
            <c:ext xmlns:c16="http://schemas.microsoft.com/office/drawing/2014/chart" uri="{C3380CC4-5D6E-409C-BE32-E72D297353CC}">
              <c16:uniqueId val="{00000004-159C-43B9-BC54-E59578EA422B}"/>
            </c:ext>
          </c:extLst>
        </c:ser>
        <c:dLbls>
          <c:showLegendKey val="0"/>
          <c:showVal val="0"/>
          <c:showCatName val="0"/>
          <c:showSerName val="0"/>
          <c:showPercent val="0"/>
          <c:showBubbleSize val="0"/>
        </c:dLbls>
        <c:marker val="1"/>
        <c:smooth val="0"/>
        <c:axId val="720895040"/>
        <c:axId val="720891120"/>
      </c:lineChart>
      <c:catAx>
        <c:axId val="720895040"/>
        <c:scaling>
          <c:orientation val="minMax"/>
        </c:scaling>
        <c:delete val="0"/>
        <c:axPos val="b"/>
        <c:numFmt formatCode="General" sourceLinked="1"/>
        <c:majorTickMark val="out"/>
        <c:minorTickMark val="none"/>
        <c:tickLblPos val="nextTo"/>
        <c:txPr>
          <a:bodyPr rot="-5400000" vert="horz"/>
          <a:lstStyle/>
          <a:p>
            <a:pPr>
              <a:defRPr lang="en-ZA" sz="800">
                <a:latin typeface="Arial" pitchFamily="34" charset="0"/>
                <a:cs typeface="Arial" pitchFamily="34" charset="0"/>
              </a:defRPr>
            </a:pPr>
            <a:endParaRPr lang="en-US"/>
          </a:p>
        </c:txPr>
        <c:crossAx val="720891120"/>
        <c:crosses val="autoZero"/>
        <c:auto val="1"/>
        <c:lblAlgn val="ctr"/>
        <c:lblOffset val="100"/>
        <c:noMultiLvlLbl val="0"/>
      </c:catAx>
      <c:valAx>
        <c:axId val="720891120"/>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895040"/>
        <c:crosses val="autoZero"/>
        <c:crossBetween val="between"/>
      </c:valAx>
    </c:plotArea>
    <c:legend>
      <c:legendPos val="r"/>
      <c:legendEntry>
        <c:idx val="0"/>
        <c:delete val="1"/>
      </c:legendEntry>
      <c:layout>
        <c:manualLayout>
          <c:xMode val="edge"/>
          <c:yMode val="edge"/>
          <c:x val="0.63023381053458682"/>
          <c:y val="0.38121611236422986"/>
          <c:w val="0.34418673047644732"/>
          <c:h val="0.32182374703212158"/>
        </c:manualLayout>
      </c:layout>
      <c:overlay val="0"/>
      <c:txPr>
        <a:bodyPr/>
        <a:lstStyle/>
        <a:p>
          <a:pPr>
            <a:defRPr lang="en-ZA" sz="800"/>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'[12]SET Uni'!$D$52</c:f>
              <c:strCache>
                <c:ptCount val="1"/>
                <c:pt idx="0">
                  <c:v>Total enrolment</c:v>
                </c:pt>
              </c:strCache>
            </c:strRef>
          </c:tx>
          <c:spPr>
            <a:ln w="12700">
              <a:solidFill>
                <a:srgbClr val="00008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7B3C-42B7-B1D8-284703D6B6D4}"/>
            </c:ext>
          </c:extLst>
        </c:ser>
        <c:ser>
          <c:idx val="4"/>
          <c:order val="1"/>
          <c:tx>
            <c:strRef>
              <c:f>'[12]SET Uni'!$D$56</c:f>
              <c:strCache>
                <c:ptCount val="1"/>
                <c:pt idx="0">
                  <c:v>Total Graduates</c:v>
                </c:pt>
              </c:strCache>
            </c:strRef>
          </c:tx>
          <c:spPr>
            <a:ln w="12700">
              <a:solidFill>
                <a:srgbClr val="80008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7B3C-42B7-B1D8-284703D6B6D4}"/>
            </c:ext>
          </c:extLst>
        </c:ser>
        <c:ser>
          <c:idx val="5"/>
          <c:order val="2"/>
          <c:tx>
            <c:strRef>
              <c:f>'[12]SET Uni'!$D$57</c:f>
              <c:strCache>
                <c:ptCount val="1"/>
                <c:pt idx="0">
                  <c:v>SET Graduates</c:v>
                </c:pt>
              </c:strCache>
            </c:strRef>
          </c:tx>
          <c:spPr>
            <a:ln w="12700">
              <a:solidFill>
                <a:srgbClr val="80000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7B3C-42B7-B1D8-284703D6B6D4}"/>
            </c:ext>
          </c:extLst>
        </c:ser>
        <c:dLbls>
          <c:showLegendKey val="0"/>
          <c:showVal val="0"/>
          <c:showCatName val="0"/>
          <c:showSerName val="0"/>
          <c:showPercent val="0"/>
          <c:showBubbleSize val="0"/>
        </c:dLbls>
        <c:smooth val="0"/>
        <c:axId val="720914640"/>
        <c:axId val="720886808"/>
      </c:lineChart>
      <c:catAx>
        <c:axId val="72091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86808"/>
        <c:crosses val="autoZero"/>
        <c:auto val="1"/>
        <c:lblAlgn val="ctr"/>
        <c:lblOffset val="100"/>
        <c:tickLblSkip val="1"/>
        <c:tickMarkSkip val="1"/>
        <c:noMultiLvlLbl val="0"/>
      </c:catAx>
      <c:valAx>
        <c:axId val="720886808"/>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146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'[12]SET Uni'!$D$52</c:f>
              <c:strCache>
                <c:ptCount val="1"/>
                <c:pt idx="0">
                  <c:v>Total enrolment</c:v>
                </c:pt>
              </c:strCache>
            </c:strRef>
          </c:tx>
          <c:spPr>
            <a:ln w="12700">
              <a:solidFill>
                <a:srgbClr val="00008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8FB2-4033-A092-C9C6A98EBE7C}"/>
            </c:ext>
          </c:extLst>
        </c:ser>
        <c:ser>
          <c:idx val="4"/>
          <c:order val="1"/>
          <c:tx>
            <c:strRef>
              <c:f>'[12]SET Uni'!$D$56</c:f>
              <c:strCache>
                <c:ptCount val="1"/>
                <c:pt idx="0">
                  <c:v>Total Graduates</c:v>
                </c:pt>
              </c:strCache>
            </c:strRef>
          </c:tx>
          <c:spPr>
            <a:ln w="12700">
              <a:solidFill>
                <a:srgbClr val="80008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8FB2-4033-A092-C9C6A98EBE7C}"/>
            </c:ext>
          </c:extLst>
        </c:ser>
        <c:ser>
          <c:idx val="5"/>
          <c:order val="2"/>
          <c:tx>
            <c:strRef>
              <c:f>'[12]SET Uni'!$D$57</c:f>
              <c:strCache>
                <c:ptCount val="1"/>
                <c:pt idx="0">
                  <c:v>SET Graduates</c:v>
                </c:pt>
              </c:strCache>
            </c:strRef>
          </c:tx>
          <c:spPr>
            <a:ln w="12700">
              <a:solidFill>
                <a:srgbClr val="800000"/>
              </a:solidFill>
              <a:prstDash val="solid"/>
            </a:ln>
          </c:spPr>
          <c:marker>
            <c:symbol val="none"/>
          </c:marker>
          <c:cat>
            <c:numRef>
              <c:f>'[12]SET Uni'!$E$51:$K$51</c:f>
              <c:numCache>
                <c:formatCode>General</c:formatCode>
                <c:ptCount val="7"/>
                <c:pt idx="0">
                  <c:v>2000</c:v>
                </c:pt>
                <c:pt idx="1">
                  <c:v>2001</c:v>
                </c:pt>
                <c:pt idx="2">
                  <c:v>2002</c:v>
                </c:pt>
                <c:pt idx="3">
                  <c:v>2003</c:v>
                </c:pt>
                <c:pt idx="4">
                  <c:v>2004</c:v>
                </c:pt>
                <c:pt idx="5">
                  <c:v>2005</c:v>
                </c:pt>
                <c:pt idx="6">
                  <c:v>2006</c:v>
                </c:pt>
              </c:numCache>
            </c:numRef>
          </c:cat>
          <c:val>
            <c:numRef>
              <c:f>'[12]SET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8FB2-4033-A092-C9C6A98EBE7C}"/>
            </c:ext>
          </c:extLst>
        </c:ser>
        <c:dLbls>
          <c:showLegendKey val="0"/>
          <c:showVal val="0"/>
          <c:showCatName val="0"/>
          <c:showSerName val="0"/>
          <c:showPercent val="0"/>
          <c:showBubbleSize val="0"/>
        </c:dLbls>
        <c:smooth val="0"/>
        <c:axId val="720896608"/>
        <c:axId val="720897000"/>
      </c:lineChart>
      <c:catAx>
        <c:axId val="72089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7000"/>
        <c:crosses val="autoZero"/>
        <c:auto val="1"/>
        <c:lblAlgn val="ctr"/>
        <c:lblOffset val="100"/>
        <c:tickLblSkip val="1"/>
        <c:tickMarkSkip val="1"/>
        <c:noMultiLvlLbl val="0"/>
      </c:catAx>
      <c:valAx>
        <c:axId val="720897000"/>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66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GROSS FIXED CAPITAL FORMATION AS PERCENTAGE OF GDP</a:t>
            </a:r>
          </a:p>
        </c:rich>
      </c:tx>
      <c:layout>
        <c:manualLayout>
          <c:xMode val="edge"/>
          <c:yMode val="edge"/>
          <c:x val="3.771668348064066E-2"/>
          <c:y val="3.5483799819140252E-2"/>
        </c:manualLayout>
      </c:layout>
      <c:overlay val="0"/>
      <c:spPr>
        <a:noFill/>
        <a:ln w="25400">
          <a:noFill/>
        </a:ln>
      </c:spPr>
    </c:title>
    <c:autoTitleDeleted val="0"/>
    <c:plotArea>
      <c:layout>
        <c:manualLayout>
          <c:layoutTarget val="inner"/>
          <c:xMode val="edge"/>
          <c:yMode val="edge"/>
          <c:x val="5.6407143518475172E-2"/>
          <c:y val="0.17803581707609406"/>
          <c:w val="0.91743210594268809"/>
          <c:h val="0.59677513352938938"/>
        </c:manualLayout>
      </c:layout>
      <c:lineChart>
        <c:grouping val="standard"/>
        <c:varyColors val="0"/>
        <c:ser>
          <c:idx val="0"/>
          <c:order val="0"/>
          <c:spPr>
            <a:ln w="25400">
              <a:solidFill>
                <a:srgbClr val="FF6600"/>
              </a:solidFill>
              <a:prstDash val="solid"/>
            </a:ln>
          </c:spPr>
          <c:marker>
            <c:symbol val="none"/>
          </c:marker>
          <c:cat>
            <c:numRef>
              <c:f>'GFCF  '!$E$7:$AB$7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'GFCF  '!$E$8:$AB$8</c:f>
              <c:numCache>
                <c:formatCode>0.0</c:formatCode>
                <c:ptCount val="24"/>
                <c:pt idx="0">
                  <c:v>16.100000000000001</c:v>
                </c:pt>
                <c:pt idx="1">
                  <c:v>17</c:v>
                </c:pt>
                <c:pt idx="2">
                  <c:v>17.2</c:v>
                </c:pt>
                <c:pt idx="3">
                  <c:v>17.600000000000001</c:v>
                </c:pt>
                <c:pt idx="4">
                  <c:v>18.100000000000001</c:v>
                </c:pt>
                <c:pt idx="5">
                  <c:v>16.100000000000001</c:v>
                </c:pt>
                <c:pt idx="6">
                  <c:v>15.6</c:v>
                </c:pt>
                <c:pt idx="7">
                  <c:v>15.5</c:v>
                </c:pt>
                <c:pt idx="8">
                  <c:v>15.2</c:v>
                </c:pt>
                <c:pt idx="9">
                  <c:v>16</c:v>
                </c:pt>
                <c:pt idx="10">
                  <c:v>16.5</c:v>
                </c:pt>
                <c:pt idx="11">
                  <c:v>17.2</c:v>
                </c:pt>
                <c:pt idx="12">
                  <c:v>18.899999999999999</c:v>
                </c:pt>
                <c:pt idx="13">
                  <c:v>20.6</c:v>
                </c:pt>
                <c:pt idx="14">
                  <c:v>23.5</c:v>
                </c:pt>
                <c:pt idx="15">
                  <c:v>21.5</c:v>
                </c:pt>
                <c:pt idx="16">
                  <c:v>19.3</c:v>
                </c:pt>
                <c:pt idx="17">
                  <c:v>19.100000000000001</c:v>
                </c:pt>
                <c:pt idx="18">
                  <c:v>19.2</c:v>
                </c:pt>
                <c:pt idx="19">
                  <c:v>20.399999999999999</c:v>
                </c:pt>
                <c:pt idx="20">
                  <c:v>20.399999999999999</c:v>
                </c:pt>
                <c:pt idx="21">
                  <c:v>20.399999999999999</c:v>
                </c:pt>
                <c:pt idx="22">
                  <c:v>19.5</c:v>
                </c:pt>
                <c:pt idx="23">
                  <c:v>18.7</c:v>
                </c:pt>
              </c:numCache>
            </c:numRef>
          </c:val>
          <c:smooth val="0"/>
          <c:extLst>
            <c:ext xmlns:c15="http://schemas.microsoft.com/office/drawing/2012/chart" uri="{02D57815-91ED-43cb-92C2-25804820EDAC}">
              <c15:filteredSeriesTitle>
                <c15:tx>
                  <c:strRef>
                    <c:extLst>
                      <c:ext uri="{02D57815-91ED-43cb-92C2-25804820EDAC}">
                        <c15:formulaRef>
                          <c15:sqref>'GFCF  '!#REF!</c15:sqref>
                        </c15:formulaRef>
                      </c:ext>
                    </c:extLst>
                    <c:strCache>
                      <c:ptCount val="1"/>
                      <c:pt idx="0">
                        <c:v>#REF!</c:v>
                      </c:pt>
                    </c:strCache>
                  </c:strRef>
                </c15:tx>
              </c15:filteredSeriesTitle>
            </c:ext>
            <c:ext xmlns:c16="http://schemas.microsoft.com/office/drawing/2014/chart" uri="{C3380CC4-5D6E-409C-BE32-E72D297353CC}">
              <c16:uniqueId val="{00000000-4981-4052-BE2A-692228D687A6}"/>
            </c:ext>
          </c:extLst>
        </c:ser>
        <c:dLbls>
          <c:showLegendKey val="0"/>
          <c:showVal val="0"/>
          <c:showCatName val="0"/>
          <c:showSerName val="0"/>
          <c:showPercent val="0"/>
          <c:showBubbleSize val="0"/>
        </c:dLbls>
        <c:smooth val="0"/>
        <c:axId val="399078888"/>
        <c:axId val="399072616"/>
      </c:lineChart>
      <c:catAx>
        <c:axId val="39907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2616"/>
        <c:crosses val="autoZero"/>
        <c:auto val="1"/>
        <c:lblAlgn val="ctr"/>
        <c:lblOffset val="100"/>
        <c:tickLblSkip val="1"/>
        <c:tickMarkSkip val="1"/>
        <c:noMultiLvlLbl val="0"/>
      </c:catAx>
      <c:valAx>
        <c:axId val="399072616"/>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8888"/>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Membership of voluntary organizations</a:t>
            </a:r>
          </a:p>
        </c:rich>
      </c:tx>
      <c:layout>
        <c:manualLayout>
          <c:xMode val="edge"/>
          <c:yMode val="edge"/>
          <c:x val="0.39130458807066393"/>
          <c:y val="1.6778523489933066E-2"/>
        </c:manualLayout>
      </c:layout>
      <c:overlay val="0"/>
      <c:spPr>
        <a:noFill/>
        <a:ln w="25400">
          <a:noFill/>
        </a:ln>
      </c:spPr>
    </c:title>
    <c:autoTitleDeleted val="0"/>
    <c:plotArea>
      <c:layout/>
      <c:barChart>
        <c:barDir val="col"/>
        <c:grouping val="clustered"/>
        <c:varyColors val="0"/>
        <c:ser>
          <c:idx val="0"/>
          <c:order val="0"/>
          <c:tx>
            <c:strRef>
              <c:f>'[15]Civil society'!$C$10</c:f>
              <c:strCache>
                <c:ptCount val="1"/>
                <c:pt idx="0">
                  <c:v>Church or religious</c:v>
                </c:pt>
              </c:strCache>
            </c:strRef>
          </c:tx>
          <c:spPr>
            <a:solidFill>
              <a:srgbClr val="9999FF"/>
            </a:solidFill>
            <a:ln w="12700">
              <a:solidFill>
                <a:srgbClr val="000000"/>
              </a:solidFill>
              <a:prstDash val="solid"/>
            </a:ln>
          </c:spPr>
          <c:invertIfNegative val="0"/>
          <c:cat>
            <c:multiLvlStrRef>
              <c:f>'[15]Civil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'[15]Civil society'!$D$10:$O$10</c:f>
              <c:numCache>
                <c:formatCode>General</c:formatCode>
                <c:ptCount val="12"/>
                <c:pt idx="0">
                  <c:v>0.58399999999999996</c:v>
                </c:pt>
                <c:pt idx="1">
                  <c:v>0.52400000000000002</c:v>
                </c:pt>
                <c:pt idx="3">
                  <c:v>0.28100000000000003</c:v>
                </c:pt>
                <c:pt idx="6">
                  <c:v>0.155</c:v>
                </c:pt>
                <c:pt idx="7">
                  <c:v>0.43</c:v>
                </c:pt>
                <c:pt idx="10">
                  <c:v>5.7000000000000002E-2</c:v>
                </c:pt>
              </c:numCache>
            </c:numRef>
          </c:val>
          <c:extLst>
            <c:ext xmlns:c16="http://schemas.microsoft.com/office/drawing/2014/chart" uri="{C3380CC4-5D6E-409C-BE32-E72D297353CC}">
              <c16:uniqueId val="{00000000-057E-4C78-B69F-D2C3DDC6B073}"/>
            </c:ext>
          </c:extLst>
        </c:ser>
        <c:ser>
          <c:idx val="1"/>
          <c:order val="1"/>
          <c:tx>
            <c:strRef>
              <c:f>'[15]Civil society'!$C$13</c:f>
              <c:strCache>
                <c:ptCount val="1"/>
                <c:pt idx="0">
                  <c:v>Labour union</c:v>
                </c:pt>
              </c:strCache>
            </c:strRef>
          </c:tx>
          <c:spPr>
            <a:solidFill>
              <a:srgbClr val="993366"/>
            </a:solidFill>
            <a:ln w="12700">
              <a:solidFill>
                <a:srgbClr val="000000"/>
              </a:solidFill>
              <a:prstDash val="solid"/>
            </a:ln>
          </c:spPr>
          <c:invertIfNegative val="0"/>
          <c:cat>
            <c:multiLvlStrRef>
              <c:f>'[15]Civil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'[15]Civil society'!$D$13:$O$13</c:f>
              <c:numCache>
                <c:formatCode>General</c:formatCode>
                <c:ptCount val="12"/>
                <c:pt idx="0">
                  <c:v>7.4999999999999997E-2</c:v>
                </c:pt>
                <c:pt idx="1">
                  <c:v>9.2999999999999999E-2</c:v>
                </c:pt>
                <c:pt idx="3">
                  <c:v>5.6000000000000001E-2</c:v>
                </c:pt>
                <c:pt idx="4">
                  <c:v>0.03</c:v>
                </c:pt>
                <c:pt idx="6">
                  <c:v>1.9E-2</c:v>
                </c:pt>
                <c:pt idx="7">
                  <c:v>4.7E-2</c:v>
                </c:pt>
                <c:pt idx="9">
                  <c:v>2.1000000000000001E-2</c:v>
                </c:pt>
                <c:pt idx="10">
                  <c:v>0.10299999999999999</c:v>
                </c:pt>
              </c:numCache>
            </c:numRef>
          </c:val>
          <c:extLst>
            <c:ext xmlns:c16="http://schemas.microsoft.com/office/drawing/2014/chart" uri="{C3380CC4-5D6E-409C-BE32-E72D297353CC}">
              <c16:uniqueId val="{00000001-057E-4C78-B69F-D2C3DDC6B073}"/>
            </c:ext>
          </c:extLst>
        </c:ser>
        <c:ser>
          <c:idx val="2"/>
          <c:order val="2"/>
          <c:tx>
            <c:strRef>
              <c:f>'[15]Civil society'!$C$14</c:f>
              <c:strCache>
                <c:ptCount val="1"/>
                <c:pt idx="0">
                  <c:v>Political party </c:v>
                </c:pt>
              </c:strCache>
            </c:strRef>
          </c:tx>
          <c:spPr>
            <a:solidFill>
              <a:srgbClr val="FFFFCC"/>
            </a:solidFill>
            <a:ln w="12700">
              <a:solidFill>
                <a:srgbClr val="000000"/>
              </a:solidFill>
              <a:prstDash val="solid"/>
            </a:ln>
          </c:spPr>
          <c:invertIfNegative val="0"/>
          <c:cat>
            <c:multiLvlStrRef>
              <c:f>'[15]Civil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'[15]Civil society'!$D$14:$O$14</c:f>
              <c:numCache>
                <c:formatCode>General</c:formatCode>
                <c:ptCount val="12"/>
                <c:pt idx="0">
                  <c:v>0.114</c:v>
                </c:pt>
                <c:pt idx="1">
                  <c:v>0.115</c:v>
                </c:pt>
                <c:pt idx="3">
                  <c:v>2.8000000000000001E-2</c:v>
                </c:pt>
                <c:pt idx="4">
                  <c:v>2.4E-2</c:v>
                </c:pt>
                <c:pt idx="6">
                  <c:v>2.5000000000000001E-2</c:v>
                </c:pt>
                <c:pt idx="7">
                  <c:v>0.02</c:v>
                </c:pt>
                <c:pt idx="9">
                  <c:v>5.0000000000000001E-3</c:v>
                </c:pt>
                <c:pt idx="10">
                  <c:v>7.0000000000000001E-3</c:v>
                </c:pt>
              </c:numCache>
            </c:numRef>
          </c:val>
          <c:extLst>
            <c:ext xmlns:c16="http://schemas.microsoft.com/office/drawing/2014/chart" uri="{C3380CC4-5D6E-409C-BE32-E72D297353CC}">
              <c16:uniqueId val="{00000002-057E-4C78-B69F-D2C3DDC6B073}"/>
            </c:ext>
          </c:extLst>
        </c:ser>
        <c:dLbls>
          <c:showLegendKey val="0"/>
          <c:showVal val="0"/>
          <c:showCatName val="0"/>
          <c:showSerName val="0"/>
          <c:showPercent val="0"/>
          <c:showBubbleSize val="0"/>
        </c:dLbls>
        <c:gapWidth val="150"/>
        <c:axId val="73782112"/>
        <c:axId val="73782504"/>
      </c:barChart>
      <c:catAx>
        <c:axId val="7378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2504"/>
        <c:crosses val="autoZero"/>
        <c:auto val="1"/>
        <c:lblAlgn val="ctr"/>
        <c:lblOffset val="100"/>
        <c:tickLblSkip val="1"/>
        <c:tickMarkSkip val="1"/>
        <c:noMultiLvlLbl val="0"/>
      </c:catAx>
      <c:valAx>
        <c:axId val="73782504"/>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2883295194508012E-2"/>
              <c:y val="0.4060409730662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2112"/>
        <c:crosses val="autoZero"/>
        <c:crossBetween val="between"/>
        <c:majorUnit val="0.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4"/>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SA MEMBERSHIP OF VOLUNTARY ORGANISATIONS</a:t>
            </a:r>
          </a:p>
        </c:rich>
      </c:tx>
      <c:layout>
        <c:manualLayout>
          <c:xMode val="edge"/>
          <c:yMode val="edge"/>
          <c:x val="3.9867109634551492E-2"/>
          <c:y val="1.6835016835016835E-2"/>
        </c:manualLayout>
      </c:layout>
      <c:overlay val="0"/>
      <c:spPr>
        <a:noFill/>
        <a:ln w="25400">
          <a:noFill/>
        </a:ln>
      </c:spPr>
    </c:title>
    <c:autoTitleDeleted val="0"/>
    <c:plotArea>
      <c:layout>
        <c:manualLayout>
          <c:layoutTarget val="inner"/>
          <c:xMode val="edge"/>
          <c:yMode val="edge"/>
          <c:x val="6.2370691809656709E-2"/>
          <c:y val="0.11046209769926753"/>
          <c:w val="0.92877101497174885"/>
          <c:h val="0.69795670488280293"/>
        </c:manualLayout>
      </c:layout>
      <c:barChart>
        <c:barDir val="col"/>
        <c:grouping val="clustered"/>
        <c:varyColors val="0"/>
        <c:ser>
          <c:idx val="0"/>
          <c:order val="0"/>
          <c:tx>
            <c:strRef>
              <c:f>'Civil Society'!$E$8</c:f>
              <c:strCache>
                <c:ptCount val="1"/>
                <c:pt idx="0">
                  <c:v>1994-1998</c:v>
                </c:pt>
              </c:strCache>
            </c:strRef>
          </c:tx>
          <c:spPr>
            <a:solidFill>
              <a:srgbClr val="FCD5B5"/>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Society'!$E$9:$E$17</c:f>
              <c:numCache>
                <c:formatCode>0.0%</c:formatCode>
                <c:ptCount val="9"/>
                <c:pt idx="0">
                  <c:v>0.57999999999999996</c:v>
                </c:pt>
                <c:pt idx="1">
                  <c:v>0.2</c:v>
                </c:pt>
                <c:pt idx="2">
                  <c:v>0.15</c:v>
                </c:pt>
                <c:pt idx="3">
                  <c:v>0.08</c:v>
                </c:pt>
                <c:pt idx="4">
                  <c:v>0.12</c:v>
                </c:pt>
                <c:pt idx="5">
                  <c:v>7.0000000000000007E-2</c:v>
                </c:pt>
                <c:pt idx="6">
                  <c:v>7.0000000000000007E-2</c:v>
                </c:pt>
                <c:pt idx="7">
                  <c:v>0.08</c:v>
                </c:pt>
                <c:pt idx="8">
                  <c:v>0.06</c:v>
                </c:pt>
              </c:numCache>
            </c:numRef>
          </c:val>
          <c:extLst>
            <c:ext xmlns:c16="http://schemas.microsoft.com/office/drawing/2014/chart" uri="{C3380CC4-5D6E-409C-BE32-E72D297353CC}">
              <c16:uniqueId val="{00000000-2E4D-4742-97D4-0BDBEF763B64}"/>
            </c:ext>
          </c:extLst>
        </c:ser>
        <c:ser>
          <c:idx val="1"/>
          <c:order val="1"/>
          <c:tx>
            <c:strRef>
              <c:f>'Civil Society'!$F$8</c:f>
              <c:strCache>
                <c:ptCount val="1"/>
                <c:pt idx="0">
                  <c:v>2005-2009</c:v>
                </c:pt>
              </c:strCache>
            </c:strRef>
          </c:tx>
          <c:spPr>
            <a:solidFill>
              <a:srgbClr val="F8A662"/>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Society'!$F$9:$F$17</c:f>
              <c:numCache>
                <c:formatCode>0.0%</c:formatCode>
                <c:ptCount val="9"/>
                <c:pt idx="0">
                  <c:v>0.51</c:v>
                </c:pt>
                <c:pt idx="1">
                  <c:v>0.14000000000000001</c:v>
                </c:pt>
                <c:pt idx="2">
                  <c:v>0.11</c:v>
                </c:pt>
                <c:pt idx="3">
                  <c:v>0.05</c:v>
                </c:pt>
                <c:pt idx="4">
                  <c:v>0.17</c:v>
                </c:pt>
                <c:pt idx="5">
                  <c:v>0.04</c:v>
                </c:pt>
                <c:pt idx="6">
                  <c:v>0.04</c:v>
                </c:pt>
                <c:pt idx="7">
                  <c:v>0.05</c:v>
                </c:pt>
                <c:pt idx="8">
                  <c:v>0</c:v>
                </c:pt>
              </c:numCache>
            </c:numRef>
          </c:val>
          <c:extLst>
            <c:ext xmlns:c16="http://schemas.microsoft.com/office/drawing/2014/chart" uri="{C3380CC4-5D6E-409C-BE32-E72D297353CC}">
              <c16:uniqueId val="{00000001-2E4D-4742-97D4-0BDBEF763B64}"/>
            </c:ext>
          </c:extLst>
        </c:ser>
        <c:ser>
          <c:idx val="2"/>
          <c:order val="2"/>
          <c:tx>
            <c:strRef>
              <c:f>'Civil Society'!$G$8</c:f>
              <c:strCache>
                <c:ptCount val="1"/>
                <c:pt idx="0">
                  <c:v>2010-2014</c:v>
                </c:pt>
              </c:strCache>
            </c:strRef>
          </c:tx>
          <c:spPr>
            <a:solidFill>
              <a:srgbClr val="E46C0A"/>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Society'!$G$9:$G$17</c:f>
              <c:numCache>
                <c:formatCode>0.0%</c:formatCode>
                <c:ptCount val="9"/>
                <c:pt idx="0">
                  <c:v>0.56000000000000005</c:v>
                </c:pt>
                <c:pt idx="1">
                  <c:v>0.16</c:v>
                </c:pt>
                <c:pt idx="2">
                  <c:v>0.1</c:v>
                </c:pt>
                <c:pt idx="3">
                  <c:v>0.09</c:v>
                </c:pt>
                <c:pt idx="4">
                  <c:v>0.12</c:v>
                </c:pt>
                <c:pt idx="5">
                  <c:v>7.0000000000000007E-2</c:v>
                </c:pt>
                <c:pt idx="6">
                  <c:v>7.0000000000000007E-2</c:v>
                </c:pt>
                <c:pt idx="7">
                  <c:v>0.06</c:v>
                </c:pt>
                <c:pt idx="8">
                  <c:v>7.0000000000000007E-2</c:v>
                </c:pt>
              </c:numCache>
            </c:numRef>
          </c:val>
          <c:extLst>
            <c:ext xmlns:c16="http://schemas.microsoft.com/office/drawing/2014/chart" uri="{C3380CC4-5D6E-409C-BE32-E72D297353CC}">
              <c16:uniqueId val="{00000002-2E4D-4742-97D4-0BDBEF763B64}"/>
            </c:ext>
          </c:extLst>
        </c:ser>
        <c:ser>
          <c:idx val="3"/>
          <c:order val="3"/>
          <c:tx>
            <c:strRef>
              <c:f>'Civil Society'!$H$8</c:f>
              <c:strCache>
                <c:ptCount val="1"/>
                <c:pt idx="0">
                  <c:v>Total</c:v>
                </c:pt>
              </c:strCache>
            </c:strRef>
          </c:tx>
          <c:spPr>
            <a:solidFill>
              <a:srgbClr val="984807"/>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Society'!$H$9:$H$17</c:f>
              <c:numCache>
                <c:formatCode>0.0%</c:formatCode>
                <c:ptCount val="9"/>
                <c:pt idx="0">
                  <c:v>0.5</c:v>
                </c:pt>
                <c:pt idx="1">
                  <c:v>0.16</c:v>
                </c:pt>
                <c:pt idx="2">
                  <c:v>0.11</c:v>
                </c:pt>
                <c:pt idx="3">
                  <c:v>0.06</c:v>
                </c:pt>
                <c:pt idx="4">
                  <c:v>0.09</c:v>
                </c:pt>
                <c:pt idx="5">
                  <c:v>0.05</c:v>
                </c:pt>
                <c:pt idx="6">
                  <c:v>0.06</c:v>
                </c:pt>
                <c:pt idx="7">
                  <c:v>7.0000000000000007E-2</c:v>
                </c:pt>
                <c:pt idx="8">
                  <c:v>0.05</c:v>
                </c:pt>
              </c:numCache>
            </c:numRef>
          </c:val>
          <c:extLst>
            <c:ext xmlns:c16="http://schemas.microsoft.com/office/drawing/2014/chart" uri="{C3380CC4-5D6E-409C-BE32-E72D297353CC}">
              <c16:uniqueId val="{00000003-2E4D-4742-97D4-0BDBEF763B64}"/>
            </c:ext>
          </c:extLst>
        </c:ser>
        <c:dLbls>
          <c:showLegendKey val="0"/>
          <c:showVal val="0"/>
          <c:showCatName val="0"/>
          <c:showSerName val="0"/>
          <c:showPercent val="0"/>
          <c:showBubbleSize val="0"/>
        </c:dLbls>
        <c:gapWidth val="150"/>
        <c:axId val="73783288"/>
        <c:axId val="73780544"/>
      </c:barChart>
      <c:catAx>
        <c:axId val="73783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0544"/>
        <c:crosses val="autoZero"/>
        <c:auto val="1"/>
        <c:lblAlgn val="ctr"/>
        <c:lblOffset val="100"/>
        <c:tickLblSkip val="1"/>
        <c:tickMarkSkip val="1"/>
        <c:noMultiLvlLbl val="0"/>
      </c:catAx>
      <c:valAx>
        <c:axId val="73780544"/>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6611295681063183E-2"/>
              <c:y val="0.44781286177611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783288"/>
        <c:crosses val="autoZero"/>
        <c:crossBetween val="between"/>
      </c:valAx>
      <c:spPr>
        <a:solidFill>
          <a:srgbClr val="FFFFFF"/>
        </a:solidFill>
        <a:ln w="3175">
          <a:solidFill>
            <a:srgbClr val="000000"/>
          </a:solidFill>
          <a:prstDash val="solid"/>
        </a:ln>
      </c:spPr>
    </c:plotArea>
    <c:legend>
      <c:legendPos val="b"/>
      <c:layout>
        <c:manualLayout>
          <c:xMode val="edge"/>
          <c:yMode val="edge"/>
          <c:x val="0.38107257869362077"/>
          <c:y val="0.91538488711791244"/>
          <c:w val="0.29152543396135289"/>
          <c:h val="5.7697212478319077E-2"/>
        </c:manualLayout>
      </c:layout>
      <c:overlay val="1"/>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452768286047"/>
          <c:y val="4.8401137357830505E-2"/>
          <c:w val="0.87248845515772788"/>
          <c:h val="0.69570902595508965"/>
        </c:manualLayout>
      </c:layout>
      <c:barChart>
        <c:barDir val="col"/>
        <c:grouping val="clustered"/>
        <c:varyColors val="0"/>
        <c:ser>
          <c:idx val="0"/>
          <c:order val="0"/>
          <c:spPr>
            <a:solidFill>
              <a:srgbClr val="FF66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0-0123-4DB9-B65A-EC3BFD0C8A1F}"/>
            </c:ext>
          </c:extLst>
        </c:ser>
        <c:ser>
          <c:idx val="1"/>
          <c:order val="1"/>
          <c:spPr>
            <a:solidFill>
              <a:srgbClr val="9933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1-0123-4DB9-B65A-EC3BFD0C8A1F}"/>
            </c:ext>
          </c:extLst>
        </c:ser>
        <c:ser>
          <c:idx val="2"/>
          <c:order val="2"/>
          <c:spPr>
            <a:solidFill>
              <a:srgbClr val="FFCC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2-0123-4DB9-B65A-EC3BFD0C8A1F}"/>
            </c:ext>
          </c:extLst>
        </c:ser>
        <c:dLbls>
          <c:showLegendKey val="0"/>
          <c:showVal val="0"/>
          <c:showCatName val="0"/>
          <c:showSerName val="0"/>
          <c:showPercent val="0"/>
          <c:showBubbleSize val="0"/>
        </c:dLbls>
        <c:gapWidth val="150"/>
        <c:axId val="725718616"/>
        <c:axId val="725719008"/>
      </c:barChart>
      <c:catAx>
        <c:axId val="725718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25719008"/>
        <c:crosses val="autoZero"/>
        <c:auto val="1"/>
        <c:lblAlgn val="ctr"/>
        <c:lblOffset val="100"/>
        <c:tickLblSkip val="1"/>
        <c:tickMarkSkip val="1"/>
        <c:noMultiLvlLbl val="0"/>
      </c:catAx>
      <c:valAx>
        <c:axId val="725719008"/>
        <c:scaling>
          <c:orientation val="minMax"/>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1.6611295681063183E-2"/>
              <c:y val="0.4478128617761194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725718616"/>
        <c:crosses val="autoZero"/>
        <c:crossBetween val="between"/>
      </c:valAx>
      <c:spPr>
        <a:solidFill>
          <a:srgbClr val="FFFFFF"/>
        </a:solidFill>
        <a:ln w="3175">
          <a:solidFill>
            <a:srgbClr val="000000"/>
          </a:solidFill>
          <a:prstDash val="solid"/>
        </a:ln>
      </c:spPr>
    </c:plotArea>
    <c:legend>
      <c:legendPos val="r"/>
      <c:layout>
        <c:manualLayout>
          <c:xMode val="edge"/>
          <c:yMode val="edge"/>
          <c:x val="0.31174464977386712"/>
          <c:y val="0.86786490230388413"/>
          <c:w val="0.34211252042787132"/>
          <c:h val="0.13213509769612194"/>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66" r="0.75000000000000566"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CONFIDENT IN A HAPPY FUTURE OF ALL RACES</a:t>
            </a:r>
          </a:p>
        </c:rich>
      </c:tx>
      <c:layout>
        <c:manualLayout>
          <c:xMode val="edge"/>
          <c:yMode val="edge"/>
          <c:x val="5.2740422504759965E-2"/>
          <c:y val="3.7931034482759036E-2"/>
        </c:manualLayout>
      </c:layout>
      <c:overlay val="0"/>
      <c:spPr>
        <a:noFill/>
        <a:ln w="25400">
          <a:noFill/>
        </a:ln>
      </c:spPr>
    </c:title>
    <c:autoTitleDeleted val="0"/>
    <c:plotArea>
      <c:layout>
        <c:manualLayout>
          <c:layoutTarget val="inner"/>
          <c:xMode val="edge"/>
          <c:yMode val="edge"/>
          <c:x val="7.1062283772300713E-2"/>
          <c:y val="0.22686666365437116"/>
          <c:w val="0.92380968903990823"/>
          <c:h val="0.54627104537828863"/>
        </c:manualLayout>
      </c:layout>
      <c:lineChart>
        <c:grouping val="standard"/>
        <c:varyColors val="0"/>
        <c:ser>
          <c:idx val="0"/>
          <c:order val="0"/>
          <c:tx>
            <c:strRef>
              <c:f>'Confident in happy future'!$D$9</c:f>
              <c:strCache>
                <c:ptCount val="1"/>
                <c:pt idx="0">
                  <c:v>Confident in a happy future for all races</c:v>
                </c:pt>
              </c:strCache>
            </c:strRef>
          </c:tx>
          <c:spPr>
            <a:ln w="25400">
              <a:solidFill>
                <a:srgbClr val="FF6600"/>
              </a:solidFill>
              <a:prstDash val="solid"/>
            </a:ln>
          </c:spPr>
          <c:marker>
            <c:symbol val="none"/>
          </c:marker>
          <c:cat>
            <c:multiLvlStrRef>
              <c:f>'Confident in happy future'!$E$7:$AN$8</c:f>
              <c:multiLvlStrCache>
                <c:ptCount val="36"/>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pt idx="32">
                    <c:v>May</c:v>
                  </c:pt>
                  <c:pt idx="33">
                    <c:v>Nov</c:v>
                  </c:pt>
                  <c:pt idx="34">
                    <c:v>Aug/Sep 17</c:v>
                  </c:pt>
                  <c:pt idx="35">
                    <c:v>Jan/Mar 18</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pt idx="32">
                    <c:v>2016</c:v>
                  </c:pt>
                  <c:pt idx="34">
                    <c:v>2017</c:v>
                  </c:pt>
                </c:lvl>
              </c:multiLvlStrCache>
            </c:multiLvlStrRef>
          </c:cat>
          <c:val>
            <c:numRef>
              <c:f>'Confident in happy future'!$E$9:$AN$9</c:f>
              <c:numCache>
                <c:formatCode>General</c:formatCode>
                <c:ptCount val="36"/>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pt idx="32" formatCode="0">
                  <c:v>45</c:v>
                </c:pt>
                <c:pt idx="33" formatCode="0">
                  <c:v>46</c:v>
                </c:pt>
                <c:pt idx="34" formatCode="0">
                  <c:v>61</c:v>
                </c:pt>
                <c:pt idx="35" formatCode="0">
                  <c:v>68</c:v>
                </c:pt>
              </c:numCache>
            </c:numRef>
          </c:val>
          <c:smooth val="0"/>
          <c:extLst>
            <c:ext xmlns:c16="http://schemas.microsoft.com/office/drawing/2014/chart" uri="{C3380CC4-5D6E-409C-BE32-E72D297353CC}">
              <c16:uniqueId val="{00000000-1DCE-4781-ABAB-B442186396BB}"/>
            </c:ext>
          </c:extLst>
        </c:ser>
        <c:ser>
          <c:idx val="1"/>
          <c:order val="1"/>
          <c:marker>
            <c:symbol val="none"/>
          </c:marker>
          <c:cat>
            <c:multiLvlStrRef>
              <c:f>'Confident in happy future'!$E$7:$AN$8</c:f>
              <c:multiLvlStrCache>
                <c:ptCount val="36"/>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pt idx="32">
                    <c:v>May</c:v>
                  </c:pt>
                  <c:pt idx="33">
                    <c:v>Nov</c:v>
                  </c:pt>
                  <c:pt idx="34">
                    <c:v>Aug/Sep 17</c:v>
                  </c:pt>
                  <c:pt idx="35">
                    <c:v>Jan/Mar 18</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pt idx="32">
                    <c:v>2016</c:v>
                  </c:pt>
                  <c:pt idx="34">
                    <c:v>2017</c:v>
                  </c:pt>
                </c:lvl>
              </c:multiLvlStrCache>
            </c:multiLvlStrRef>
          </c:cat>
          <c:val>
            <c:numLit>
              <c:formatCode>General</c:formatCode>
              <c:ptCount val="1"/>
              <c:pt idx="0">
                <c:v>1</c:v>
              </c:pt>
            </c:numLit>
          </c:val>
          <c:smooth val="0"/>
          <c:extLst>
            <c:ext xmlns:c16="http://schemas.microsoft.com/office/drawing/2014/chart" uri="{C3380CC4-5D6E-409C-BE32-E72D297353CC}">
              <c16:uniqueId val="{00000001-1DCE-4781-ABAB-B442186396BB}"/>
            </c:ext>
          </c:extLst>
        </c:ser>
        <c:dLbls>
          <c:showLegendKey val="0"/>
          <c:showVal val="0"/>
          <c:showCatName val="0"/>
          <c:showSerName val="0"/>
          <c:showPercent val="0"/>
          <c:showBubbleSize val="0"/>
        </c:dLbls>
        <c:smooth val="0"/>
        <c:axId val="725719792"/>
        <c:axId val="725717832"/>
      </c:lineChart>
      <c:catAx>
        <c:axId val="725719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5717832"/>
        <c:crosses val="autoZero"/>
        <c:auto val="1"/>
        <c:lblAlgn val="ctr"/>
        <c:lblOffset val="100"/>
        <c:tickLblSkip val="1"/>
        <c:tickMarkSkip val="1"/>
        <c:noMultiLvlLbl val="0"/>
      </c:catAx>
      <c:valAx>
        <c:axId val="725717832"/>
        <c:scaling>
          <c:orientation val="minMax"/>
          <c:max val="90"/>
          <c:min val="4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57197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1852132941216E-2"/>
          <c:y val="7.980803870104472E-2"/>
          <c:w val="0.89853729880150524"/>
          <c:h val="0.6933298166160603"/>
        </c:manualLayout>
      </c:layout>
      <c:lineChart>
        <c:grouping val="standard"/>
        <c:varyColors val="0"/>
        <c:ser>
          <c:idx val="0"/>
          <c:order val="0"/>
          <c:tx>
            <c:strRef>
              <c:f>'Confident in happy future'!$D$9</c:f>
              <c:strCache>
                <c:ptCount val="1"/>
                <c:pt idx="0">
                  <c:v>Confident in a happy future for all races</c:v>
                </c:pt>
              </c:strCache>
            </c:strRef>
          </c:tx>
          <c:spPr>
            <a:ln w="12700">
              <a:solidFill>
                <a:srgbClr val="FF6600"/>
              </a:solidFill>
              <a:prstDash val="solid"/>
            </a:ln>
          </c:spPr>
          <c:marker>
            <c:symbol val="none"/>
          </c:marker>
          <c:cat>
            <c:multiLvlStrRef>
              <c:f>'Confident in happy future'!$E$7:$AJ$8</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'Confident in happy future'!$E$9:$AJ$9</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1487-4BFE-9F0F-DBF1F2110445}"/>
            </c:ext>
          </c:extLst>
        </c:ser>
        <c:dLbls>
          <c:showLegendKey val="0"/>
          <c:showVal val="0"/>
          <c:showCatName val="0"/>
          <c:showSerName val="0"/>
          <c:showPercent val="0"/>
          <c:showBubbleSize val="0"/>
        </c:dLbls>
        <c:smooth val="0"/>
        <c:axId val="725718224"/>
        <c:axId val="725717048"/>
      </c:lineChart>
      <c:catAx>
        <c:axId val="725718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25717048"/>
        <c:crosses val="autoZero"/>
        <c:auto val="1"/>
        <c:lblAlgn val="ctr"/>
        <c:lblOffset val="100"/>
        <c:tickLblSkip val="1"/>
        <c:tickMarkSkip val="1"/>
        <c:noMultiLvlLbl val="0"/>
      </c:catAx>
      <c:valAx>
        <c:axId val="725717048"/>
        <c:scaling>
          <c:orientation val="minMax"/>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25718224"/>
        <c:crosses val="autoZero"/>
        <c:crossBetween val="between"/>
      </c:valAx>
      <c:spPr>
        <a:no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'Confident in happy future'!$AO$42</c:f>
              <c:strCache>
                <c:ptCount val="1"/>
                <c:pt idx="0">
                  <c:v>Confident in a happy future for all races</c:v>
                </c:pt>
              </c:strCache>
            </c:strRef>
          </c:tx>
          <c:spPr>
            <a:ln w="28575" cap="rnd">
              <a:solidFill>
                <a:schemeClr val="accent1"/>
              </a:solidFill>
              <a:round/>
            </a:ln>
            <a:effectLst/>
          </c:spPr>
          <c:marker>
            <c:symbol val="none"/>
          </c:marker>
          <c:cat>
            <c:numRef>
              <c:f>'Confident in happy future'!$AP$41:$BF$41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'Confident in happy future'!$AP$42:$BF$42</c:f>
              <c:numCache>
                <c:formatCode>General</c:formatCode>
                <c:ptCount val="17"/>
                <c:pt idx="0">
                  <c:v>72</c:v>
                </c:pt>
                <c:pt idx="1">
                  <c:v>70</c:v>
                </c:pt>
                <c:pt idx="2">
                  <c:v>71</c:v>
                </c:pt>
                <c:pt idx="3">
                  <c:v>76</c:v>
                </c:pt>
                <c:pt idx="4">
                  <c:v>85</c:v>
                </c:pt>
                <c:pt idx="5">
                  <c:v>85</c:v>
                </c:pt>
                <c:pt idx="6">
                  <c:v>82</c:v>
                </c:pt>
                <c:pt idx="7">
                  <c:v>77</c:v>
                </c:pt>
                <c:pt idx="8">
                  <c:v>61</c:v>
                </c:pt>
                <c:pt idx="9">
                  <c:v>64</c:v>
                </c:pt>
                <c:pt idx="10">
                  <c:v>67</c:v>
                </c:pt>
                <c:pt idx="11">
                  <c:v>64</c:v>
                </c:pt>
                <c:pt idx="12">
                  <c:v>58</c:v>
                </c:pt>
                <c:pt idx="13">
                  <c:v>55</c:v>
                </c:pt>
                <c:pt idx="14">
                  <c:v>67</c:v>
                </c:pt>
                <c:pt idx="15">
                  <c:v>67</c:v>
                </c:pt>
                <c:pt idx="16">
                  <c:v>60</c:v>
                </c:pt>
              </c:numCache>
            </c:numRef>
          </c:val>
          <c:smooth val="0"/>
          <c:extLst>
            <c:ext xmlns:c16="http://schemas.microsoft.com/office/drawing/2014/chart" uri="{C3380CC4-5D6E-409C-BE32-E72D297353CC}">
              <c16:uniqueId val="{00000000-8C0F-4B07-B94C-D750FABA642C}"/>
            </c:ext>
          </c:extLst>
        </c:ser>
        <c:dLbls>
          <c:showLegendKey val="0"/>
          <c:showVal val="0"/>
          <c:showCatName val="0"/>
          <c:showSerName val="0"/>
          <c:showPercent val="0"/>
          <c:showBubbleSize val="0"/>
        </c:dLbls>
        <c:smooth val="0"/>
        <c:axId val="551212568"/>
        <c:axId val="551210608"/>
      </c:lineChart>
      <c:catAx>
        <c:axId val="55121256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210608"/>
        <c:crosses val="autoZero"/>
        <c:auto val="1"/>
        <c:lblAlgn val="ctr"/>
        <c:lblOffset val="100"/>
        <c:noMultiLvlLbl val="0"/>
      </c:catAx>
      <c:valAx>
        <c:axId val="551210608"/>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212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PUBLIC OPINION ON RACE RELATIONS</a:t>
            </a:r>
          </a:p>
        </c:rich>
      </c:tx>
      <c:layout>
        <c:manualLayout>
          <c:xMode val="edge"/>
          <c:yMode val="edge"/>
          <c:x val="0.33161841747871634"/>
          <c:y val="2.1663194954637255E-2"/>
        </c:manualLayout>
      </c:layout>
      <c:overlay val="0"/>
      <c:spPr>
        <a:noFill/>
        <a:ln w="25400">
          <a:noFill/>
        </a:ln>
      </c:spPr>
    </c:title>
    <c:autoTitleDeleted val="0"/>
    <c:plotArea>
      <c:layout>
        <c:manualLayout>
          <c:layoutTarget val="inner"/>
          <c:xMode val="edge"/>
          <c:yMode val="edge"/>
          <c:x val="4.0991393231695553E-2"/>
          <c:y val="0.12234658922299915"/>
          <c:w val="0.92552470833663358"/>
          <c:h val="0.75172217084280502"/>
        </c:manualLayout>
      </c:layout>
      <c:lineChart>
        <c:grouping val="standard"/>
        <c:varyColors val="0"/>
        <c:ser>
          <c:idx val="0"/>
          <c:order val="0"/>
          <c:tx>
            <c:strRef>
              <c:f>'Race relations opinion'!$D$61</c:f>
              <c:strCache>
                <c:ptCount val="1"/>
                <c:pt idx="0">
                  <c:v>Race relations improving </c:v>
                </c:pt>
              </c:strCache>
            </c:strRef>
          </c:tx>
          <c:spPr>
            <a:ln w="25400">
              <a:solidFill>
                <a:srgbClr val="FF6600"/>
              </a:solidFill>
              <a:prstDash val="solid"/>
            </a:ln>
          </c:spPr>
          <c:marker>
            <c:symbol val="none"/>
          </c:marker>
          <c:cat>
            <c:multiLvlStrRef>
              <c:f>'Race relations opinion'!$E$59:$AJ$60</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 </c:v>
                  </c:pt>
                  <c:pt idx="20">
                    <c:v>May </c:v>
                  </c:pt>
                  <c:pt idx="21">
                    <c:v>Nov</c:v>
                  </c:pt>
                  <c:pt idx="22">
                    <c:v>May</c:v>
                  </c:pt>
                  <c:pt idx="23">
                    <c:v>Nov </c:v>
                  </c:pt>
                  <c:pt idx="24">
                    <c:v>May</c:v>
                  </c:pt>
                  <c:pt idx="25">
                    <c:v>Nov </c:v>
                  </c:pt>
                  <c:pt idx="26">
                    <c:v>May</c:v>
                  </c:pt>
                  <c:pt idx="27">
                    <c:v>Nov </c:v>
                  </c:pt>
                  <c:pt idx="28">
                    <c:v>May</c:v>
                  </c:pt>
                  <c:pt idx="29">
                    <c:v>Nov </c:v>
                  </c:pt>
                  <c:pt idx="30">
                    <c:v>May</c:v>
                  </c:pt>
                  <c:pt idx="31">
                    <c:v>Nov </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'Race relations opinion'!$E$61:$AJ$61</c:f>
              <c:numCache>
                <c:formatCode>General</c:formatCode>
                <c:ptCount val="32"/>
                <c:pt idx="0">
                  <c:v>74</c:v>
                </c:pt>
                <c:pt idx="1">
                  <c:v>69</c:v>
                </c:pt>
                <c:pt idx="2">
                  <c:v>40</c:v>
                </c:pt>
                <c:pt idx="3">
                  <c:v>40</c:v>
                </c:pt>
                <c:pt idx="4">
                  <c:v>43</c:v>
                </c:pt>
                <c:pt idx="5">
                  <c:v>44</c:v>
                </c:pt>
                <c:pt idx="6" formatCode="0">
                  <c:v>47.9</c:v>
                </c:pt>
                <c:pt idx="7" formatCode="0">
                  <c:v>50.8</c:v>
                </c:pt>
                <c:pt idx="8" formatCode="0">
                  <c:v>60.4</c:v>
                </c:pt>
                <c:pt idx="9" formatCode="0">
                  <c:v>59.4</c:v>
                </c:pt>
                <c:pt idx="10" formatCode="0">
                  <c:v>59.7</c:v>
                </c:pt>
                <c:pt idx="11" formatCode="0">
                  <c:v>58.6</c:v>
                </c:pt>
                <c:pt idx="12" formatCode="0">
                  <c:v>60.3</c:v>
                </c:pt>
                <c:pt idx="13" formatCode="0">
                  <c:v>58.1</c:v>
                </c:pt>
                <c:pt idx="14" formatCode="0">
                  <c:v>57</c:v>
                </c:pt>
                <c:pt idx="15" formatCode="0">
                  <c:v>54.9</c:v>
                </c:pt>
                <c:pt idx="16" formatCode="0">
                  <c:v>48.5</c:v>
                </c:pt>
                <c:pt idx="17" formatCode="0">
                  <c:v>50</c:v>
                </c:pt>
                <c:pt idx="18" formatCode="0">
                  <c:v>48.5</c:v>
                </c:pt>
                <c:pt idx="19" formatCode="0">
                  <c:v>57</c:v>
                </c:pt>
                <c:pt idx="20" formatCode="0">
                  <c:v>46</c:v>
                </c:pt>
                <c:pt idx="21" formatCode="0">
                  <c:v>54</c:v>
                </c:pt>
                <c:pt idx="22" formatCode="0">
                  <c:v>48</c:v>
                </c:pt>
                <c:pt idx="23" formatCode="0">
                  <c:v>40.200000000000003</c:v>
                </c:pt>
                <c:pt idx="24" formatCode="0">
                  <c:v>42</c:v>
                </c:pt>
                <c:pt idx="25" formatCode="0">
                  <c:v>35.799999999999997</c:v>
                </c:pt>
                <c:pt idx="26" formatCode="0">
                  <c:v>37</c:v>
                </c:pt>
                <c:pt idx="27" formatCode="0">
                  <c:v>34</c:v>
                </c:pt>
                <c:pt idx="28" formatCode="0">
                  <c:v>43</c:v>
                </c:pt>
                <c:pt idx="29" formatCode="0">
                  <c:v>46</c:v>
                </c:pt>
                <c:pt idx="30" formatCode="0">
                  <c:v>40</c:v>
                </c:pt>
                <c:pt idx="31" formatCode="0">
                  <c:v>37</c:v>
                </c:pt>
              </c:numCache>
            </c:numRef>
          </c:val>
          <c:smooth val="0"/>
          <c:extLst>
            <c:ext xmlns:c16="http://schemas.microsoft.com/office/drawing/2014/chart" uri="{C3380CC4-5D6E-409C-BE32-E72D297353CC}">
              <c16:uniqueId val="{00000000-5ED0-41C9-BA1E-B2E20F111A65}"/>
            </c:ext>
          </c:extLst>
        </c:ser>
        <c:dLbls>
          <c:showLegendKey val="0"/>
          <c:showVal val="0"/>
          <c:showCatName val="0"/>
          <c:showSerName val="0"/>
          <c:showPercent val="0"/>
          <c:showBubbleSize val="0"/>
        </c:dLbls>
        <c:smooth val="0"/>
        <c:axId val="551209432"/>
        <c:axId val="551212960"/>
      </c:lineChart>
      <c:catAx>
        <c:axId val="551209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1212960"/>
        <c:crosses val="autoZero"/>
        <c:auto val="1"/>
        <c:lblAlgn val="ctr"/>
        <c:lblOffset val="100"/>
        <c:tickLblSkip val="1"/>
        <c:tickMarkSkip val="1"/>
        <c:noMultiLvlLbl val="0"/>
      </c:catAx>
      <c:valAx>
        <c:axId val="551212960"/>
        <c:scaling>
          <c:orientation val="minMax"/>
          <c:min val="3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3.8242015944782441E-3"/>
              <c:y val="0.216662246882352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12094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'Race relations opinion'!$D$9</c:f>
              <c:strCache>
                <c:ptCount val="1"/>
                <c:pt idx="0">
                  <c:v>Race relations improving</c:v>
                </c:pt>
              </c:strCache>
            </c:strRef>
          </c:tx>
          <c:spPr>
            <a:ln w="28575" cap="rnd">
              <a:solidFill>
                <a:schemeClr val="accent1"/>
              </a:solidFill>
              <a:round/>
            </a:ln>
            <a:effectLst/>
          </c:spPr>
          <c:marker>
            <c:symbol val="none"/>
          </c:marker>
          <c:cat>
            <c:numRef>
              <c:f>'Race relations opinion'!$E$8:$V$8</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'Race relations opinion'!$E$9:$V$9</c:f>
              <c:numCache>
                <c:formatCode>General</c:formatCode>
                <c:ptCount val="18"/>
                <c:pt idx="0">
                  <c:v>72</c:v>
                </c:pt>
                <c:pt idx="1">
                  <c:v>40</c:v>
                </c:pt>
                <c:pt idx="2">
                  <c:v>44</c:v>
                </c:pt>
                <c:pt idx="3">
                  <c:v>49</c:v>
                </c:pt>
                <c:pt idx="4">
                  <c:v>60</c:v>
                </c:pt>
                <c:pt idx="5">
                  <c:v>59</c:v>
                </c:pt>
                <c:pt idx="6">
                  <c:v>59</c:v>
                </c:pt>
                <c:pt idx="7">
                  <c:v>59</c:v>
                </c:pt>
                <c:pt idx="8">
                  <c:v>49</c:v>
                </c:pt>
                <c:pt idx="9">
                  <c:v>53</c:v>
                </c:pt>
                <c:pt idx="10">
                  <c:v>50</c:v>
                </c:pt>
                <c:pt idx="11">
                  <c:v>44</c:v>
                </c:pt>
                <c:pt idx="12">
                  <c:v>39</c:v>
                </c:pt>
                <c:pt idx="13">
                  <c:v>36</c:v>
                </c:pt>
                <c:pt idx="14">
                  <c:v>45</c:v>
                </c:pt>
                <c:pt idx="15">
                  <c:v>39</c:v>
                </c:pt>
                <c:pt idx="16">
                  <c:v>46</c:v>
                </c:pt>
                <c:pt idx="17">
                  <c:v>38</c:v>
                </c:pt>
              </c:numCache>
            </c:numRef>
          </c:val>
          <c:smooth val="0"/>
          <c:extLst>
            <c:ext xmlns:c16="http://schemas.microsoft.com/office/drawing/2014/chart" uri="{C3380CC4-5D6E-409C-BE32-E72D297353CC}">
              <c16:uniqueId val="{00000000-EA60-467A-90B2-CF7DEE8D29A0}"/>
            </c:ext>
          </c:extLst>
        </c:ser>
        <c:dLbls>
          <c:showLegendKey val="0"/>
          <c:showVal val="0"/>
          <c:showCatName val="0"/>
          <c:showSerName val="0"/>
          <c:showPercent val="0"/>
          <c:showBubbleSize val="0"/>
        </c:dLbls>
        <c:smooth val="0"/>
        <c:axId val="411668864"/>
        <c:axId val="411667688"/>
      </c:lineChart>
      <c:catAx>
        <c:axId val="411668864"/>
        <c:scaling>
          <c:orientation val="minMax"/>
        </c:scaling>
        <c:delete val="0"/>
        <c:axPos val="b"/>
        <c:numFmt formatCode="General" sourceLinked="1"/>
        <c:majorTickMark val="out"/>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667688"/>
        <c:crosses val="autoZero"/>
        <c:auto val="1"/>
        <c:lblAlgn val="ctr"/>
        <c:lblOffset val="100"/>
        <c:noMultiLvlLbl val="0"/>
      </c:catAx>
      <c:valAx>
        <c:axId val="411667688"/>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66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COUNTRY GOING IN THE RIGHT DIRECTION</a:t>
            </a:r>
          </a:p>
        </c:rich>
      </c:tx>
      <c:layout>
        <c:manualLayout>
          <c:xMode val="edge"/>
          <c:yMode val="edge"/>
          <c:x val="6.5252854812398092E-2"/>
          <c:y val="2.0618556701030927E-2"/>
        </c:manualLayout>
      </c:layout>
      <c:overlay val="0"/>
      <c:spPr>
        <a:noFill/>
        <a:ln w="25400">
          <a:noFill/>
        </a:ln>
      </c:spPr>
    </c:title>
    <c:autoTitleDeleted val="0"/>
    <c:plotArea>
      <c:layout>
        <c:manualLayout>
          <c:layoutTarget val="inner"/>
          <c:xMode val="edge"/>
          <c:yMode val="edge"/>
          <c:x val="9.0896829940600429E-2"/>
          <c:y val="0.15191568343676667"/>
          <c:w val="0.88611576797112945"/>
          <c:h val="0.58435074120407837"/>
        </c:manualLayout>
      </c:layout>
      <c:lineChart>
        <c:grouping val="standard"/>
        <c:varyColors val="0"/>
        <c:ser>
          <c:idx val="0"/>
          <c:order val="0"/>
          <c:tx>
            <c:strRef>
              <c:f>'Country direction'!$D$9</c:f>
              <c:strCache>
                <c:ptCount val="1"/>
                <c:pt idx="0">
                  <c:v>1994-1999</c:v>
                </c:pt>
              </c:strCache>
            </c:strRef>
          </c:tx>
          <c:spPr>
            <a:ln w="25400">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427E-43FE-A3AD-E8977BD740DA}"/>
            </c:ext>
          </c:extLst>
        </c:ser>
        <c:ser>
          <c:idx val="1"/>
          <c:order val="1"/>
          <c:tx>
            <c:strRef>
              <c:f>'Country direction'!$D$10</c:f>
              <c:strCache>
                <c:ptCount val="1"/>
                <c:pt idx="0">
                  <c:v>1999-2004</c:v>
                </c:pt>
              </c:strCache>
            </c:strRef>
          </c:tx>
          <c:spPr>
            <a:ln w="25400">
              <a:solidFill>
                <a:srgbClr val="BE4B48"/>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427E-43FE-A3AD-E8977BD740DA}"/>
            </c:ext>
          </c:extLst>
        </c:ser>
        <c:ser>
          <c:idx val="2"/>
          <c:order val="2"/>
          <c:tx>
            <c:strRef>
              <c:f>'Country direction'!$D$11</c:f>
              <c:strCache>
                <c:ptCount val="1"/>
                <c:pt idx="0">
                  <c:v>2004-2009</c:v>
                </c:pt>
              </c:strCache>
            </c:strRef>
          </c:tx>
          <c:spPr>
            <a:ln w="25400">
              <a:solidFill>
                <a:srgbClr val="FFC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427E-43FE-A3AD-E8977BD740DA}"/>
            </c:ext>
          </c:extLst>
        </c:ser>
        <c:ser>
          <c:idx val="3"/>
          <c:order val="3"/>
          <c:tx>
            <c:strRef>
              <c:f>'Country direction'!$D$12</c:f>
              <c:strCache>
                <c:ptCount val="1"/>
                <c:pt idx="0">
                  <c:v>2009-2014</c:v>
                </c:pt>
              </c:strCache>
            </c:strRef>
          </c:tx>
          <c:spPr>
            <a:ln w="25400">
              <a:solidFill>
                <a:srgbClr val="00B05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427E-43FE-A3AD-E8977BD740DA}"/>
            </c:ext>
          </c:extLst>
        </c:ser>
        <c:ser>
          <c:idx val="4"/>
          <c:order val="4"/>
          <c:tx>
            <c:strRef>
              <c:f>'Country direction'!$D$13</c:f>
              <c:strCache>
                <c:ptCount val="1"/>
                <c:pt idx="0">
                  <c:v>2014-2019</c:v>
                </c:pt>
              </c:strCache>
            </c:strRef>
          </c:tx>
          <c:spPr>
            <a:ln>
              <a:solidFill>
                <a:srgbClr val="3D96AE"/>
              </a:solidFill>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direction'!$E$13:$L$13</c:f>
              <c:numCache>
                <c:formatCode>#.0</c:formatCode>
                <c:ptCount val="8"/>
                <c:pt idx="0">
                  <c:v>40.799999999999997</c:v>
                </c:pt>
                <c:pt idx="1">
                  <c:v>42</c:v>
                </c:pt>
                <c:pt idx="2">
                  <c:v>44</c:v>
                </c:pt>
                <c:pt idx="3">
                  <c:v>40</c:v>
                </c:pt>
                <c:pt idx="4">
                  <c:v>34</c:v>
                </c:pt>
                <c:pt idx="5">
                  <c:v>30</c:v>
                </c:pt>
                <c:pt idx="6">
                  <c:v>20</c:v>
                </c:pt>
                <c:pt idx="7">
                  <c:v>26</c:v>
                </c:pt>
              </c:numCache>
            </c:numRef>
          </c:val>
          <c:smooth val="0"/>
          <c:extLst>
            <c:ext xmlns:c16="http://schemas.microsoft.com/office/drawing/2014/chart" uri="{C3380CC4-5D6E-409C-BE32-E72D297353CC}">
              <c16:uniqueId val="{00000004-427E-43FE-A3AD-E8977BD740DA}"/>
            </c:ext>
          </c:extLst>
        </c:ser>
        <c:dLbls>
          <c:showLegendKey val="0"/>
          <c:showVal val="0"/>
          <c:showCatName val="0"/>
          <c:showSerName val="0"/>
          <c:showPercent val="0"/>
          <c:showBubbleSize val="0"/>
        </c:dLbls>
        <c:smooth val="0"/>
        <c:axId val="411670040"/>
        <c:axId val="411666512"/>
      </c:lineChart>
      <c:catAx>
        <c:axId val="411670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1666512"/>
        <c:crosses val="autoZero"/>
        <c:auto val="1"/>
        <c:lblAlgn val="ctr"/>
        <c:lblOffset val="100"/>
        <c:tickLblSkip val="2"/>
        <c:tickMarkSkip val="1"/>
        <c:noMultiLvlLbl val="0"/>
      </c:catAx>
      <c:valAx>
        <c:axId val="411666512"/>
        <c:scaling>
          <c:orientation val="minMax"/>
          <c:min val="1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1.4707405134840704E-2"/>
              <c:y val="0.43986394224086472"/>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1670040"/>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2837609801059"/>
          <c:y val="9.0515232625624761E-2"/>
          <c:w val="0.85568433669123856"/>
          <c:h val="0.64575114991814142"/>
        </c:manualLayout>
      </c:layout>
      <c:lineChart>
        <c:grouping val="standard"/>
        <c:varyColors val="0"/>
        <c:ser>
          <c:idx val="0"/>
          <c:order val="0"/>
          <c:tx>
            <c:strRef>
              <c:f>'Country direction'!$D$9</c:f>
              <c:strCache>
                <c:ptCount val="1"/>
                <c:pt idx="0">
                  <c:v>1994-1999</c:v>
                </c:pt>
              </c:strCache>
            </c:strRef>
          </c:tx>
          <c:spPr>
            <a:ln w="15875">
              <a:solidFill>
                <a:srgbClr val="9933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40C5-4F96-A8FA-7D2B1C6903C1}"/>
            </c:ext>
          </c:extLst>
        </c:ser>
        <c:ser>
          <c:idx val="1"/>
          <c:order val="1"/>
          <c:tx>
            <c:strRef>
              <c:f>'Country direction'!$D$10</c:f>
              <c:strCache>
                <c:ptCount val="1"/>
                <c:pt idx="0">
                  <c:v>1999-2004</c:v>
                </c:pt>
              </c:strCache>
            </c:strRef>
          </c:tx>
          <c:spPr>
            <a:ln w="15875">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40C5-4F96-A8FA-7D2B1C6903C1}"/>
            </c:ext>
          </c:extLst>
        </c:ser>
        <c:ser>
          <c:idx val="2"/>
          <c:order val="2"/>
          <c:tx>
            <c:strRef>
              <c:f>'Country direction'!$D$11</c:f>
              <c:strCache>
                <c:ptCount val="1"/>
                <c:pt idx="0">
                  <c:v>2004-2009</c:v>
                </c:pt>
              </c:strCache>
            </c:strRef>
          </c:tx>
          <c:spPr>
            <a:ln w="15875">
              <a:solidFill>
                <a:srgbClr val="808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40C5-4F96-A8FA-7D2B1C6903C1}"/>
            </c:ext>
          </c:extLst>
        </c:ser>
        <c:ser>
          <c:idx val="3"/>
          <c:order val="3"/>
          <c:tx>
            <c:strRef>
              <c:f>'Country direction'!$D$12</c:f>
              <c:strCache>
                <c:ptCount val="1"/>
                <c:pt idx="0">
                  <c:v>2009-2014</c:v>
                </c:pt>
              </c:strCache>
            </c:strRef>
          </c:tx>
          <c:spPr>
            <a:ln w="15875">
              <a:solidFill>
                <a:srgbClr val="FFC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40C5-4F96-A8FA-7D2B1C6903C1}"/>
            </c:ext>
          </c:extLst>
        </c:ser>
        <c:ser>
          <c:idx val="4"/>
          <c:order val="4"/>
          <c:tx>
            <c:strRef>
              <c:f>'Country direction'!$D$13</c:f>
              <c:strCache>
                <c:ptCount val="1"/>
                <c:pt idx="0">
                  <c:v>2014-2019</c:v>
                </c:pt>
              </c:strCache>
            </c:strRef>
          </c:tx>
          <c:spPr>
            <a:ln w="15875"/>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34</c:v>
                </c:pt>
                <c:pt idx="5">
                  <c:v>30</c:v>
                </c:pt>
                <c:pt idx="6">
                  <c:v>20</c:v>
                </c:pt>
                <c:pt idx="7">
                  <c:v>26</c:v>
                </c:pt>
              </c:numCache>
            </c:numRef>
          </c:val>
          <c:smooth val="0"/>
          <c:extLst>
            <c:ext xmlns:c16="http://schemas.microsoft.com/office/drawing/2014/chart" uri="{C3380CC4-5D6E-409C-BE32-E72D297353CC}">
              <c16:uniqueId val="{00000004-40C5-4F96-A8FA-7D2B1C6903C1}"/>
            </c:ext>
          </c:extLst>
        </c:ser>
        <c:dLbls>
          <c:showLegendKey val="0"/>
          <c:showVal val="0"/>
          <c:showCatName val="0"/>
          <c:showSerName val="0"/>
          <c:showPercent val="0"/>
          <c:showBubbleSize val="0"/>
        </c:dLbls>
        <c:smooth val="0"/>
        <c:axId val="286332000"/>
        <c:axId val="286331608"/>
      </c:lineChart>
      <c:catAx>
        <c:axId val="28633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86331608"/>
        <c:crosses val="autoZero"/>
        <c:auto val="1"/>
        <c:lblAlgn val="ctr"/>
        <c:lblOffset val="100"/>
        <c:tickLblSkip val="2"/>
        <c:tickMarkSkip val="1"/>
        <c:noMultiLvlLbl val="0"/>
      </c:catAx>
      <c:valAx>
        <c:axId val="286331608"/>
        <c:scaling>
          <c:orientation val="minMax"/>
          <c:min val="3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a:pPr>
            <a:endParaRPr lang="en-US"/>
          </a:p>
        </c:txPr>
        <c:crossAx val="286332000"/>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noFill/>
          <a:prstDash val="solid"/>
        </a:ln>
      </c:spPr>
    </c:legend>
    <c:plotVisOnly val="1"/>
    <c:dispBlanksAs val="gap"/>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4317265219897"/>
          <c:y val="8.271110507738258E-2"/>
          <c:w val="0.86458661417322835"/>
          <c:h val="0.70761251826280336"/>
        </c:manualLayout>
      </c:layout>
      <c:lineChart>
        <c:grouping val="standard"/>
        <c:varyColors val="0"/>
        <c:ser>
          <c:idx val="0"/>
          <c:order val="0"/>
          <c:tx>
            <c:strRef>
              <c:f>'GFCF  '!$B$37</c:f>
              <c:strCache>
                <c:ptCount val="1"/>
                <c:pt idx="0">
                  <c:v>%</c:v>
                </c:pt>
              </c:strCache>
            </c:strRef>
          </c:tx>
          <c:spPr>
            <a:ln w="15875">
              <a:solidFill>
                <a:srgbClr val="FF6600"/>
              </a:solidFill>
              <a:prstDash val="solid"/>
            </a:ln>
          </c:spPr>
          <c:marker>
            <c:symbol val="none"/>
          </c:marker>
          <c:cat>
            <c:multiLvlStrRef>
              <c:f>'GFCF  '!$D$35:$CM$36</c:f>
              <c:multiLvlStrCache>
                <c:ptCount val="88"/>
                <c:lvl>
                  <c:pt idx="0">
                    <c:v>M</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pt idx="84">
                    <c:v>M</c:v>
                  </c:pt>
                  <c:pt idx="85">
                    <c:v>J</c:v>
                  </c:pt>
                  <c:pt idx="86">
                    <c:v>S</c:v>
                  </c:pt>
                  <c:pt idx="87">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pt idx="84">
                    <c:v>2015</c:v>
                  </c:pt>
                </c:lvl>
              </c:multiLvlStrCache>
            </c:multiLvlStrRef>
          </c:cat>
          <c:val>
            <c:numRef>
              <c:f>'GFCF  '!$D$37:$CM$37</c:f>
              <c:numCache>
                <c:formatCode>0.00</c:formatCode>
                <c:ptCount val="88"/>
                <c:pt idx="0">
                  <c:v>15.7</c:v>
                </c:pt>
                <c:pt idx="2">
                  <c:v>16.399999999999999</c:v>
                </c:pt>
                <c:pt idx="3">
                  <c:v>16.2</c:v>
                </c:pt>
                <c:pt idx="4">
                  <c:v>16.8</c:v>
                </c:pt>
                <c:pt idx="5">
                  <c:v>17.399999999999999</c:v>
                </c:pt>
                <c:pt idx="6">
                  <c:v>17</c:v>
                </c:pt>
                <c:pt idx="7">
                  <c:v>16.7</c:v>
                </c:pt>
                <c:pt idx="8">
                  <c:v>17.100000000000001</c:v>
                </c:pt>
                <c:pt idx="9">
                  <c:v>17.2</c:v>
                </c:pt>
                <c:pt idx="10">
                  <c:v>17.3</c:v>
                </c:pt>
                <c:pt idx="11">
                  <c:v>17.2</c:v>
                </c:pt>
                <c:pt idx="12">
                  <c:v>17.7</c:v>
                </c:pt>
                <c:pt idx="13">
                  <c:v>17.600000000000001</c:v>
                </c:pt>
                <c:pt idx="14">
                  <c:v>17.5</c:v>
                </c:pt>
                <c:pt idx="15">
                  <c:v>17.399999999999999</c:v>
                </c:pt>
                <c:pt idx="16">
                  <c:v>17.8</c:v>
                </c:pt>
                <c:pt idx="17">
                  <c:v>17.7</c:v>
                </c:pt>
                <c:pt idx="18">
                  <c:v>18.3</c:v>
                </c:pt>
                <c:pt idx="19">
                  <c:v>18.5</c:v>
                </c:pt>
                <c:pt idx="20">
                  <c:v>16.899999999999999</c:v>
                </c:pt>
                <c:pt idx="21">
                  <c:v>16.3</c:v>
                </c:pt>
                <c:pt idx="22">
                  <c:v>15.8</c:v>
                </c:pt>
                <c:pt idx="23">
                  <c:v>15.6</c:v>
                </c:pt>
                <c:pt idx="24">
                  <c:v>15.8</c:v>
                </c:pt>
                <c:pt idx="25">
                  <c:v>15.7</c:v>
                </c:pt>
                <c:pt idx="26">
                  <c:v>15.4</c:v>
                </c:pt>
                <c:pt idx="27">
                  <c:v>15.6</c:v>
                </c:pt>
                <c:pt idx="28">
                  <c:v>15.6</c:v>
                </c:pt>
                <c:pt idx="29">
                  <c:v>15.5</c:v>
                </c:pt>
                <c:pt idx="30">
                  <c:v>15.6</c:v>
                </c:pt>
                <c:pt idx="31">
                  <c:v>15.3</c:v>
                </c:pt>
                <c:pt idx="32">
                  <c:v>15.1</c:v>
                </c:pt>
                <c:pt idx="33">
                  <c:v>15</c:v>
                </c:pt>
                <c:pt idx="34">
                  <c:v>15.1</c:v>
                </c:pt>
                <c:pt idx="35">
                  <c:v>15.4</c:v>
                </c:pt>
                <c:pt idx="36">
                  <c:v>15.5</c:v>
                </c:pt>
                <c:pt idx="37">
                  <c:v>15.9</c:v>
                </c:pt>
                <c:pt idx="38">
                  <c:v>16</c:v>
                </c:pt>
                <c:pt idx="39">
                  <c:v>16.399999999999999</c:v>
                </c:pt>
                <c:pt idx="40">
                  <c:v>16.2</c:v>
                </c:pt>
                <c:pt idx="41">
                  <c:v>16.2</c:v>
                </c:pt>
                <c:pt idx="42">
                  <c:v>16.600000000000001</c:v>
                </c:pt>
                <c:pt idx="43">
                  <c:v>16.7</c:v>
                </c:pt>
                <c:pt idx="44">
                  <c:v>16.8</c:v>
                </c:pt>
                <c:pt idx="45">
                  <c:v>16.899999999999999</c:v>
                </c:pt>
                <c:pt idx="46">
                  <c:v>17.399999999999999</c:v>
                </c:pt>
                <c:pt idx="47">
                  <c:v>17.8</c:v>
                </c:pt>
                <c:pt idx="48">
                  <c:v>18.399999999999999</c:v>
                </c:pt>
                <c:pt idx="49">
                  <c:v>18.600000000000001</c:v>
                </c:pt>
                <c:pt idx="50">
                  <c:v>19</c:v>
                </c:pt>
                <c:pt idx="51">
                  <c:v>19.600000000000001</c:v>
                </c:pt>
                <c:pt idx="52">
                  <c:v>20.3</c:v>
                </c:pt>
                <c:pt idx="53">
                  <c:v>20.8</c:v>
                </c:pt>
                <c:pt idx="54">
                  <c:v>20.9</c:v>
                </c:pt>
                <c:pt idx="55">
                  <c:v>20.6</c:v>
                </c:pt>
                <c:pt idx="56">
                  <c:v>21.5</c:v>
                </c:pt>
                <c:pt idx="57">
                  <c:v>22.8</c:v>
                </c:pt>
                <c:pt idx="58">
                  <c:v>24.4</c:v>
                </c:pt>
                <c:pt idx="59">
                  <c:v>25.1</c:v>
                </c:pt>
                <c:pt idx="60">
                  <c:v>23.1</c:v>
                </c:pt>
                <c:pt idx="61">
                  <c:v>21.9</c:v>
                </c:pt>
                <c:pt idx="62">
                  <c:v>20.8</c:v>
                </c:pt>
                <c:pt idx="63">
                  <c:v>20.3</c:v>
                </c:pt>
                <c:pt idx="64">
                  <c:v>20</c:v>
                </c:pt>
                <c:pt idx="65">
                  <c:v>19.399999999999999</c:v>
                </c:pt>
                <c:pt idx="66">
                  <c:v>19.100000000000001</c:v>
                </c:pt>
                <c:pt idx="67">
                  <c:v>18.7</c:v>
                </c:pt>
                <c:pt idx="68">
                  <c:v>18.600000000000001</c:v>
                </c:pt>
                <c:pt idx="69">
                  <c:v>18.7</c:v>
                </c:pt>
                <c:pt idx="70">
                  <c:v>18.7</c:v>
                </c:pt>
                <c:pt idx="71">
                  <c:v>18.899999999999999</c:v>
                </c:pt>
                <c:pt idx="72">
                  <c:v>18.8</c:v>
                </c:pt>
                <c:pt idx="73" formatCode="General">
                  <c:v>18.7</c:v>
                </c:pt>
                <c:pt idx="74" formatCode="General">
                  <c:v>18.899999999999999</c:v>
                </c:pt>
                <c:pt idx="75" formatCode="General">
                  <c:v>18.8</c:v>
                </c:pt>
                <c:pt idx="76" formatCode="General">
                  <c:v>19.2</c:v>
                </c:pt>
                <c:pt idx="77" formatCode="General">
                  <c:v>19.8</c:v>
                </c:pt>
                <c:pt idx="78" formatCode="General">
                  <c:v>20.399999999999999</c:v>
                </c:pt>
                <c:pt idx="79" formatCode="General">
                  <c:v>20.7</c:v>
                </c:pt>
                <c:pt idx="80" formatCode="General">
                  <c:v>20.2</c:v>
                </c:pt>
                <c:pt idx="81" formatCode="General">
                  <c:v>20.399999999999999</c:v>
                </c:pt>
                <c:pt idx="82" formatCode="General">
                  <c:v>20.3</c:v>
                </c:pt>
                <c:pt idx="83" formatCode="General">
                  <c:v>20.100000000000001</c:v>
                </c:pt>
              </c:numCache>
            </c:numRef>
          </c:val>
          <c:smooth val="0"/>
          <c:extLst>
            <c:ext xmlns:c16="http://schemas.microsoft.com/office/drawing/2014/chart" uri="{C3380CC4-5D6E-409C-BE32-E72D297353CC}">
              <c16:uniqueId val="{00000000-30C0-4D35-A7DA-1498CF0E59AD}"/>
            </c:ext>
          </c:extLst>
        </c:ser>
        <c:dLbls>
          <c:showLegendKey val="0"/>
          <c:showVal val="0"/>
          <c:showCatName val="0"/>
          <c:showSerName val="0"/>
          <c:showPercent val="0"/>
          <c:showBubbleSize val="0"/>
        </c:dLbls>
        <c:smooth val="0"/>
        <c:axId val="399079672"/>
        <c:axId val="399073400"/>
      </c:lineChart>
      <c:catAx>
        <c:axId val="39907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3400"/>
        <c:crosses val="autoZero"/>
        <c:auto val="1"/>
        <c:lblAlgn val="ctr"/>
        <c:lblOffset val="100"/>
        <c:tickLblSkip val="1"/>
        <c:tickMarkSkip val="1"/>
        <c:noMultiLvlLbl val="0"/>
      </c:catAx>
      <c:valAx>
        <c:axId val="399073400"/>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9672"/>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SELF-DESCRIPTION</a:t>
            </a:r>
          </a:p>
        </c:rich>
      </c:tx>
      <c:layout>
        <c:manualLayout>
          <c:xMode val="edge"/>
          <c:yMode val="edge"/>
          <c:x val="8.2456303417384802E-2"/>
          <c:y val="3.3557046979865786E-2"/>
        </c:manualLayout>
      </c:layout>
      <c:overlay val="0"/>
      <c:spPr>
        <a:noFill/>
        <a:ln w="25400">
          <a:noFill/>
        </a:ln>
      </c:spPr>
    </c:title>
    <c:autoTitleDeleted val="0"/>
    <c:plotArea>
      <c:layout>
        <c:manualLayout>
          <c:layoutTarget val="inner"/>
          <c:xMode val="edge"/>
          <c:yMode val="edge"/>
          <c:x val="0.10381092516437385"/>
          <c:y val="0.19571128841017818"/>
          <c:w val="0.87122333397443075"/>
          <c:h val="0.54423824037350665"/>
        </c:manualLayout>
      </c:layout>
      <c:barChart>
        <c:barDir val="col"/>
        <c:grouping val="percentStacked"/>
        <c:varyColors val="0"/>
        <c:ser>
          <c:idx val="0"/>
          <c:order val="0"/>
          <c:tx>
            <c:strRef>
              <c:f>'Self description'!$D$9</c:f>
              <c:strCache>
                <c:ptCount val="1"/>
                <c:pt idx="0">
                  <c:v>As an African</c:v>
                </c:pt>
              </c:strCache>
            </c:strRef>
          </c:tx>
          <c:spPr>
            <a:solidFill>
              <a:srgbClr val="FCD5B5"/>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description'!$E$9:$O$9</c:f>
              <c:numCache>
                <c:formatCode>General</c:formatCode>
                <c:ptCount val="11"/>
                <c:pt idx="0">
                  <c:v>18.399999999999999</c:v>
                </c:pt>
                <c:pt idx="1">
                  <c:v>25.8</c:v>
                </c:pt>
                <c:pt idx="2">
                  <c:v>32.6</c:v>
                </c:pt>
                <c:pt idx="3">
                  <c:v>30.2</c:v>
                </c:pt>
                <c:pt idx="5">
                  <c:v>30.8</c:v>
                </c:pt>
                <c:pt idx="6">
                  <c:v>29.1</c:v>
                </c:pt>
                <c:pt idx="7">
                  <c:v>30</c:v>
                </c:pt>
                <c:pt idx="8">
                  <c:v>29</c:v>
                </c:pt>
                <c:pt idx="9">
                  <c:v>27.8</c:v>
                </c:pt>
                <c:pt idx="10">
                  <c:v>26</c:v>
                </c:pt>
              </c:numCache>
            </c:numRef>
          </c:val>
          <c:extLst>
            <c:ext xmlns:c16="http://schemas.microsoft.com/office/drawing/2014/chart" uri="{C3380CC4-5D6E-409C-BE32-E72D297353CC}">
              <c16:uniqueId val="{00000000-29C8-4ED8-92FD-C2DFB42D6C27}"/>
            </c:ext>
          </c:extLst>
        </c:ser>
        <c:ser>
          <c:idx val="1"/>
          <c:order val="1"/>
          <c:tx>
            <c:strRef>
              <c:f>'Self description'!$D$10</c:f>
              <c:strCache>
                <c:ptCount val="1"/>
                <c:pt idx="0">
                  <c:v>As South African</c:v>
                </c:pt>
              </c:strCache>
            </c:strRef>
          </c:tx>
          <c:spPr>
            <a:solidFill>
              <a:srgbClr val="F8A662"/>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description'!$E$10:$O$10</c:f>
              <c:numCache>
                <c:formatCode>General</c:formatCode>
                <c:ptCount val="11"/>
                <c:pt idx="0">
                  <c:v>52.8</c:v>
                </c:pt>
                <c:pt idx="1">
                  <c:v>52.6</c:v>
                </c:pt>
                <c:pt idx="2">
                  <c:v>45.7</c:v>
                </c:pt>
                <c:pt idx="3">
                  <c:v>54.1</c:v>
                </c:pt>
                <c:pt idx="5">
                  <c:v>50.8</c:v>
                </c:pt>
                <c:pt idx="6">
                  <c:v>52.4</c:v>
                </c:pt>
                <c:pt idx="7">
                  <c:v>57</c:v>
                </c:pt>
                <c:pt idx="8">
                  <c:v>52</c:v>
                </c:pt>
                <c:pt idx="9">
                  <c:v>48</c:v>
                </c:pt>
                <c:pt idx="10">
                  <c:v>50</c:v>
                </c:pt>
              </c:numCache>
            </c:numRef>
          </c:val>
          <c:extLst>
            <c:ext xmlns:c16="http://schemas.microsoft.com/office/drawing/2014/chart" uri="{C3380CC4-5D6E-409C-BE32-E72D297353CC}">
              <c16:uniqueId val="{00000001-29C8-4ED8-92FD-C2DFB42D6C27}"/>
            </c:ext>
          </c:extLst>
        </c:ser>
        <c:ser>
          <c:idx val="2"/>
          <c:order val="2"/>
          <c:tx>
            <c:strRef>
              <c:f>'Self description'!$D$11</c:f>
              <c:strCache>
                <c:ptCount val="1"/>
                <c:pt idx="0">
                  <c:v>By race group</c:v>
                </c:pt>
              </c:strCache>
            </c:strRef>
          </c:tx>
          <c:spPr>
            <a:solidFill>
              <a:srgbClr val="E46C0A"/>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description'!$E$11:$O$11</c:f>
              <c:numCache>
                <c:formatCode>General</c:formatCode>
                <c:ptCount val="11"/>
                <c:pt idx="0">
                  <c:v>4.0999999999999996</c:v>
                </c:pt>
                <c:pt idx="1">
                  <c:v>9.9</c:v>
                </c:pt>
                <c:pt idx="2">
                  <c:v>11.3</c:v>
                </c:pt>
                <c:pt idx="3">
                  <c:v>7.1</c:v>
                </c:pt>
                <c:pt idx="5">
                  <c:v>9.1</c:v>
                </c:pt>
                <c:pt idx="6">
                  <c:v>8.8000000000000007</c:v>
                </c:pt>
                <c:pt idx="7">
                  <c:v>6</c:v>
                </c:pt>
                <c:pt idx="8">
                  <c:v>9</c:v>
                </c:pt>
                <c:pt idx="9">
                  <c:v>8.8000000000000007</c:v>
                </c:pt>
                <c:pt idx="10">
                  <c:v>10.3</c:v>
                </c:pt>
              </c:numCache>
            </c:numRef>
          </c:val>
          <c:extLst>
            <c:ext xmlns:c16="http://schemas.microsoft.com/office/drawing/2014/chart" uri="{C3380CC4-5D6E-409C-BE32-E72D297353CC}">
              <c16:uniqueId val="{00000002-29C8-4ED8-92FD-C2DFB42D6C27}"/>
            </c:ext>
          </c:extLst>
        </c:ser>
        <c:ser>
          <c:idx val="3"/>
          <c:order val="3"/>
          <c:tx>
            <c:strRef>
              <c:f>'Self description'!$D$12</c:f>
              <c:strCache>
                <c:ptCount val="1"/>
                <c:pt idx="0">
                  <c:v>By language group</c:v>
                </c:pt>
              </c:strCache>
            </c:strRef>
          </c:tx>
          <c:spPr>
            <a:solidFill>
              <a:srgbClr val="984807"/>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description'!$E$12:$O$12</c:f>
              <c:numCache>
                <c:formatCode>General</c:formatCode>
                <c:ptCount val="11"/>
                <c:pt idx="0">
                  <c:v>13.6</c:v>
                </c:pt>
                <c:pt idx="1">
                  <c:v>2.6</c:v>
                </c:pt>
                <c:pt idx="2">
                  <c:v>3.1</c:v>
                </c:pt>
                <c:pt idx="3">
                  <c:v>1.9</c:v>
                </c:pt>
                <c:pt idx="5">
                  <c:v>3.7</c:v>
                </c:pt>
                <c:pt idx="6">
                  <c:v>4.0999999999999996</c:v>
                </c:pt>
                <c:pt idx="7">
                  <c:v>2</c:v>
                </c:pt>
                <c:pt idx="8">
                  <c:v>3</c:v>
                </c:pt>
                <c:pt idx="9">
                  <c:v>4.8</c:v>
                </c:pt>
                <c:pt idx="10">
                  <c:v>4.0999999999999996</c:v>
                </c:pt>
              </c:numCache>
            </c:numRef>
          </c:val>
          <c:extLst>
            <c:ext xmlns:c16="http://schemas.microsoft.com/office/drawing/2014/chart" uri="{C3380CC4-5D6E-409C-BE32-E72D297353CC}">
              <c16:uniqueId val="{00000003-29C8-4ED8-92FD-C2DFB42D6C27}"/>
            </c:ext>
          </c:extLst>
        </c:ser>
        <c:ser>
          <c:idx val="4"/>
          <c:order val="4"/>
          <c:tx>
            <c:strRef>
              <c:f>'Self description'!$D$13</c:f>
              <c:strCache>
                <c:ptCount val="1"/>
                <c:pt idx="0">
                  <c:v>Rest of self descriptors</c:v>
                </c:pt>
              </c:strCache>
            </c:strRef>
          </c:tx>
          <c:spPr>
            <a:solidFill>
              <a:srgbClr val="C83C14"/>
            </a:solidFill>
            <a:ln w="12700">
              <a:noFill/>
              <a:prstDash val="solid"/>
            </a:ln>
          </c:spPr>
          <c:invertIfNegative val="0"/>
          <c:cat>
            <c:numRef>
              <c:f>'Self description'!$E$8:$O$8</c:f>
              <c:numCache>
                <c:formatCode>General</c:formatCode>
                <c:ptCount val="11"/>
                <c:pt idx="0">
                  <c:v>2004</c:v>
                </c:pt>
                <c:pt idx="1">
                  <c:v>2007</c:v>
                </c:pt>
                <c:pt idx="2">
                  <c:v>2008</c:v>
                </c:pt>
                <c:pt idx="3">
                  <c:v>2009</c:v>
                </c:pt>
                <c:pt idx="4">
                  <c:v>2010</c:v>
                </c:pt>
                <c:pt idx="5">
                  <c:v>2011</c:v>
                </c:pt>
                <c:pt idx="6">
                  <c:v>2012</c:v>
                </c:pt>
                <c:pt idx="7">
                  <c:v>2014</c:v>
                </c:pt>
                <c:pt idx="8">
                  <c:v>2015</c:v>
                </c:pt>
                <c:pt idx="9">
                  <c:v>2016</c:v>
                </c:pt>
                <c:pt idx="10">
                  <c:v>2017</c:v>
                </c:pt>
              </c:numCache>
            </c:numRef>
          </c:cat>
          <c:val>
            <c:numRef>
              <c:f>'Self description'!$E$13:$O$13</c:f>
              <c:numCache>
                <c:formatCode>General</c:formatCode>
                <c:ptCount val="11"/>
                <c:pt idx="0">
                  <c:v>11.1</c:v>
                </c:pt>
                <c:pt idx="1">
                  <c:v>9.0999999999999943</c:v>
                </c:pt>
                <c:pt idx="2">
                  <c:v>7.3</c:v>
                </c:pt>
                <c:pt idx="3">
                  <c:v>6.7</c:v>
                </c:pt>
                <c:pt idx="5">
                  <c:v>5.6</c:v>
                </c:pt>
                <c:pt idx="6">
                  <c:v>5.6</c:v>
                </c:pt>
                <c:pt idx="7">
                  <c:v>6.9</c:v>
                </c:pt>
                <c:pt idx="8">
                  <c:v>7</c:v>
                </c:pt>
                <c:pt idx="9">
                  <c:v>4.9000000000000004</c:v>
                </c:pt>
                <c:pt idx="10">
                  <c:v>9.1999999999999993</c:v>
                </c:pt>
              </c:numCache>
            </c:numRef>
          </c:val>
          <c:extLst>
            <c:ext xmlns:c16="http://schemas.microsoft.com/office/drawing/2014/chart" uri="{C3380CC4-5D6E-409C-BE32-E72D297353CC}">
              <c16:uniqueId val="{00000004-29C8-4ED8-92FD-C2DFB42D6C27}"/>
            </c:ext>
          </c:extLst>
        </c:ser>
        <c:dLbls>
          <c:showLegendKey val="0"/>
          <c:showVal val="0"/>
          <c:showCatName val="0"/>
          <c:showSerName val="0"/>
          <c:showPercent val="0"/>
          <c:showBubbleSize val="0"/>
        </c:dLbls>
        <c:gapWidth val="150"/>
        <c:overlap val="100"/>
        <c:axId val="286332392"/>
        <c:axId val="286333176"/>
      </c:barChart>
      <c:catAx>
        <c:axId val="286332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3176"/>
        <c:crosses val="autoZero"/>
        <c:auto val="1"/>
        <c:lblAlgn val="ctr"/>
        <c:lblOffset val="100"/>
        <c:tickLblSkip val="1"/>
        <c:tickMarkSkip val="1"/>
        <c:noMultiLvlLbl val="0"/>
      </c:catAx>
      <c:valAx>
        <c:axId val="28633317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2392"/>
        <c:crosses val="autoZero"/>
        <c:crossBetween val="between"/>
        <c:majorUnit val="0.2"/>
      </c:valAx>
      <c:spPr>
        <a:noFill/>
        <a:ln w="25400">
          <a:noFill/>
        </a:ln>
      </c:spPr>
    </c:plotArea>
    <c:legend>
      <c:legendPos val="b"/>
      <c:layout>
        <c:manualLayout>
          <c:xMode val="edge"/>
          <c:yMode val="edge"/>
          <c:x val="4.9934369066407802E-2"/>
          <c:y val="0.90080812199752358"/>
          <c:w val="0.90276083022690001"/>
          <c:h val="7.7748320053357703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3912248629124E-2"/>
          <c:y val="8.4253314489534964E-2"/>
          <c:w val="0.89670932358319377"/>
          <c:h val="0.77887879399690418"/>
        </c:manualLayout>
      </c:layout>
      <c:lineChart>
        <c:grouping val="standard"/>
        <c:varyColors val="0"/>
        <c:ser>
          <c:idx val="0"/>
          <c:order val="0"/>
          <c:spPr>
            <a:ln w="25400">
              <a:solidFill>
                <a:srgbClr val="FF6600"/>
              </a:solidFill>
            </a:ln>
          </c:spPr>
          <c:marker>
            <c:symbol val="square"/>
            <c:size val="5"/>
            <c:spPr>
              <a:solidFill>
                <a:srgbClr val="FF6600"/>
              </a:solidFill>
              <a:ln>
                <a:solidFill>
                  <a:srgbClr val="F79646">
                    <a:lumMod val="75000"/>
                  </a:srgbClr>
                </a:solidFill>
              </a:ln>
            </c:spPr>
          </c:marker>
          <c:cat>
            <c:strRef>
              <c:f>'Pride in being SA'!$E$39:$S$39</c:f>
              <c:strCache>
                <c:ptCount val="15"/>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pt idx="13">
                  <c:v>2016/17</c:v>
                </c:pt>
                <c:pt idx="14">
                  <c:v>2017/18</c:v>
                </c:pt>
              </c:strCache>
            </c:strRef>
          </c:cat>
          <c:val>
            <c:numRef>
              <c:f>'Pride in being SA'!$E$40:$S$40</c:f>
              <c:numCache>
                <c:formatCode>General</c:formatCode>
                <c:ptCount val="15"/>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pt idx="13">
                  <c:v>88</c:v>
                </c:pt>
                <c:pt idx="14">
                  <c:v>81</c:v>
                </c:pt>
              </c:numCache>
            </c:numRef>
          </c:val>
          <c:smooth val="0"/>
          <c:extLst>
            <c:ext xmlns:c16="http://schemas.microsoft.com/office/drawing/2014/chart" uri="{C3380CC4-5D6E-409C-BE32-E72D297353CC}">
              <c16:uniqueId val="{00000000-B757-4357-AFF3-CD47B6017766}"/>
            </c:ext>
          </c:extLst>
        </c:ser>
        <c:dLbls>
          <c:showLegendKey val="0"/>
          <c:showVal val="0"/>
          <c:showCatName val="0"/>
          <c:showSerName val="0"/>
          <c:showPercent val="0"/>
          <c:showBubbleSize val="0"/>
        </c:dLbls>
        <c:marker val="1"/>
        <c:smooth val="0"/>
        <c:axId val="286330824"/>
        <c:axId val="286331216"/>
      </c:lineChart>
      <c:catAx>
        <c:axId val="286330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1216"/>
        <c:crosses val="autoZero"/>
        <c:auto val="0"/>
        <c:lblAlgn val="ctr"/>
        <c:lblOffset val="100"/>
        <c:tickLblSkip val="1"/>
        <c:tickMarkSkip val="1"/>
        <c:noMultiLvlLbl val="0"/>
      </c:catAx>
      <c:valAx>
        <c:axId val="286331216"/>
        <c:scaling>
          <c:orientation val="minMax"/>
          <c:max val="100"/>
          <c:min val="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86330824"/>
        <c:crosses val="autoZero"/>
        <c:crossBetween val="midCat"/>
        <c:majorUnit val="5"/>
      </c:valAx>
      <c:spPr>
        <a:solidFill>
          <a:schemeClr val="bg1"/>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472284956628"/>
          <c:y val="8.3945644326592836E-2"/>
          <c:w val="0.85364300392683468"/>
          <c:h val="0.7791864866506083"/>
        </c:manualLayout>
      </c:layout>
      <c:lineChart>
        <c:grouping val="standard"/>
        <c:varyColors val="0"/>
        <c:ser>
          <c:idx val="0"/>
          <c:order val="0"/>
          <c:spPr>
            <a:ln w="15875">
              <a:solidFill>
                <a:schemeClr val="accent6">
                  <a:lumMod val="75000"/>
                </a:schemeClr>
              </a:solidFill>
            </a:ln>
          </c:spPr>
          <c:marker>
            <c:symbol val="none"/>
          </c:marker>
          <c:cat>
            <c:strRef>
              <c:f>'Pride in being SA'!$E$39:$S$39</c:f>
              <c:strCache>
                <c:ptCount val="15"/>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pt idx="13">
                  <c:v>2016/17</c:v>
                </c:pt>
                <c:pt idx="14">
                  <c:v>2017/18</c:v>
                </c:pt>
              </c:strCache>
            </c:strRef>
          </c:cat>
          <c:val>
            <c:numRef>
              <c:f>'Pride in being SA'!$E$40:$S$40</c:f>
              <c:numCache>
                <c:formatCode>General</c:formatCode>
                <c:ptCount val="15"/>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pt idx="13">
                  <c:v>88</c:v>
                </c:pt>
                <c:pt idx="14">
                  <c:v>81</c:v>
                </c:pt>
              </c:numCache>
            </c:numRef>
          </c:val>
          <c:smooth val="0"/>
          <c:extLst>
            <c:ext xmlns:c16="http://schemas.microsoft.com/office/drawing/2014/chart" uri="{C3380CC4-5D6E-409C-BE32-E72D297353CC}">
              <c16:uniqueId val="{00000000-C577-4CFF-8B05-53195939E7A7}"/>
            </c:ext>
          </c:extLst>
        </c:ser>
        <c:dLbls>
          <c:showLegendKey val="0"/>
          <c:showVal val="0"/>
          <c:showCatName val="0"/>
          <c:showSerName val="0"/>
          <c:showPercent val="0"/>
          <c:showBubbleSize val="0"/>
        </c:dLbls>
        <c:smooth val="0"/>
        <c:axId val="558033424"/>
        <c:axId val="558034208"/>
      </c:lineChart>
      <c:catAx>
        <c:axId val="558033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8034208"/>
        <c:crosses val="autoZero"/>
        <c:auto val="0"/>
        <c:lblAlgn val="ctr"/>
        <c:lblOffset val="100"/>
        <c:tickLblSkip val="1"/>
        <c:tickMarkSkip val="1"/>
        <c:noMultiLvlLbl val="0"/>
      </c:catAx>
      <c:valAx>
        <c:axId val="558034208"/>
        <c:scaling>
          <c:orientation val="minMax"/>
          <c:max val="100"/>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8033424"/>
        <c:crosses val="autoZero"/>
        <c:crossBetween val="midCat"/>
        <c:maj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832752006795"/>
          <c:y val="6.965174129353234E-2"/>
          <c:w val="0.83348719341116839"/>
          <c:h val="0.80643788929368898"/>
        </c:manualLayout>
      </c:layout>
      <c:lineChart>
        <c:grouping val="standard"/>
        <c:varyColors val="0"/>
        <c:ser>
          <c:idx val="0"/>
          <c:order val="0"/>
          <c:tx>
            <c:strRef>
              <c:f>'Crime Victims '!$D$8</c:f>
              <c:strCache>
                <c:ptCount val="1"/>
                <c:pt idx="0">
                  <c:v>Safe during the day</c:v>
                </c:pt>
              </c:strCache>
            </c:strRef>
          </c:tx>
          <c:spPr>
            <a:ln w="25400">
              <a:solidFill>
                <a:srgbClr val="BE4B48"/>
              </a:solidFill>
            </a:ln>
          </c:spPr>
          <c:marker>
            <c:symbol val="none"/>
          </c:marker>
          <c:cat>
            <c:strRef>
              <c:f>'Crime Victims '!$E$7:$L$7</c:f>
              <c:strCache>
                <c:ptCount val="8"/>
                <c:pt idx="0">
                  <c:v>2007</c:v>
                </c:pt>
                <c:pt idx="1">
                  <c:v>2011</c:v>
                </c:pt>
                <c:pt idx="2">
                  <c:v>2012</c:v>
                </c:pt>
                <c:pt idx="3">
                  <c:v>2013/14</c:v>
                </c:pt>
                <c:pt idx="4">
                  <c:v>2014/15</c:v>
                </c:pt>
                <c:pt idx="5">
                  <c:v>2015/16</c:v>
                </c:pt>
                <c:pt idx="6">
                  <c:v>2016/17</c:v>
                </c:pt>
                <c:pt idx="7">
                  <c:v>2017/18</c:v>
                </c:pt>
              </c:strCache>
            </c:strRef>
          </c:cat>
          <c:val>
            <c:numRef>
              <c:f>'Crime Victims '!$E$8:$K$8</c:f>
              <c:numCache>
                <c:formatCode>0.0</c:formatCode>
                <c:ptCount val="7"/>
                <c:pt idx="0">
                  <c:v>76</c:v>
                </c:pt>
                <c:pt idx="1">
                  <c:v>88.4</c:v>
                </c:pt>
                <c:pt idx="2">
                  <c:v>85.1</c:v>
                </c:pt>
                <c:pt idx="3">
                  <c:v>86.8</c:v>
                </c:pt>
                <c:pt idx="4">
                  <c:v>85.4</c:v>
                </c:pt>
                <c:pt idx="5">
                  <c:v>83.7</c:v>
                </c:pt>
                <c:pt idx="6" formatCode="General">
                  <c:v>84.8</c:v>
                </c:pt>
              </c:numCache>
            </c:numRef>
          </c:val>
          <c:smooth val="0"/>
          <c:extLst>
            <c:ext xmlns:c16="http://schemas.microsoft.com/office/drawing/2014/chart" uri="{C3380CC4-5D6E-409C-BE32-E72D297353CC}">
              <c16:uniqueId val="{00000000-54B6-450B-BF7A-331405630803}"/>
            </c:ext>
          </c:extLst>
        </c:ser>
        <c:ser>
          <c:idx val="1"/>
          <c:order val="1"/>
          <c:tx>
            <c:strRef>
              <c:f>'Crime Victims '!$D$9</c:f>
              <c:strCache>
                <c:ptCount val="1"/>
                <c:pt idx="0">
                  <c:v>Safe at night</c:v>
                </c:pt>
              </c:strCache>
            </c:strRef>
          </c:tx>
          <c:spPr>
            <a:ln w="25400">
              <a:solidFill>
                <a:srgbClr val="FF6600"/>
              </a:solidFill>
            </a:ln>
          </c:spPr>
          <c:marker>
            <c:symbol val="none"/>
          </c:marker>
          <c:cat>
            <c:strRef>
              <c:f>'Crime Victims '!$E$7:$L$7</c:f>
              <c:strCache>
                <c:ptCount val="8"/>
                <c:pt idx="0">
                  <c:v>2007</c:v>
                </c:pt>
                <c:pt idx="1">
                  <c:v>2011</c:v>
                </c:pt>
                <c:pt idx="2">
                  <c:v>2012</c:v>
                </c:pt>
                <c:pt idx="3">
                  <c:v>2013/14</c:v>
                </c:pt>
                <c:pt idx="4">
                  <c:v>2014/15</c:v>
                </c:pt>
                <c:pt idx="5">
                  <c:v>2015/16</c:v>
                </c:pt>
                <c:pt idx="6">
                  <c:v>2016/17</c:v>
                </c:pt>
                <c:pt idx="7">
                  <c:v>2017/18</c:v>
                </c:pt>
              </c:strCache>
            </c:strRef>
          </c:cat>
          <c:val>
            <c:numRef>
              <c:f>'Crime Victims '!$E$9:$K$9</c:f>
              <c:numCache>
                <c:formatCode>0.0</c:formatCode>
                <c:ptCount val="7"/>
                <c:pt idx="0">
                  <c:v>23</c:v>
                </c:pt>
                <c:pt idx="1">
                  <c:v>37.6</c:v>
                </c:pt>
                <c:pt idx="2">
                  <c:v>36.5</c:v>
                </c:pt>
                <c:pt idx="3">
                  <c:v>35</c:v>
                </c:pt>
                <c:pt idx="4">
                  <c:v>31.2</c:v>
                </c:pt>
                <c:pt idx="5">
                  <c:v>30.7</c:v>
                </c:pt>
                <c:pt idx="6">
                  <c:v>29.4</c:v>
                </c:pt>
              </c:numCache>
            </c:numRef>
          </c:val>
          <c:smooth val="0"/>
          <c:extLst>
            <c:ext xmlns:c16="http://schemas.microsoft.com/office/drawing/2014/chart" uri="{C3380CC4-5D6E-409C-BE32-E72D297353CC}">
              <c16:uniqueId val="{00000001-54B6-450B-BF7A-331405630803}"/>
            </c:ext>
          </c:extLst>
        </c:ser>
        <c:dLbls>
          <c:showLegendKey val="0"/>
          <c:showVal val="0"/>
          <c:showCatName val="0"/>
          <c:showSerName val="0"/>
          <c:showPercent val="0"/>
          <c:showBubbleSize val="0"/>
        </c:dLbls>
        <c:smooth val="0"/>
        <c:axId val="341008368"/>
        <c:axId val="341015088"/>
      </c:lineChart>
      <c:catAx>
        <c:axId val="341008368"/>
        <c:scaling>
          <c:orientation val="minMax"/>
        </c:scaling>
        <c:delete val="0"/>
        <c:axPos val="b"/>
        <c:numFmt formatCode="General" sourceLinked="0"/>
        <c:majorTickMark val="out"/>
        <c:minorTickMark val="none"/>
        <c:tickLblPos val="nextTo"/>
        <c:crossAx val="341015088"/>
        <c:crosses val="autoZero"/>
        <c:auto val="1"/>
        <c:lblAlgn val="ctr"/>
        <c:lblOffset val="100"/>
        <c:noMultiLvlLbl val="0"/>
      </c:catAx>
      <c:valAx>
        <c:axId val="341015088"/>
        <c:scaling>
          <c:orientation val="minMax"/>
        </c:scaling>
        <c:delete val="0"/>
        <c:axPos val="l"/>
        <c:majorGridlines>
          <c:spPr>
            <a:ln>
              <a:prstDash val="sysDash"/>
            </a:ln>
          </c:spPr>
        </c:majorGridlines>
        <c:numFmt formatCode="0.0" sourceLinked="1"/>
        <c:majorTickMark val="out"/>
        <c:minorTickMark val="none"/>
        <c:tickLblPos val="nextTo"/>
        <c:crossAx val="341008368"/>
        <c:crosses val="autoZero"/>
        <c:crossBetween val="between"/>
      </c:valAx>
    </c:plotArea>
    <c:legend>
      <c:legendPos val="b"/>
      <c:layout>
        <c:manualLayout>
          <c:xMode val="edge"/>
          <c:yMode val="edge"/>
          <c:x val="0.21614208038318816"/>
          <c:y val="0.33698515297528109"/>
          <c:w val="0.70034183392858373"/>
          <c:h val="0.12570141418889802"/>
        </c:manualLayout>
      </c:layout>
      <c:overlay val="0"/>
    </c:legend>
    <c:plotVisOnly val="1"/>
    <c:dispBlanksAs val="gap"/>
    <c:showDLblsOverMax val="0"/>
  </c:chart>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328113535526724E-2"/>
          <c:y val="4.418913307478356E-2"/>
          <c:w val="0.94081192477581954"/>
          <c:h val="0.82653378775413766"/>
        </c:manualLayout>
      </c:layout>
      <c:lineChart>
        <c:grouping val="standard"/>
        <c:varyColors val="0"/>
        <c:ser>
          <c:idx val="0"/>
          <c:order val="0"/>
          <c:tx>
            <c:strRef>
              <c:f>'Crime rate'!$D$51</c:f>
              <c:strCache>
                <c:ptCount val="1"/>
                <c:pt idx="0">
                  <c:v>Property Crimes</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rate'!$E$51:$AB$51</c:f>
              <c:numCache>
                <c:formatCode>0.00</c:formatCode>
                <c:ptCount val="24"/>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75.898407435912603</c:v>
                </c:pt>
                <c:pt idx="11">
                  <c:v>72.056124563376954</c:v>
                </c:pt>
                <c:pt idx="12">
                  <c:v>68.361849505653893</c:v>
                </c:pt>
                <c:pt idx="13">
                  <c:v>64.531407258303247</c:v>
                </c:pt>
                <c:pt idx="14">
                  <c:v>64.709016636078388</c:v>
                </c:pt>
                <c:pt idx="15">
                  <c:v>66.425907287904806</c:v>
                </c:pt>
                <c:pt idx="16">
                  <c:v>63.288141613877215</c:v>
                </c:pt>
                <c:pt idx="17">
                  <c:v>62.743472855366768</c:v>
                </c:pt>
                <c:pt idx="18">
                  <c:v>63.844650997572685</c:v>
                </c:pt>
                <c:pt idx="19">
                  <c:v>62.879699518992958</c:v>
                </c:pt>
                <c:pt idx="20">
                  <c:v>60.523207747726474</c:v>
                </c:pt>
                <c:pt idx="21">
                  <c:v>58.55189153987331</c:v>
                </c:pt>
                <c:pt idx="22">
                  <c:v>57.249772206681151</c:v>
                </c:pt>
                <c:pt idx="23">
                  <c:v>52.120810904292348</c:v>
                </c:pt>
              </c:numCache>
            </c:numRef>
          </c:val>
          <c:smooth val="0"/>
          <c:extLst>
            <c:ext xmlns:c16="http://schemas.microsoft.com/office/drawing/2014/chart" uri="{C3380CC4-5D6E-409C-BE32-E72D297353CC}">
              <c16:uniqueId val="{00000000-9305-4EFC-8B9A-E7EA79994484}"/>
            </c:ext>
          </c:extLst>
        </c:ser>
        <c:ser>
          <c:idx val="1"/>
          <c:order val="1"/>
          <c:tx>
            <c:strRef>
              <c:f>'Crime rate'!$D$52</c:f>
              <c:strCache>
                <c:ptCount val="1"/>
                <c:pt idx="0">
                  <c:v>Contact Crimes</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rate'!$E$52:$AB$52</c:f>
              <c:numCache>
                <c:formatCode>0.00</c:formatCode>
                <c:ptCount val="24"/>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99.188092016238173</c:v>
                </c:pt>
                <c:pt idx="12">
                  <c:v>94.790257104194851</c:v>
                </c:pt>
                <c:pt idx="13">
                  <c:v>89.026940583097542</c:v>
                </c:pt>
                <c:pt idx="14">
                  <c:v>86.437446180341979</c:v>
                </c:pt>
                <c:pt idx="15">
                  <c:v>84.352318858408154</c:v>
                </c:pt>
                <c:pt idx="16">
                  <c:v>78.558248247016863</c:v>
                </c:pt>
                <c:pt idx="17">
                  <c:v>75.808832574732449</c:v>
                </c:pt>
                <c:pt idx="18">
                  <c:v>72.628859638331917</c:v>
                </c:pt>
                <c:pt idx="19">
                  <c:v>72.019928650510522</c:v>
                </c:pt>
                <c:pt idx="20">
                  <c:v>68.979049689066002</c:v>
                </c:pt>
                <c:pt idx="21">
                  <c:v>69.750276786812648</c:v>
                </c:pt>
                <c:pt idx="22">
                  <c:v>66.920900479763816</c:v>
                </c:pt>
                <c:pt idx="23">
                  <c:v>64.105595368274109</c:v>
                </c:pt>
              </c:numCache>
            </c:numRef>
          </c:val>
          <c:smooth val="0"/>
          <c:extLst>
            <c:ext xmlns:c16="http://schemas.microsoft.com/office/drawing/2014/chart" uri="{C3380CC4-5D6E-409C-BE32-E72D297353CC}">
              <c16:uniqueId val="{00000001-9305-4EFC-8B9A-E7EA79994484}"/>
            </c:ext>
          </c:extLst>
        </c:ser>
        <c:ser>
          <c:idx val="2"/>
          <c:order val="2"/>
          <c:tx>
            <c:strRef>
              <c:f>'Crime rate'!$D$53</c:f>
              <c:strCache>
                <c:ptCount val="1"/>
                <c:pt idx="0">
                  <c:v>Theft and commercial crime</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rate'!$E$53:$AB$53</c:f>
              <c:numCache>
                <c:formatCode>0.00</c:formatCode>
                <c:ptCount val="24"/>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71.540126797587746</c:v>
                </c:pt>
                <c:pt idx="21">
                  <c:v>65.595605387914816</c:v>
                </c:pt>
                <c:pt idx="22">
                  <c:v>63.160644090626548</c:v>
                </c:pt>
                <c:pt idx="23">
                  <c:v>57.137077837535976</c:v>
                </c:pt>
              </c:numCache>
            </c:numRef>
          </c:val>
          <c:smooth val="0"/>
          <c:extLst>
            <c:ext xmlns:c16="http://schemas.microsoft.com/office/drawing/2014/chart" uri="{C3380CC4-5D6E-409C-BE32-E72D297353CC}">
              <c16:uniqueId val="{00000002-9305-4EFC-8B9A-E7EA79994484}"/>
            </c:ext>
          </c:extLst>
        </c:ser>
        <c:ser>
          <c:idx val="3"/>
          <c:order val="3"/>
          <c:tx>
            <c:strRef>
              <c:f>'Crime rate'!$D$54</c:f>
              <c:strCache>
                <c:ptCount val="1"/>
                <c:pt idx="0">
                  <c:v>Damage to property and arson</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rate'!$E$54:$AB$54</c:f>
              <c:numCache>
                <c:formatCode>0.00</c:formatCode>
                <c:ptCount val="24"/>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73.497109826589593</c:v>
                </c:pt>
                <c:pt idx="18">
                  <c:v>70.317919075144502</c:v>
                </c:pt>
                <c:pt idx="19">
                  <c:v>68.497109826589593</c:v>
                </c:pt>
                <c:pt idx="20">
                  <c:v>66.16477272727272</c:v>
                </c:pt>
                <c:pt idx="21">
                  <c:v>65.635838150289018</c:v>
                </c:pt>
                <c:pt idx="22">
                  <c:v>62.409342843525359</c:v>
                </c:pt>
                <c:pt idx="23">
                  <c:v>57.783933240500495</c:v>
                </c:pt>
              </c:numCache>
            </c:numRef>
          </c:val>
          <c:smooth val="0"/>
          <c:extLst>
            <c:ext xmlns:c16="http://schemas.microsoft.com/office/drawing/2014/chart" uri="{C3380CC4-5D6E-409C-BE32-E72D297353CC}">
              <c16:uniqueId val="{00000003-9305-4EFC-8B9A-E7EA79994484}"/>
            </c:ext>
          </c:extLst>
        </c:ser>
        <c:ser>
          <c:idx val="4"/>
          <c:order val="4"/>
          <c:tx>
            <c:strRef>
              <c:f>'Crime rate'!$D$55</c:f>
              <c:strCache>
                <c:ptCount val="1"/>
                <c:pt idx="0">
                  <c:v>Total crimes </c:v>
                </c:pt>
              </c:strCache>
            </c:strRef>
          </c:tx>
          <c:spPr>
            <a:ln w="12700"/>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rate'!$E$55:$AB$55</c:f>
              <c:numCache>
                <c:formatCode>0.00</c:formatCode>
                <c:ptCount val="24"/>
                <c:pt idx="0">
                  <c:v>100</c:v>
                </c:pt>
                <c:pt idx="1">
                  <c:v>100.10621668203137</c:v>
                </c:pt>
                <c:pt idx="2">
                  <c:v>95.883602549200404</c:v>
                </c:pt>
                <c:pt idx="3">
                  <c:v>97.178243616978648</c:v>
                </c:pt>
                <c:pt idx="4">
                  <c:v>101.15635897230351</c:v>
                </c:pt>
                <c:pt idx="5">
                  <c:v>105.57336967413526</c:v>
                </c:pt>
                <c:pt idx="6">
                  <c:v>110.55352919956714</c:v>
                </c:pt>
                <c:pt idx="7">
                  <c:v>108.43921600064132</c:v>
                </c:pt>
                <c:pt idx="8">
                  <c:v>111.48743436610688</c:v>
                </c:pt>
                <c:pt idx="9">
                  <c:v>105.97218325383784</c:v>
                </c:pt>
                <c:pt idx="10">
                  <c:v>97.234358090504642</c:v>
                </c:pt>
                <c:pt idx="11">
                  <c:v>86.767004689566733</c:v>
                </c:pt>
                <c:pt idx="12">
                  <c:v>83.356046334522432</c:v>
                </c:pt>
                <c:pt idx="13">
                  <c:v>78.99314601787647</c:v>
                </c:pt>
                <c:pt idx="14">
                  <c:v>78.614373321576039</c:v>
                </c:pt>
                <c:pt idx="15">
                  <c:v>77.590284179726638</c:v>
                </c:pt>
                <c:pt idx="16">
                  <c:v>73.748446831536356</c:v>
                </c:pt>
                <c:pt idx="17">
                  <c:v>72.323540021644178</c:v>
                </c:pt>
                <c:pt idx="18">
                  <c:v>70.30742715138885</c:v>
                </c:pt>
                <c:pt idx="19">
                  <c:v>69.104994279837072</c:v>
                </c:pt>
                <c:pt idx="20">
                  <c:v>66.801789240413228</c:v>
                </c:pt>
                <c:pt idx="21">
                  <c:v>64.567718145015846</c:v>
                </c:pt>
                <c:pt idx="22">
                  <c:v>62.332839550723186</c:v>
                </c:pt>
                <c:pt idx="23">
                  <c:v>57.754387407851027</c:v>
                </c:pt>
              </c:numCache>
            </c:numRef>
          </c:val>
          <c:smooth val="0"/>
          <c:extLst>
            <c:ext xmlns:c16="http://schemas.microsoft.com/office/drawing/2014/chart" uri="{C3380CC4-5D6E-409C-BE32-E72D297353CC}">
              <c16:uniqueId val="{00000004-9305-4EFC-8B9A-E7EA79994484}"/>
            </c:ext>
          </c:extLst>
        </c:ser>
        <c:dLbls>
          <c:showLegendKey val="0"/>
          <c:showVal val="0"/>
          <c:showCatName val="0"/>
          <c:showSerName val="0"/>
          <c:showPercent val="0"/>
          <c:showBubbleSize val="0"/>
        </c:dLbls>
        <c:smooth val="0"/>
        <c:axId val="341016208"/>
        <c:axId val="341017888"/>
      </c:lineChart>
      <c:catAx>
        <c:axId val="341016208"/>
        <c:scaling>
          <c:orientation val="minMax"/>
        </c:scaling>
        <c:delete val="0"/>
        <c:axPos val="b"/>
        <c:numFmt formatCode="General" sourceLinked="1"/>
        <c:majorTickMark val="out"/>
        <c:minorTickMark val="none"/>
        <c:tickLblPos val="nextTo"/>
        <c:txPr>
          <a:bodyPr rot="0" vert="horz"/>
          <a:lstStyle/>
          <a:p>
            <a:pPr>
              <a:defRPr/>
            </a:pPr>
            <a:endParaRPr lang="en-US"/>
          </a:p>
        </c:txPr>
        <c:crossAx val="341017888"/>
        <c:crosses val="autoZero"/>
        <c:auto val="1"/>
        <c:lblAlgn val="ctr"/>
        <c:lblOffset val="100"/>
        <c:noMultiLvlLbl val="0"/>
      </c:catAx>
      <c:valAx>
        <c:axId val="341017888"/>
        <c:scaling>
          <c:orientation val="minMax"/>
        </c:scaling>
        <c:delete val="0"/>
        <c:axPos val="l"/>
        <c:majorGridlines>
          <c:spPr>
            <a:ln>
              <a:prstDash val="sysDash"/>
            </a:ln>
          </c:spPr>
        </c:majorGridlines>
        <c:numFmt formatCode="#\,###\,###" sourceLinked="0"/>
        <c:majorTickMark val="out"/>
        <c:minorTickMark val="none"/>
        <c:tickLblPos val="nextTo"/>
        <c:txPr>
          <a:bodyPr rot="0" vert="horz"/>
          <a:lstStyle/>
          <a:p>
            <a:pPr>
              <a:defRPr/>
            </a:pPr>
            <a:endParaRPr lang="en-US"/>
          </a:p>
        </c:txPr>
        <c:crossAx val="341016208"/>
        <c:crosses val="autoZero"/>
        <c:crossBetween val="midCat"/>
        <c:majorUnit val="25"/>
      </c:valAx>
      <c:spPr>
        <a:solidFill>
          <a:srgbClr val="FFFFFF"/>
        </a:solidFill>
        <a:ln>
          <a:noFill/>
          <a:prstDash val="sysDash"/>
        </a:ln>
      </c:spPr>
    </c:plotArea>
    <c:legend>
      <c:legendPos val="r"/>
      <c:layout>
        <c:manualLayout>
          <c:xMode val="edge"/>
          <c:yMode val="edge"/>
          <c:x val="6.2330655867600497E-2"/>
          <c:y val="3.4334516152187279E-2"/>
          <c:w val="0.89700762345040996"/>
          <c:h val="0.22062548072729579"/>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63993845462825E-2"/>
          <c:y val="5.4189997083697872E-2"/>
          <c:w val="0.92787154533303806"/>
          <c:h val="0.62150517854419851"/>
        </c:manualLayout>
      </c:layout>
      <c:lineChart>
        <c:grouping val="standard"/>
        <c:varyColors val="0"/>
        <c:ser>
          <c:idx val="0"/>
          <c:order val="0"/>
          <c:tx>
            <c:strRef>
              <c:f>'Crime rate'!$D$51</c:f>
              <c:strCache>
                <c:ptCount val="1"/>
                <c:pt idx="0">
                  <c:v>Property Crimes</c:v>
                </c:pt>
              </c:strCache>
            </c:strRef>
          </c:tx>
          <c:spPr>
            <a:ln w="28575" cap="rnd">
              <a:solidFill>
                <a:schemeClr val="accent1"/>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rate'!$E$51:$AB$51</c:f>
              <c:numCache>
                <c:formatCode>0.00</c:formatCode>
                <c:ptCount val="24"/>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75.898407435912603</c:v>
                </c:pt>
                <c:pt idx="11">
                  <c:v>72.056124563376954</c:v>
                </c:pt>
                <c:pt idx="12">
                  <c:v>68.361849505653893</c:v>
                </c:pt>
                <c:pt idx="13">
                  <c:v>64.531407258303247</c:v>
                </c:pt>
                <c:pt idx="14">
                  <c:v>64.709016636078388</c:v>
                </c:pt>
                <c:pt idx="15">
                  <c:v>66.425907287904806</c:v>
                </c:pt>
                <c:pt idx="16">
                  <c:v>63.288141613877215</c:v>
                </c:pt>
                <c:pt idx="17">
                  <c:v>62.743472855366768</c:v>
                </c:pt>
                <c:pt idx="18">
                  <c:v>63.844650997572685</c:v>
                </c:pt>
                <c:pt idx="19">
                  <c:v>62.879699518992958</c:v>
                </c:pt>
                <c:pt idx="20">
                  <c:v>60.523207747726474</c:v>
                </c:pt>
                <c:pt idx="21">
                  <c:v>58.55189153987331</c:v>
                </c:pt>
                <c:pt idx="22">
                  <c:v>57.249772206681151</c:v>
                </c:pt>
                <c:pt idx="23">
                  <c:v>52.120810904292348</c:v>
                </c:pt>
              </c:numCache>
            </c:numRef>
          </c:val>
          <c:smooth val="0"/>
          <c:extLst>
            <c:ext xmlns:c16="http://schemas.microsoft.com/office/drawing/2014/chart" uri="{C3380CC4-5D6E-409C-BE32-E72D297353CC}">
              <c16:uniqueId val="{00000000-EAD8-4BF6-BDFB-A1660B2CA564}"/>
            </c:ext>
          </c:extLst>
        </c:ser>
        <c:ser>
          <c:idx val="1"/>
          <c:order val="1"/>
          <c:tx>
            <c:strRef>
              <c:f>'Crime rate'!$D$52</c:f>
              <c:strCache>
                <c:ptCount val="1"/>
                <c:pt idx="0">
                  <c:v>Contact Crimes</c:v>
                </c:pt>
              </c:strCache>
            </c:strRef>
          </c:tx>
          <c:spPr>
            <a:ln w="28575" cap="rnd">
              <a:solidFill>
                <a:schemeClr val="accent2"/>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rate'!$E$52:$AB$52</c:f>
              <c:numCache>
                <c:formatCode>0.00</c:formatCode>
                <c:ptCount val="24"/>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99.188092016238173</c:v>
                </c:pt>
                <c:pt idx="12">
                  <c:v>94.790257104194851</c:v>
                </c:pt>
                <c:pt idx="13">
                  <c:v>89.026940583097542</c:v>
                </c:pt>
                <c:pt idx="14">
                  <c:v>86.437446180341979</c:v>
                </c:pt>
                <c:pt idx="15">
                  <c:v>84.352318858408154</c:v>
                </c:pt>
                <c:pt idx="16">
                  <c:v>78.558248247016863</c:v>
                </c:pt>
                <c:pt idx="17">
                  <c:v>75.808832574732449</c:v>
                </c:pt>
                <c:pt idx="18">
                  <c:v>72.628859638331917</c:v>
                </c:pt>
                <c:pt idx="19">
                  <c:v>72.019928650510522</c:v>
                </c:pt>
                <c:pt idx="20">
                  <c:v>68.979049689066002</c:v>
                </c:pt>
                <c:pt idx="21">
                  <c:v>69.750276786812648</c:v>
                </c:pt>
                <c:pt idx="22">
                  <c:v>66.920900479763816</c:v>
                </c:pt>
                <c:pt idx="23">
                  <c:v>64.105595368274109</c:v>
                </c:pt>
              </c:numCache>
            </c:numRef>
          </c:val>
          <c:smooth val="0"/>
          <c:extLst>
            <c:ext xmlns:c16="http://schemas.microsoft.com/office/drawing/2014/chart" uri="{C3380CC4-5D6E-409C-BE32-E72D297353CC}">
              <c16:uniqueId val="{00000001-EAD8-4BF6-BDFB-A1660B2CA564}"/>
            </c:ext>
          </c:extLst>
        </c:ser>
        <c:ser>
          <c:idx val="2"/>
          <c:order val="2"/>
          <c:tx>
            <c:strRef>
              <c:f>'Crime rate'!$D$53</c:f>
              <c:strCache>
                <c:ptCount val="1"/>
                <c:pt idx="0">
                  <c:v>Theft and commercial crime</c:v>
                </c:pt>
              </c:strCache>
            </c:strRef>
          </c:tx>
          <c:spPr>
            <a:ln w="28575" cap="rnd">
              <a:solidFill>
                <a:schemeClr val="accent3"/>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rate'!$E$53:$AB$53</c:f>
              <c:numCache>
                <c:formatCode>0.00</c:formatCode>
                <c:ptCount val="24"/>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71.540126797587746</c:v>
                </c:pt>
                <c:pt idx="21">
                  <c:v>65.595605387914816</c:v>
                </c:pt>
                <c:pt idx="22">
                  <c:v>63.160644090626548</c:v>
                </c:pt>
                <c:pt idx="23">
                  <c:v>57.137077837535976</c:v>
                </c:pt>
              </c:numCache>
            </c:numRef>
          </c:val>
          <c:smooth val="0"/>
          <c:extLst>
            <c:ext xmlns:c16="http://schemas.microsoft.com/office/drawing/2014/chart" uri="{C3380CC4-5D6E-409C-BE32-E72D297353CC}">
              <c16:uniqueId val="{00000002-EAD8-4BF6-BDFB-A1660B2CA564}"/>
            </c:ext>
          </c:extLst>
        </c:ser>
        <c:ser>
          <c:idx val="3"/>
          <c:order val="3"/>
          <c:tx>
            <c:strRef>
              <c:f>'Crime rate'!$D$54</c:f>
              <c:strCache>
                <c:ptCount val="1"/>
                <c:pt idx="0">
                  <c:v>Damage to property and arson</c:v>
                </c:pt>
              </c:strCache>
            </c:strRef>
          </c:tx>
          <c:spPr>
            <a:ln w="28575" cap="rnd">
              <a:solidFill>
                <a:schemeClr val="accent4"/>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rate'!$E$54:$AB$54</c:f>
              <c:numCache>
                <c:formatCode>0.00</c:formatCode>
                <c:ptCount val="24"/>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73.497109826589593</c:v>
                </c:pt>
                <c:pt idx="18">
                  <c:v>70.317919075144502</c:v>
                </c:pt>
                <c:pt idx="19">
                  <c:v>68.497109826589593</c:v>
                </c:pt>
                <c:pt idx="20">
                  <c:v>66.16477272727272</c:v>
                </c:pt>
                <c:pt idx="21">
                  <c:v>65.635838150289018</c:v>
                </c:pt>
                <c:pt idx="22">
                  <c:v>62.409342843525359</c:v>
                </c:pt>
                <c:pt idx="23">
                  <c:v>57.783933240500495</c:v>
                </c:pt>
              </c:numCache>
            </c:numRef>
          </c:val>
          <c:smooth val="0"/>
          <c:extLst>
            <c:ext xmlns:c16="http://schemas.microsoft.com/office/drawing/2014/chart" uri="{C3380CC4-5D6E-409C-BE32-E72D297353CC}">
              <c16:uniqueId val="{00000003-EAD8-4BF6-BDFB-A1660B2CA564}"/>
            </c:ext>
          </c:extLst>
        </c:ser>
        <c:ser>
          <c:idx val="4"/>
          <c:order val="4"/>
          <c:tx>
            <c:strRef>
              <c:f>'Crime rate'!$D$55</c:f>
              <c:strCache>
                <c:ptCount val="1"/>
                <c:pt idx="0">
                  <c:v>Total crimes </c:v>
                </c:pt>
              </c:strCache>
            </c:strRef>
          </c:tx>
          <c:spPr>
            <a:ln w="28575" cap="rnd">
              <a:solidFill>
                <a:schemeClr val="accent5"/>
              </a:solidFill>
              <a:round/>
            </a:ln>
            <a:effectLst/>
          </c:spPr>
          <c:marker>
            <c:symbol val="none"/>
          </c:marker>
          <c:cat>
            <c:strRef>
              <c:f>'Crime rate'!$E$50:$AB$50</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'Crime rate'!$E$55:$AB$55</c:f>
              <c:numCache>
                <c:formatCode>0.00</c:formatCode>
                <c:ptCount val="24"/>
                <c:pt idx="0">
                  <c:v>100</c:v>
                </c:pt>
                <c:pt idx="1">
                  <c:v>100.10621668203137</c:v>
                </c:pt>
                <c:pt idx="2">
                  <c:v>95.883602549200404</c:v>
                </c:pt>
                <c:pt idx="3">
                  <c:v>97.178243616978648</c:v>
                </c:pt>
                <c:pt idx="4">
                  <c:v>101.15635897230351</c:v>
                </c:pt>
                <c:pt idx="5">
                  <c:v>105.57336967413526</c:v>
                </c:pt>
                <c:pt idx="6">
                  <c:v>110.55352919956714</c:v>
                </c:pt>
                <c:pt idx="7">
                  <c:v>108.43921600064132</c:v>
                </c:pt>
                <c:pt idx="8">
                  <c:v>111.48743436610688</c:v>
                </c:pt>
                <c:pt idx="9">
                  <c:v>105.97218325383784</c:v>
                </c:pt>
                <c:pt idx="10">
                  <c:v>97.234358090504642</c:v>
                </c:pt>
                <c:pt idx="11">
                  <c:v>86.767004689566733</c:v>
                </c:pt>
                <c:pt idx="12">
                  <c:v>83.356046334522432</c:v>
                </c:pt>
                <c:pt idx="13">
                  <c:v>78.99314601787647</c:v>
                </c:pt>
                <c:pt idx="14">
                  <c:v>78.614373321576039</c:v>
                </c:pt>
                <c:pt idx="15">
                  <c:v>77.590284179726638</c:v>
                </c:pt>
                <c:pt idx="16">
                  <c:v>73.748446831536356</c:v>
                </c:pt>
                <c:pt idx="17">
                  <c:v>72.323540021644178</c:v>
                </c:pt>
                <c:pt idx="18">
                  <c:v>70.30742715138885</c:v>
                </c:pt>
                <c:pt idx="19">
                  <c:v>69.104994279837072</c:v>
                </c:pt>
                <c:pt idx="20">
                  <c:v>66.801789240413228</c:v>
                </c:pt>
                <c:pt idx="21">
                  <c:v>64.567718145015846</c:v>
                </c:pt>
                <c:pt idx="22">
                  <c:v>62.332839550723186</c:v>
                </c:pt>
                <c:pt idx="23">
                  <c:v>57.754387407851027</c:v>
                </c:pt>
              </c:numCache>
            </c:numRef>
          </c:val>
          <c:smooth val="0"/>
          <c:extLst>
            <c:ext xmlns:c16="http://schemas.microsoft.com/office/drawing/2014/chart" uri="{C3380CC4-5D6E-409C-BE32-E72D297353CC}">
              <c16:uniqueId val="{00000004-EAD8-4BF6-BDFB-A1660B2CA564}"/>
            </c:ext>
          </c:extLst>
        </c:ser>
        <c:dLbls>
          <c:showLegendKey val="0"/>
          <c:showVal val="0"/>
          <c:showCatName val="0"/>
          <c:showSerName val="0"/>
          <c:showPercent val="0"/>
          <c:showBubbleSize val="0"/>
        </c:dLbls>
        <c:smooth val="0"/>
        <c:axId val="341021248"/>
        <c:axId val="341021808"/>
      </c:lineChart>
      <c:catAx>
        <c:axId val="3410212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1021808"/>
        <c:crosses val="autoZero"/>
        <c:auto val="1"/>
        <c:lblAlgn val="ctr"/>
        <c:lblOffset val="100"/>
        <c:noMultiLvlLbl val="0"/>
      </c:catAx>
      <c:valAx>
        <c:axId val="341021808"/>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1021248"/>
        <c:crosses val="autoZero"/>
        <c:crossBetween val="between"/>
        <c:majorUnit val="25"/>
        <c:minorUnit val="5"/>
      </c:valAx>
      <c:spPr>
        <a:noFill/>
        <a:ln>
          <a:noFill/>
        </a:ln>
        <a:effectLst/>
      </c:spPr>
    </c:plotArea>
    <c:legend>
      <c:legendPos val="b"/>
      <c:layout>
        <c:manualLayout>
          <c:xMode val="edge"/>
          <c:yMode val="edge"/>
          <c:x val="0.11670368361953659"/>
          <c:y val="0.90276231310189425"/>
          <c:w val="0.76659254563488055"/>
          <c:h val="6.55647384587084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70313979854585E-2"/>
          <c:y val="5.3631936106568849E-2"/>
          <c:w val="0.91370134643712664"/>
          <c:h val="0.73962233444223724"/>
        </c:manualLayout>
      </c:layout>
      <c:lineChart>
        <c:grouping val="standard"/>
        <c:varyColors val="0"/>
        <c:ser>
          <c:idx val="0"/>
          <c:order val="0"/>
          <c:tx>
            <c:strRef>
              <c:f>'Property crime'!$D$50</c:f>
              <c:strCache>
                <c:ptCount val="1"/>
                <c:pt idx="0">
                  <c:v>Residential burglary </c:v>
                </c:pt>
              </c:strCache>
            </c:strRef>
          </c:tx>
          <c:spPr>
            <a:ln w="25400">
              <a:solidFill>
                <a:srgbClr val="FF6600"/>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crime'!$E$50:$AB$50</c:f>
              <c:numCache>
                <c:formatCode>0.0</c:formatCode>
                <c:ptCount val="24"/>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66.303377850787655</c:v>
                </c:pt>
              </c:numCache>
            </c:numRef>
          </c:val>
          <c:smooth val="0"/>
          <c:extLst>
            <c:ext xmlns:c16="http://schemas.microsoft.com/office/drawing/2014/chart" uri="{C3380CC4-5D6E-409C-BE32-E72D297353CC}">
              <c16:uniqueId val="{00000000-403D-46D2-9B3D-95923C89B90C}"/>
            </c:ext>
          </c:extLst>
        </c:ser>
        <c:ser>
          <c:idx val="1"/>
          <c:order val="1"/>
          <c:tx>
            <c:strRef>
              <c:f>'Property crime'!$D$51</c:f>
              <c:strCache>
                <c:ptCount val="1"/>
                <c:pt idx="0">
                  <c:v>Non-residential burglary</c:v>
                </c:pt>
              </c:strCache>
            </c:strRef>
          </c:tx>
          <c:spPr>
            <a:ln w="25400">
              <a:solidFill>
                <a:srgbClr val="BE4B48"/>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crime'!$E$51:$AB$51</c:f>
              <c:numCache>
                <c:formatCode>0.0</c:formatCode>
                <c:ptCount val="24"/>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54.657035287228062</c:v>
                </c:pt>
              </c:numCache>
            </c:numRef>
          </c:val>
          <c:smooth val="0"/>
          <c:extLst>
            <c:ext xmlns:c16="http://schemas.microsoft.com/office/drawing/2014/chart" uri="{C3380CC4-5D6E-409C-BE32-E72D297353CC}">
              <c16:uniqueId val="{00000001-403D-46D2-9B3D-95923C89B90C}"/>
            </c:ext>
          </c:extLst>
        </c:ser>
        <c:ser>
          <c:idx val="2"/>
          <c:order val="2"/>
          <c:tx>
            <c:strRef>
              <c:f>'Property crime'!$D$52</c:f>
              <c:strCache>
                <c:ptCount val="1"/>
                <c:pt idx="0">
                  <c:v>Theft of vehicle</c:v>
                </c:pt>
              </c:strCache>
            </c:strRef>
          </c:tx>
          <c:spPr>
            <a:ln w="25400">
              <a:solidFill>
                <a:srgbClr val="FFC600"/>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crime'!$E$52:$AB$52</c:f>
              <c:numCache>
                <c:formatCode>0.0</c:formatCode>
                <c:ptCount val="24"/>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32.183330056765413</c:v>
                </c:pt>
              </c:numCache>
            </c:numRef>
          </c:val>
          <c:smooth val="0"/>
          <c:extLst>
            <c:ext xmlns:c16="http://schemas.microsoft.com/office/drawing/2014/chart" uri="{C3380CC4-5D6E-409C-BE32-E72D297353CC}">
              <c16:uniqueId val="{00000002-403D-46D2-9B3D-95923C89B90C}"/>
            </c:ext>
          </c:extLst>
        </c:ser>
        <c:ser>
          <c:idx val="3"/>
          <c:order val="3"/>
          <c:tx>
            <c:strRef>
              <c:f>'Property crime'!$D$53</c:f>
              <c:strCache>
                <c:ptCount val="1"/>
                <c:pt idx="0">
                  <c:v>Theft out of vehicle</c:v>
                </c:pt>
              </c:strCache>
            </c:strRef>
          </c:tx>
          <c:spPr>
            <a:ln w="25400">
              <a:solidFill>
                <a:srgbClr val="00B050"/>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crime'!$E$53:$AB$53</c:f>
              <c:numCache>
                <c:formatCode>0.0</c:formatCode>
                <c:ptCount val="24"/>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47.375587776496445</c:v>
                </c:pt>
              </c:numCache>
            </c:numRef>
          </c:val>
          <c:smooth val="0"/>
          <c:extLst>
            <c:ext xmlns:c16="http://schemas.microsoft.com/office/drawing/2014/chart" uri="{C3380CC4-5D6E-409C-BE32-E72D297353CC}">
              <c16:uniqueId val="{00000003-403D-46D2-9B3D-95923C89B90C}"/>
            </c:ext>
          </c:extLst>
        </c:ser>
        <c:ser>
          <c:idx val="4"/>
          <c:order val="4"/>
          <c:tx>
            <c:strRef>
              <c:f>'Property crime'!$D$54</c:f>
              <c:strCache>
                <c:ptCount val="1"/>
                <c:pt idx="0">
                  <c:v>Stock theft</c:v>
                </c:pt>
              </c:strCache>
            </c:strRef>
          </c:tx>
          <c:spPr>
            <a:ln w="25400">
              <a:solidFill>
                <a:srgbClr val="3D96AE"/>
              </a:solidFill>
            </a:ln>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crime'!$E$54:$AB$54</c:f>
              <c:numCache>
                <c:formatCode>0.0</c:formatCode>
                <c:ptCount val="24"/>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41.028882117710438</c:v>
                </c:pt>
              </c:numCache>
            </c:numRef>
          </c:val>
          <c:smooth val="0"/>
          <c:extLst>
            <c:ext xmlns:c16="http://schemas.microsoft.com/office/drawing/2014/chart" uri="{C3380CC4-5D6E-409C-BE32-E72D297353CC}">
              <c16:uniqueId val="{00000004-403D-46D2-9B3D-95923C89B90C}"/>
            </c:ext>
          </c:extLst>
        </c:ser>
        <c:dLbls>
          <c:showLegendKey val="0"/>
          <c:showVal val="0"/>
          <c:showCatName val="0"/>
          <c:showSerName val="0"/>
          <c:showPercent val="0"/>
          <c:showBubbleSize val="0"/>
        </c:dLbls>
        <c:smooth val="0"/>
        <c:axId val="268361488"/>
        <c:axId val="268360928"/>
      </c:lineChart>
      <c:catAx>
        <c:axId val="268361488"/>
        <c:scaling>
          <c:orientation val="minMax"/>
        </c:scaling>
        <c:delete val="0"/>
        <c:axPos val="b"/>
        <c:numFmt formatCode="General" sourceLinked="1"/>
        <c:majorTickMark val="out"/>
        <c:minorTickMark val="none"/>
        <c:tickLblPos val="nextTo"/>
        <c:txPr>
          <a:bodyPr rot="0" vert="horz"/>
          <a:lstStyle/>
          <a:p>
            <a:pPr>
              <a:defRPr/>
            </a:pPr>
            <a:endParaRPr lang="en-US"/>
          </a:p>
        </c:txPr>
        <c:crossAx val="268360928"/>
        <c:crosses val="autoZero"/>
        <c:auto val="1"/>
        <c:lblAlgn val="ctr"/>
        <c:lblOffset val="100"/>
        <c:noMultiLvlLbl val="0"/>
      </c:catAx>
      <c:valAx>
        <c:axId val="268360928"/>
        <c:scaling>
          <c:orientation val="minMax"/>
          <c:min val="0.4"/>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268361488"/>
        <c:crosses val="autoZero"/>
        <c:crossBetween val="midCat"/>
      </c:valAx>
      <c:spPr>
        <a:ln>
          <a:noFill/>
        </a:ln>
      </c:spPr>
    </c:plotArea>
    <c:legend>
      <c:legendPos val="b"/>
      <c:overlay val="0"/>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40755089319845E-2"/>
          <c:y val="4.499501392113292E-2"/>
          <c:w val="0.91370134643712664"/>
          <c:h val="0.73962233444223724"/>
        </c:manualLayout>
      </c:layout>
      <c:lineChart>
        <c:grouping val="standard"/>
        <c:varyColors val="0"/>
        <c:ser>
          <c:idx val="0"/>
          <c:order val="0"/>
          <c:tx>
            <c:strRef>
              <c:f>'Property crime'!$D$50</c:f>
              <c:strCache>
                <c:ptCount val="1"/>
                <c:pt idx="0">
                  <c:v>Residential burglary </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crime'!$E$50:$AB$50</c:f>
              <c:numCache>
                <c:formatCode>0.0</c:formatCode>
                <c:ptCount val="24"/>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66.303377850787655</c:v>
                </c:pt>
              </c:numCache>
            </c:numRef>
          </c:val>
          <c:smooth val="0"/>
          <c:extLst>
            <c:ext xmlns:c16="http://schemas.microsoft.com/office/drawing/2014/chart" uri="{C3380CC4-5D6E-409C-BE32-E72D297353CC}">
              <c16:uniqueId val="{00000000-5B58-4CDD-B4D1-487F11A81202}"/>
            </c:ext>
          </c:extLst>
        </c:ser>
        <c:ser>
          <c:idx val="1"/>
          <c:order val="1"/>
          <c:tx>
            <c:strRef>
              <c:f>'Property crime'!$D$51</c:f>
              <c:strCache>
                <c:ptCount val="1"/>
                <c:pt idx="0">
                  <c:v>Non-residential burglary</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crime'!$E$51:$AB$51</c:f>
              <c:numCache>
                <c:formatCode>0.0</c:formatCode>
                <c:ptCount val="24"/>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54.657035287228062</c:v>
                </c:pt>
              </c:numCache>
            </c:numRef>
          </c:val>
          <c:smooth val="0"/>
          <c:extLst>
            <c:ext xmlns:c16="http://schemas.microsoft.com/office/drawing/2014/chart" uri="{C3380CC4-5D6E-409C-BE32-E72D297353CC}">
              <c16:uniqueId val="{00000001-5B58-4CDD-B4D1-487F11A81202}"/>
            </c:ext>
          </c:extLst>
        </c:ser>
        <c:ser>
          <c:idx val="2"/>
          <c:order val="2"/>
          <c:tx>
            <c:strRef>
              <c:f>'Property crime'!$D$52</c:f>
              <c:strCache>
                <c:ptCount val="1"/>
                <c:pt idx="0">
                  <c:v>Theft of vehicle</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crime'!$E$52:$AB$52</c:f>
              <c:numCache>
                <c:formatCode>0.0</c:formatCode>
                <c:ptCount val="24"/>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32.183330056765413</c:v>
                </c:pt>
              </c:numCache>
            </c:numRef>
          </c:val>
          <c:smooth val="0"/>
          <c:extLst>
            <c:ext xmlns:c16="http://schemas.microsoft.com/office/drawing/2014/chart" uri="{C3380CC4-5D6E-409C-BE32-E72D297353CC}">
              <c16:uniqueId val="{00000002-5B58-4CDD-B4D1-487F11A81202}"/>
            </c:ext>
          </c:extLst>
        </c:ser>
        <c:ser>
          <c:idx val="3"/>
          <c:order val="3"/>
          <c:tx>
            <c:strRef>
              <c:f>'Property crime'!$D$53</c:f>
              <c:strCache>
                <c:ptCount val="1"/>
                <c:pt idx="0">
                  <c:v>Theft out of vehicle</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crime'!$E$53:$AB$53</c:f>
              <c:numCache>
                <c:formatCode>0.0</c:formatCode>
                <c:ptCount val="24"/>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47.375587776496445</c:v>
                </c:pt>
              </c:numCache>
            </c:numRef>
          </c:val>
          <c:smooth val="0"/>
          <c:extLst>
            <c:ext xmlns:c16="http://schemas.microsoft.com/office/drawing/2014/chart" uri="{C3380CC4-5D6E-409C-BE32-E72D297353CC}">
              <c16:uniqueId val="{00000003-5B58-4CDD-B4D1-487F11A81202}"/>
            </c:ext>
          </c:extLst>
        </c:ser>
        <c:ser>
          <c:idx val="4"/>
          <c:order val="4"/>
          <c:tx>
            <c:strRef>
              <c:f>'Property crime'!$D$54</c:f>
              <c:strCache>
                <c:ptCount val="1"/>
                <c:pt idx="0">
                  <c:v>Stock theft</c:v>
                </c:pt>
              </c:strCache>
            </c:strRef>
          </c:tx>
          <c:spPr>
            <a:ln w="3175"/>
          </c:spPr>
          <c:marker>
            <c:symbol val="none"/>
          </c:marker>
          <c:cat>
            <c:strRef>
              <c:f>'Property crime'!$E$49:$AB$49</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'Property crime'!$E$54:$AB$54</c:f>
              <c:numCache>
                <c:formatCode>0.0</c:formatCode>
                <c:ptCount val="24"/>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41.028882117710438</c:v>
                </c:pt>
              </c:numCache>
            </c:numRef>
          </c:val>
          <c:smooth val="0"/>
          <c:extLst>
            <c:ext xmlns:c16="http://schemas.microsoft.com/office/drawing/2014/chart" uri="{C3380CC4-5D6E-409C-BE32-E72D297353CC}">
              <c16:uniqueId val="{00000004-5B58-4CDD-B4D1-487F11A81202}"/>
            </c:ext>
          </c:extLst>
        </c:ser>
        <c:dLbls>
          <c:showLegendKey val="0"/>
          <c:showVal val="0"/>
          <c:showCatName val="0"/>
          <c:showSerName val="0"/>
          <c:showPercent val="0"/>
          <c:showBubbleSize val="0"/>
        </c:dLbls>
        <c:smooth val="0"/>
        <c:axId val="40205568"/>
        <c:axId val="266876592"/>
      </c:lineChart>
      <c:catAx>
        <c:axId val="402055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66876592"/>
        <c:crosses val="autoZero"/>
        <c:auto val="1"/>
        <c:lblAlgn val="ctr"/>
        <c:lblOffset val="100"/>
        <c:noMultiLvlLbl val="0"/>
      </c:catAx>
      <c:valAx>
        <c:axId val="266876592"/>
        <c:scaling>
          <c:orientation val="minMax"/>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40205568"/>
        <c:crosses val="autoZero"/>
        <c:crossBetween val="midCat"/>
      </c:valAx>
      <c:spPr>
        <a:ln>
          <a:noFill/>
        </a:ln>
      </c:spPr>
    </c:plotArea>
    <c:legend>
      <c:legendPos val="r"/>
      <c:layout>
        <c:manualLayout>
          <c:xMode val="edge"/>
          <c:yMode val="edge"/>
          <c:x val="7.0789259560618392E-2"/>
          <c:y val="5.8679881737689357E-2"/>
          <c:w val="0.8201790073230345"/>
          <c:h val="6.3569871882496978E-2"/>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55"/>
          <c:y val="3.8610038610038609E-2"/>
        </c:manualLayout>
      </c:layout>
      <c:overlay val="0"/>
      <c:spPr>
        <a:noFill/>
        <a:ln w="25400">
          <a:noFill/>
        </a:ln>
      </c:spPr>
    </c:title>
    <c:autoTitleDeleted val="0"/>
    <c:plotArea>
      <c:layout/>
      <c:lineChart>
        <c:grouping val="standard"/>
        <c:varyColors val="0"/>
        <c:ser>
          <c:idx val="0"/>
          <c:order val="0"/>
          <c:tx>
            <c:strRef>
              <c:f>'[16]Contact Crime'!$A$171</c:f>
              <c:strCache>
                <c:ptCount val="1"/>
                <c:pt idx="0">
                  <c:v>Murder</c:v>
                </c:pt>
              </c:strCache>
            </c:strRef>
          </c:tx>
          <c:spPr>
            <a:ln w="25400">
              <a:solidFill>
                <a:srgbClr val="000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2E1B-4DC4-B625-53F7BD893DE4}"/>
            </c:ext>
          </c:extLst>
        </c:ser>
        <c:ser>
          <c:idx val="1"/>
          <c:order val="1"/>
          <c:tx>
            <c:strRef>
              <c:f>'[16]Contact Crime'!$A$172</c:f>
              <c:strCache>
                <c:ptCount val="1"/>
                <c:pt idx="0">
                  <c:v>Attempted Murder</c:v>
                </c:pt>
              </c:strCache>
            </c:strRef>
          </c:tx>
          <c:spPr>
            <a:ln w="25400">
              <a:solidFill>
                <a:srgbClr val="FF00FF"/>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2E1B-4DC4-B625-53F7BD893DE4}"/>
            </c:ext>
          </c:extLst>
        </c:ser>
        <c:ser>
          <c:idx val="2"/>
          <c:order val="2"/>
          <c:tx>
            <c:strRef>
              <c:f>'[16]Contact Crime'!$A$173</c:f>
              <c:strCache>
                <c:ptCount val="1"/>
                <c:pt idx="0">
                  <c:v>Common Assault</c:v>
                </c:pt>
              </c:strCache>
            </c:strRef>
          </c:tx>
          <c:spPr>
            <a:ln w="25400">
              <a:solidFill>
                <a:srgbClr val="FFFF0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2E1B-4DC4-B625-53F7BD893DE4}"/>
            </c:ext>
          </c:extLst>
        </c:ser>
        <c:ser>
          <c:idx val="3"/>
          <c:order val="3"/>
          <c:tx>
            <c:strRef>
              <c:f>'[16]Contact Crime'!$A$174</c:f>
              <c:strCache>
                <c:ptCount val="1"/>
                <c:pt idx="0">
                  <c:v>Assault GBH</c:v>
                </c:pt>
              </c:strCache>
            </c:strRef>
          </c:tx>
          <c:spPr>
            <a:ln w="25400">
              <a:solidFill>
                <a:srgbClr val="00FFFF"/>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2E1B-4DC4-B625-53F7BD893DE4}"/>
            </c:ext>
          </c:extLst>
        </c:ser>
        <c:ser>
          <c:idx val="4"/>
          <c:order val="4"/>
          <c:tx>
            <c:strRef>
              <c:f>'[16]Contact Crime'!$A$175</c:f>
              <c:strCache>
                <c:ptCount val="1"/>
                <c:pt idx="0">
                  <c:v>Rape</c:v>
                </c:pt>
              </c:strCache>
            </c:strRef>
          </c:tx>
          <c:spPr>
            <a:ln w="25400">
              <a:solidFill>
                <a:srgbClr val="800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2E1B-4DC4-B625-53F7BD893DE4}"/>
            </c:ext>
          </c:extLst>
        </c:ser>
        <c:ser>
          <c:idx val="5"/>
          <c:order val="5"/>
          <c:tx>
            <c:strRef>
              <c:f>'[16]Contact Crime'!$A$176</c:f>
              <c:strCache>
                <c:ptCount val="1"/>
                <c:pt idx="0">
                  <c:v>Aggravated Robbery</c:v>
                </c:pt>
              </c:strCache>
            </c:strRef>
          </c:tx>
          <c:spPr>
            <a:ln w="25400">
              <a:solidFill>
                <a:srgbClr val="80000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2E1B-4DC4-B625-53F7BD893DE4}"/>
            </c:ext>
          </c:extLst>
        </c:ser>
        <c:ser>
          <c:idx val="6"/>
          <c:order val="6"/>
          <c:tx>
            <c:strRef>
              <c:f>'[16]Contact Crime'!$A$177</c:f>
              <c:strCache>
                <c:ptCount val="1"/>
                <c:pt idx="0">
                  <c:v>Common Robbery</c:v>
                </c:pt>
              </c:strCache>
            </c:strRef>
          </c:tx>
          <c:spPr>
            <a:ln w="25400">
              <a:solidFill>
                <a:srgbClr val="008080"/>
              </a:solidFill>
              <a:prstDash val="solid"/>
            </a:ln>
          </c:spPr>
          <c:marker>
            <c:symbol val="none"/>
          </c:marker>
          <c:cat>
            <c:strRef>
              <c:f>'[16]Contact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'[16]Contact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2E1B-4DC4-B625-53F7BD893DE4}"/>
            </c:ext>
          </c:extLst>
        </c:ser>
        <c:dLbls>
          <c:showLegendKey val="0"/>
          <c:showVal val="0"/>
          <c:showCatName val="0"/>
          <c:showSerName val="0"/>
          <c:showPercent val="0"/>
          <c:showBubbleSize val="0"/>
        </c:dLbls>
        <c:smooth val="0"/>
        <c:axId val="339083440"/>
        <c:axId val="339084000"/>
      </c:lineChart>
      <c:catAx>
        <c:axId val="33908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9084000"/>
        <c:crosses val="autoZero"/>
        <c:auto val="1"/>
        <c:lblAlgn val="ctr"/>
        <c:lblOffset val="100"/>
        <c:tickLblSkip val="1"/>
        <c:tickMarkSkip val="1"/>
        <c:noMultiLvlLbl val="0"/>
      </c:catAx>
      <c:valAx>
        <c:axId val="33908400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3908344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horizontalDpi="-4"/>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Contact crimes per 100 000 of population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6111529832470168E-2"/>
          <c:y val="0.19296579491392307"/>
          <c:w val="0.90222180280492736"/>
          <c:h val="0.5817052891950204"/>
        </c:manualLayout>
      </c:layout>
      <c:lineChart>
        <c:grouping val="standard"/>
        <c:varyColors val="0"/>
        <c:ser>
          <c:idx val="0"/>
          <c:order val="0"/>
          <c:tx>
            <c:strRef>
              <c:f>'Contact crime'!$D$8</c:f>
              <c:strCache>
                <c:ptCount val="1"/>
                <c:pt idx="0">
                  <c:v>Social Contact crimes</c:v>
                </c:pt>
              </c:strCache>
            </c:strRef>
          </c:tx>
          <c:spPr>
            <a:ln w="28575" cap="rnd" cmpd="sng" algn="ctr">
              <a:solidFill>
                <a:schemeClr val="accent1">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crime'!$E$8:$X$8</c:f>
              <c:numCache>
                <c:formatCode>General</c:formatCode>
                <c:ptCount val="20"/>
              </c:numCache>
            </c:numRef>
          </c:val>
          <c:smooth val="0"/>
          <c:extLst>
            <c:ext xmlns:c16="http://schemas.microsoft.com/office/drawing/2014/chart" uri="{C3380CC4-5D6E-409C-BE32-E72D297353CC}">
              <c16:uniqueId val="{00000000-91FF-4519-9135-08E799E416EA}"/>
            </c:ext>
          </c:extLst>
        </c:ser>
        <c:ser>
          <c:idx val="1"/>
          <c:order val="1"/>
          <c:tx>
            <c:strRef>
              <c:f>'Contact crime'!$D$9</c:f>
              <c:strCache>
                <c:ptCount val="1"/>
                <c:pt idx="0">
                  <c:v>Murder</c:v>
                </c:pt>
              </c:strCache>
            </c:strRef>
          </c:tx>
          <c:spPr>
            <a:ln w="28575" cap="rnd" cmpd="sng" algn="ctr">
              <a:solidFill>
                <a:schemeClr val="accent2">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crime'!$E$9:$AA$9</c:f>
              <c:numCache>
                <c:formatCode>#\ ##0.0</c:formatCode>
                <c:ptCount val="23"/>
                <c:pt idx="0">
                  <c:v>67.90893930971751</c:v>
                </c:pt>
                <c:pt idx="1">
                  <c:v>62.759382965122363</c:v>
                </c:pt>
                <c:pt idx="2">
                  <c:v>59.478235522736107</c:v>
                </c:pt>
                <c:pt idx="3">
                  <c:v>59.837588112021344</c:v>
                </c:pt>
                <c:pt idx="4">
                  <c:v>52.501135368408086</c:v>
                </c:pt>
                <c:pt idx="5">
                  <c:v>49.805772822817829</c:v>
                </c:pt>
                <c:pt idx="6">
                  <c:v>47.757934008508478</c:v>
                </c:pt>
                <c:pt idx="7">
                  <c:v>47.418095377055813</c:v>
                </c:pt>
                <c:pt idx="8">
                  <c:v>42.73800107013161</c:v>
                </c:pt>
                <c:pt idx="9">
                  <c:v>40.299999999999997</c:v>
                </c:pt>
                <c:pt idx="10">
                  <c:v>39.6</c:v>
                </c:pt>
                <c:pt idx="11">
                  <c:v>40.5</c:v>
                </c:pt>
                <c:pt idx="12">
                  <c:v>38.6</c:v>
                </c:pt>
                <c:pt idx="13">
                  <c:v>37.299999999999997</c:v>
                </c:pt>
                <c:pt idx="14">
                  <c:v>34.1</c:v>
                </c:pt>
                <c:pt idx="15">
                  <c:v>31.9</c:v>
                </c:pt>
                <c:pt idx="16">
                  <c:v>30.9</c:v>
                </c:pt>
                <c:pt idx="17">
                  <c:v>31.1</c:v>
                </c:pt>
                <c:pt idx="18">
                  <c:v>32.200000000000003</c:v>
                </c:pt>
                <c:pt idx="19">
                  <c:v>32.971029159426344</c:v>
                </c:pt>
                <c:pt idx="20" formatCode="0.0">
                  <c:v>33.977535122978189</c:v>
                </c:pt>
                <c:pt idx="21" formatCode="General">
                  <c:v>34.1</c:v>
                </c:pt>
                <c:pt idx="22" formatCode="0.0">
                  <c:v>35.832260547474156</c:v>
                </c:pt>
              </c:numCache>
            </c:numRef>
          </c:val>
          <c:smooth val="0"/>
          <c:extLst>
            <c:ext xmlns:c16="http://schemas.microsoft.com/office/drawing/2014/chart" uri="{C3380CC4-5D6E-409C-BE32-E72D297353CC}">
              <c16:uniqueId val="{00000001-91FF-4519-9135-08E799E416EA}"/>
            </c:ext>
          </c:extLst>
        </c:ser>
        <c:ser>
          <c:idx val="2"/>
          <c:order val="2"/>
          <c:tx>
            <c:strRef>
              <c:f>'Contact crime'!$D$10</c:f>
              <c:strCache>
                <c:ptCount val="1"/>
                <c:pt idx="0">
                  <c:v>Attempted Murder</c:v>
                </c:pt>
              </c:strCache>
            </c:strRef>
          </c:tx>
          <c:spPr>
            <a:ln w="28575" cap="rnd" cmpd="sng" algn="ctr">
              <a:solidFill>
                <a:schemeClr val="accent3">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crime'!$E$10:$AA$10</c:f>
              <c:numCache>
                <c:formatCode>#\ ##0.0</c:formatCode>
                <c:ptCount val="23"/>
                <c:pt idx="0">
                  <c:v>67.906412653494357</c:v>
                </c:pt>
                <c:pt idx="1">
                  <c:v>70.412725858317103</c:v>
                </c:pt>
                <c:pt idx="2">
                  <c:v>68.366206762534006</c:v>
                </c:pt>
                <c:pt idx="3">
                  <c:v>70.35863974090303</c:v>
                </c:pt>
                <c:pt idx="4">
                  <c:v>65.449897962589432</c:v>
                </c:pt>
                <c:pt idx="5">
                  <c:v>64.38720369336427</c:v>
                </c:pt>
                <c:pt idx="6">
                  <c:v>69.819622935213999</c:v>
                </c:pt>
                <c:pt idx="7">
                  <c:v>78.896688085955475</c:v>
                </c:pt>
                <c:pt idx="8">
                  <c:v>64.839997991589897</c:v>
                </c:pt>
                <c:pt idx="9">
                  <c:v>52.6</c:v>
                </c:pt>
                <c:pt idx="10">
                  <c:v>43.8</c:v>
                </c:pt>
                <c:pt idx="11">
                  <c:v>42.5</c:v>
                </c:pt>
                <c:pt idx="12">
                  <c:v>39.299999999999997</c:v>
                </c:pt>
                <c:pt idx="13">
                  <c:v>37.6</c:v>
                </c:pt>
                <c:pt idx="14">
                  <c:v>35.299999999999997</c:v>
                </c:pt>
                <c:pt idx="15">
                  <c:v>31</c:v>
                </c:pt>
                <c:pt idx="16">
                  <c:v>29.4</c:v>
                </c:pt>
                <c:pt idx="17">
                  <c:v>31.3</c:v>
                </c:pt>
                <c:pt idx="18">
                  <c:v>32.299999999999997</c:v>
                </c:pt>
                <c:pt idx="19">
                  <c:v>32.474750821053625</c:v>
                </c:pt>
                <c:pt idx="20" formatCode="0.0">
                  <c:v>32.984029302962867</c:v>
                </c:pt>
                <c:pt idx="21" formatCode="General">
                  <c:v>32.6</c:v>
                </c:pt>
                <c:pt idx="22" formatCode="0.0">
                  <c:v>32.126750912770277</c:v>
                </c:pt>
              </c:numCache>
            </c:numRef>
          </c:val>
          <c:smooth val="0"/>
          <c:extLst>
            <c:ext xmlns:c16="http://schemas.microsoft.com/office/drawing/2014/chart" uri="{C3380CC4-5D6E-409C-BE32-E72D297353CC}">
              <c16:uniqueId val="{00000002-91FF-4519-9135-08E799E416EA}"/>
            </c:ext>
          </c:extLst>
        </c:ser>
        <c:ser>
          <c:idx val="3"/>
          <c:order val="3"/>
          <c:tx>
            <c:strRef>
              <c:f>'Contact crime'!$D$11</c:f>
              <c:strCache>
                <c:ptCount val="1"/>
                <c:pt idx="0">
                  <c:v>Common Assault</c:v>
                </c:pt>
              </c:strCache>
            </c:strRef>
          </c:tx>
          <c:spPr>
            <a:ln w="28575" cap="rnd" cmpd="sng" algn="ctr">
              <a:solidFill>
                <a:schemeClr val="accent4">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crime'!$E$11:$AA$11</c:f>
              <c:numCache>
                <c:formatCode>#\ ##0.0</c:formatCode>
                <c:ptCount val="23"/>
                <c:pt idx="0">
                  <c:v>520.50634190712015</c:v>
                </c:pt>
                <c:pt idx="1">
                  <c:v>500.25905801837609</c:v>
                </c:pt>
                <c:pt idx="2">
                  <c:v>489.01331130975518</c:v>
                </c:pt>
                <c:pt idx="3">
                  <c:v>485.04000762049913</c:v>
                </c:pt>
                <c:pt idx="4">
                  <c:v>538.9100793098354</c:v>
                </c:pt>
                <c:pt idx="5">
                  <c:v>569.66468591929822</c:v>
                </c:pt>
                <c:pt idx="6">
                  <c:v>584.30900751003276</c:v>
                </c:pt>
                <c:pt idx="7">
                  <c:v>621.57680204602934</c:v>
                </c:pt>
                <c:pt idx="8">
                  <c:v>605.67491407611556</c:v>
                </c:pt>
                <c:pt idx="9">
                  <c:v>575</c:v>
                </c:pt>
                <c:pt idx="10">
                  <c:v>485.3</c:v>
                </c:pt>
                <c:pt idx="11">
                  <c:v>443.2</c:v>
                </c:pt>
                <c:pt idx="12">
                  <c:v>413.9</c:v>
                </c:pt>
                <c:pt idx="13">
                  <c:v>396.1</c:v>
                </c:pt>
                <c:pt idx="14">
                  <c:v>400</c:v>
                </c:pt>
                <c:pt idx="15">
                  <c:v>371.8</c:v>
                </c:pt>
                <c:pt idx="16">
                  <c:v>359.1</c:v>
                </c:pt>
                <c:pt idx="17">
                  <c:v>330.8</c:v>
                </c:pt>
                <c:pt idx="18">
                  <c:v>315.5</c:v>
                </c:pt>
                <c:pt idx="19">
                  <c:v>299.03732742707791</c:v>
                </c:pt>
                <c:pt idx="20" formatCode="0.0">
                  <c:v>300.15885175473869</c:v>
                </c:pt>
                <c:pt idx="21" formatCode="General">
                  <c:v>280.2</c:v>
                </c:pt>
                <c:pt idx="22" formatCode="0.0">
                  <c:v>275.30192194723668</c:v>
                </c:pt>
              </c:numCache>
            </c:numRef>
          </c:val>
          <c:smooth val="0"/>
          <c:extLst>
            <c:ext xmlns:c16="http://schemas.microsoft.com/office/drawing/2014/chart" uri="{C3380CC4-5D6E-409C-BE32-E72D297353CC}">
              <c16:uniqueId val="{00000003-91FF-4519-9135-08E799E416EA}"/>
            </c:ext>
          </c:extLst>
        </c:ser>
        <c:ser>
          <c:idx val="4"/>
          <c:order val="4"/>
          <c:tx>
            <c:strRef>
              <c:f>'Contact crime'!$D$12</c:f>
              <c:strCache>
                <c:ptCount val="1"/>
                <c:pt idx="0">
                  <c:v>Assault Grievous Body Harm</c:v>
                </c:pt>
              </c:strCache>
            </c:strRef>
          </c:tx>
          <c:spPr>
            <a:ln w="28575" cap="rnd" cmpd="sng" algn="ctr">
              <a:solidFill>
                <a:schemeClr val="accent5">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crime'!$E$12:$AA$12</c:f>
              <c:numCache>
                <c:formatCode>#\ ##0.0</c:formatCode>
                <c:ptCount val="23"/>
                <c:pt idx="0">
                  <c:v>563.68942341704985</c:v>
                </c:pt>
                <c:pt idx="1">
                  <c:v>570.42045065869388</c:v>
                </c:pt>
                <c:pt idx="2">
                  <c:v>570.39205207928489</c:v>
                </c:pt>
                <c:pt idx="3">
                  <c:v>566.34120784911408</c:v>
                </c:pt>
                <c:pt idx="4">
                  <c:v>608.07853671875387</c:v>
                </c:pt>
                <c:pt idx="5">
                  <c:v>630.15816686371431</c:v>
                </c:pt>
                <c:pt idx="6">
                  <c:v>589.05244912190324</c:v>
                </c:pt>
                <c:pt idx="7">
                  <c:v>585.92467772063662</c:v>
                </c:pt>
                <c:pt idx="8">
                  <c:v>560.70342989921153</c:v>
                </c:pt>
                <c:pt idx="9">
                  <c:v>535.29999999999995</c:v>
                </c:pt>
                <c:pt idx="10">
                  <c:v>484</c:v>
                </c:pt>
                <c:pt idx="11">
                  <c:v>460.1</c:v>
                </c:pt>
                <c:pt idx="12">
                  <c:v>439.1</c:v>
                </c:pt>
                <c:pt idx="13">
                  <c:v>418.5</c:v>
                </c:pt>
                <c:pt idx="14">
                  <c:v>416.2</c:v>
                </c:pt>
                <c:pt idx="15">
                  <c:v>397.3</c:v>
                </c:pt>
                <c:pt idx="16">
                  <c:v>380.8</c:v>
                </c:pt>
                <c:pt idx="17">
                  <c:v>355.6</c:v>
                </c:pt>
                <c:pt idx="18">
                  <c:v>345.7</c:v>
                </c:pt>
                <c:pt idx="19">
                  <c:v>338.05443410436595</c:v>
                </c:pt>
                <c:pt idx="20" formatCode="0.0">
                  <c:v>332.86630068289878</c:v>
                </c:pt>
                <c:pt idx="21" formatCode="General">
                  <c:v>305.5</c:v>
                </c:pt>
                <c:pt idx="22" formatCode="0.0">
                  <c:v>294.87610479646418</c:v>
                </c:pt>
              </c:numCache>
            </c:numRef>
          </c:val>
          <c:smooth val="0"/>
          <c:extLst>
            <c:ext xmlns:c16="http://schemas.microsoft.com/office/drawing/2014/chart" uri="{C3380CC4-5D6E-409C-BE32-E72D297353CC}">
              <c16:uniqueId val="{00000004-91FF-4519-9135-08E799E416EA}"/>
            </c:ext>
          </c:extLst>
        </c:ser>
        <c:ser>
          <c:idx val="5"/>
          <c:order val="5"/>
          <c:tx>
            <c:strRef>
              <c:f>'Contact crime'!$D$13</c:f>
              <c:strCache>
                <c:ptCount val="1"/>
                <c:pt idx="0">
                  <c:v>Sexual Offences</c:v>
                </c:pt>
              </c:strCache>
            </c:strRef>
          </c:tx>
          <c:spPr>
            <a:ln w="28575" cap="rnd" cmpd="sng" algn="ctr">
              <a:solidFill>
                <a:schemeClr val="accent6">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crime'!$E$13:$AA$13</c:f>
              <c:numCache>
                <c:formatCode>#\ ##0.0</c:formatCode>
                <c:ptCount val="23"/>
                <c:pt idx="8">
                  <c:v>142.5</c:v>
                </c:pt>
                <c:pt idx="9">
                  <c:v>148.4</c:v>
                </c:pt>
                <c:pt idx="10">
                  <c:v>145.19999999999999</c:v>
                </c:pt>
                <c:pt idx="11">
                  <c:v>137.6</c:v>
                </c:pt>
                <c:pt idx="12">
                  <c:v>133.4</c:v>
                </c:pt>
                <c:pt idx="13">
                  <c:v>144.80000000000001</c:v>
                </c:pt>
                <c:pt idx="14">
                  <c:v>138.5</c:v>
                </c:pt>
                <c:pt idx="15">
                  <c:v>132.4</c:v>
                </c:pt>
                <c:pt idx="16">
                  <c:v>127.5</c:v>
                </c:pt>
                <c:pt idx="17">
                  <c:v>127</c:v>
                </c:pt>
                <c:pt idx="18">
                  <c:v>118.2</c:v>
                </c:pt>
                <c:pt idx="19">
                  <c:v>99.287148016903245</c:v>
                </c:pt>
                <c:pt idx="20" formatCode="0.0">
                  <c:v>94.428543094679654</c:v>
                </c:pt>
                <c:pt idx="21" formatCode="0.0">
                  <c:v>88.821319978536934</c:v>
                </c:pt>
                <c:pt idx="22" formatCode="0.0">
                  <c:v>88.29085914205524</c:v>
                </c:pt>
              </c:numCache>
            </c:numRef>
          </c:val>
          <c:smooth val="0"/>
          <c:extLst>
            <c:ext xmlns:c16="http://schemas.microsoft.com/office/drawing/2014/chart" uri="{C3380CC4-5D6E-409C-BE32-E72D297353CC}">
              <c16:uniqueId val="{00000005-91FF-4519-9135-08E799E416EA}"/>
            </c:ext>
          </c:extLst>
        </c:ser>
        <c:ser>
          <c:idx val="6"/>
          <c:order val="6"/>
          <c:tx>
            <c:strRef>
              <c:f>'Contact crime'!$D$14</c:f>
              <c:strCache>
                <c:ptCount val="1"/>
                <c:pt idx="0">
                  <c:v>Aggravated Robbery</c:v>
                </c:pt>
              </c:strCache>
            </c:strRef>
          </c:tx>
          <c:spPr>
            <a:ln w="28575" cap="rnd" cmpd="sng" algn="ctr">
              <a:solidFill>
                <a:schemeClr val="accent1">
                  <a:lumMod val="60000"/>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crime'!$E$14:$AA$14</c:f>
              <c:numCache>
                <c:formatCode>#\ ##0.0</c:formatCode>
                <c:ptCount val="23"/>
                <c:pt idx="0">
                  <c:v>194.97448077214614</c:v>
                </c:pt>
                <c:pt idx="1">
                  <c:v>163.02901669106365</c:v>
                </c:pt>
                <c:pt idx="2">
                  <c:v>177.45093276331133</c:v>
                </c:pt>
                <c:pt idx="3">
                  <c:v>220.58963612116594</c:v>
                </c:pt>
                <c:pt idx="4">
                  <c:v>229.50781672086839</c:v>
                </c:pt>
                <c:pt idx="5">
                  <c:v>260.30486544349441</c:v>
                </c:pt>
                <c:pt idx="6">
                  <c:v>260.45644402790214</c:v>
                </c:pt>
                <c:pt idx="7">
                  <c:v>279.19980484504561</c:v>
                </c:pt>
                <c:pt idx="8">
                  <c:v>288.14950297778705</c:v>
                </c:pt>
                <c:pt idx="9">
                  <c:v>272.2</c:v>
                </c:pt>
                <c:pt idx="10">
                  <c:v>255.3</c:v>
                </c:pt>
                <c:pt idx="11">
                  <c:v>267.10000000000002</c:v>
                </c:pt>
                <c:pt idx="12">
                  <c:v>247.3</c:v>
                </c:pt>
                <c:pt idx="13">
                  <c:v>249.3</c:v>
                </c:pt>
                <c:pt idx="14">
                  <c:v>230.6</c:v>
                </c:pt>
                <c:pt idx="15">
                  <c:v>203</c:v>
                </c:pt>
                <c:pt idx="16">
                  <c:v>200.1</c:v>
                </c:pt>
                <c:pt idx="17">
                  <c:v>202.6</c:v>
                </c:pt>
                <c:pt idx="18">
                  <c:v>225.3</c:v>
                </c:pt>
                <c:pt idx="19">
                  <c:v>238.96357528099816</c:v>
                </c:pt>
                <c:pt idx="20" formatCode="0.0">
                  <c:v>241.1471534966492</c:v>
                </c:pt>
                <c:pt idx="21" formatCode="0.0">
                  <c:v>252.11232337685567</c:v>
                </c:pt>
                <c:pt idx="22" formatCode="0.0">
                  <c:v>243.79892301291866</c:v>
                </c:pt>
              </c:numCache>
            </c:numRef>
          </c:val>
          <c:smooth val="0"/>
          <c:extLst>
            <c:ext xmlns:c16="http://schemas.microsoft.com/office/drawing/2014/chart" uri="{C3380CC4-5D6E-409C-BE32-E72D297353CC}">
              <c16:uniqueId val="{00000006-91FF-4519-9135-08E799E416EA}"/>
            </c:ext>
          </c:extLst>
        </c:ser>
        <c:ser>
          <c:idx val="7"/>
          <c:order val="7"/>
          <c:tx>
            <c:strRef>
              <c:f>'Contact crime'!$D$15</c:f>
              <c:strCache>
                <c:ptCount val="1"/>
                <c:pt idx="0">
                  <c:v>Common Robbery</c:v>
                </c:pt>
              </c:strCache>
            </c:strRef>
          </c:tx>
          <c:spPr>
            <a:ln w="28575" cap="rnd" cmpd="sng" algn="ctr">
              <a:solidFill>
                <a:schemeClr val="accent2">
                  <a:lumMod val="60000"/>
                  <a:shade val="95000"/>
                  <a:satMod val="105000"/>
                </a:schemeClr>
              </a:solidFill>
              <a:prstDash val="solid"/>
              <a:round/>
            </a:ln>
            <a:effectLst/>
          </c:spPr>
          <c:marker>
            <c:symbol val="none"/>
          </c:marker>
          <c:cat>
            <c:strRef>
              <c:f>'Contact crime'!$E$7:$AA$7</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'Contact crime'!$E$15:$AA$15</c:f>
              <c:numCache>
                <c:formatCode>#\ ##0.0</c:formatCode>
                <c:ptCount val="23"/>
                <c:pt idx="0">
                  <c:v>115.42523624235687</c:v>
                </c:pt>
                <c:pt idx="1">
                  <c:v>124.86825642483475</c:v>
                </c:pt>
                <c:pt idx="2">
                  <c:v>133.43373493975903</c:v>
                </c:pt>
                <c:pt idx="3">
                  <c:v>154.73899790436275</c:v>
                </c:pt>
                <c:pt idx="4">
                  <c:v>173.52735465002374</c:v>
                </c:pt>
                <c:pt idx="5">
                  <c:v>206.50922856928531</c:v>
                </c:pt>
                <c:pt idx="6">
                  <c:v>201.2615948253916</c:v>
                </c:pt>
                <c:pt idx="7">
                  <c:v>223.38844477799452</c:v>
                </c:pt>
                <c:pt idx="8">
                  <c:v>205.99569916526156</c:v>
                </c:pt>
                <c:pt idx="9">
                  <c:v>195</c:v>
                </c:pt>
                <c:pt idx="10">
                  <c:v>159.4</c:v>
                </c:pt>
                <c:pt idx="11">
                  <c:v>150.1</c:v>
                </c:pt>
                <c:pt idx="12">
                  <c:v>135.80000000000001</c:v>
                </c:pt>
                <c:pt idx="13">
                  <c:v>121.7</c:v>
                </c:pt>
                <c:pt idx="14">
                  <c:v>116.7</c:v>
                </c:pt>
                <c:pt idx="15">
                  <c:v>109.8</c:v>
                </c:pt>
                <c:pt idx="16">
                  <c:v>104.7</c:v>
                </c:pt>
                <c:pt idx="17">
                  <c:v>102.4</c:v>
                </c:pt>
                <c:pt idx="18">
                  <c:v>101.7</c:v>
                </c:pt>
                <c:pt idx="19">
                  <c:v>101.71298616342661</c:v>
                </c:pt>
                <c:pt idx="20" formatCode="0.0">
                  <c:v>98.458974214338866</c:v>
                </c:pt>
                <c:pt idx="21" formatCode="General">
                  <c:v>95.7</c:v>
                </c:pt>
                <c:pt idx="22" formatCode="0.0">
                  <c:v>89.386830132443151</c:v>
                </c:pt>
              </c:numCache>
            </c:numRef>
          </c:val>
          <c:smooth val="0"/>
          <c:extLst>
            <c:ext xmlns:c16="http://schemas.microsoft.com/office/drawing/2014/chart" uri="{C3380CC4-5D6E-409C-BE32-E72D297353CC}">
              <c16:uniqueId val="{00000007-91FF-4519-9135-08E799E416EA}"/>
            </c:ext>
          </c:extLst>
        </c:ser>
        <c:dLbls>
          <c:showLegendKey val="0"/>
          <c:showVal val="0"/>
          <c:showCatName val="0"/>
          <c:showSerName val="0"/>
          <c:showPercent val="0"/>
          <c:showBubbleSize val="0"/>
        </c:dLbls>
        <c:smooth val="0"/>
        <c:axId val="339090720"/>
        <c:axId val="339091280"/>
      </c:lineChart>
      <c:catAx>
        <c:axId val="33909072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39091280"/>
        <c:crosses val="autoZero"/>
        <c:auto val="1"/>
        <c:lblAlgn val="ctr"/>
        <c:lblOffset val="100"/>
        <c:noMultiLvlLbl val="0"/>
      </c:catAx>
      <c:valAx>
        <c:axId val="3390912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Number per 100 000 of population</a:t>
                </a:r>
              </a:p>
            </c:rich>
          </c:tx>
          <c:layout>
            <c:manualLayout>
              <c:xMode val="edge"/>
              <c:yMode val="edge"/>
              <c:x val="2.3333334725204886E-2"/>
              <c:y val="0.1929657949139230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339090720"/>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chart" Target="../charts/chart77.xml"/><Relationship Id="rId4" Type="http://schemas.openxmlformats.org/officeDocument/2006/relationships/chart" Target="../charts/chart7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31.xml"/></Relationships>
</file>

<file path=xl/drawings/drawing1.xml><?xml version="1.0" encoding="utf-8"?>
<xdr:wsDr xmlns:xdr="http://schemas.openxmlformats.org/drawingml/2006/spreadsheetDrawing" xmlns:a="http://schemas.openxmlformats.org/drawingml/2006/main">
  <xdr:twoCellAnchor>
    <xdr:from>
      <xdr:col>3</xdr:col>
      <xdr:colOff>28575</xdr:colOff>
      <xdr:row>32</xdr:row>
      <xdr:rowOff>161925</xdr:rowOff>
    </xdr:from>
    <xdr:to>
      <xdr:col>27</xdr:col>
      <xdr:colOff>28575</xdr:colOff>
      <xdr:row>51</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590550</xdr:colOff>
      <xdr:row>42</xdr:row>
      <xdr:rowOff>85725</xdr:rowOff>
    </xdr:from>
    <xdr:to>
      <xdr:col>26</xdr:col>
      <xdr:colOff>342900</xdr:colOff>
      <xdr:row>42</xdr:row>
      <xdr:rowOff>104775</xdr:rowOff>
    </xdr:to>
    <xdr:sp macro="" textlink="">
      <xdr:nvSpPr>
        <xdr:cNvPr id="3" name="Line 4"/>
        <xdr:cNvSpPr>
          <a:spLocks noChangeShapeType="1"/>
        </xdr:cNvSpPr>
      </xdr:nvSpPr>
      <xdr:spPr bwMode="auto">
        <a:xfrm flipV="1">
          <a:off x="1933575" y="7848600"/>
          <a:ext cx="9915525" cy="1905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68</xdr:row>
      <xdr:rowOff>0</xdr:rowOff>
    </xdr:from>
    <xdr:to>
      <xdr:col>18</xdr:col>
      <xdr:colOff>297180</xdr:colOff>
      <xdr:row>82</xdr:row>
      <xdr:rowOff>159433</xdr:rowOff>
    </xdr:to>
    <xdr:sp macro="" textlink="">
      <xdr:nvSpPr>
        <xdr:cNvPr id="4" name="Rectangle 3"/>
        <xdr:cNvSpPr/>
      </xdr:nvSpPr>
      <xdr:spPr>
        <a:xfrm>
          <a:off x="2705100" y="13201650"/>
          <a:ext cx="5745480" cy="28264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68</xdr:row>
      <xdr:rowOff>22860</xdr:rowOff>
    </xdr:from>
    <xdr:to>
      <xdr:col>18</xdr:col>
      <xdr:colOff>304800</xdr:colOff>
      <xdr:row>83</xdr:row>
      <xdr:rowOff>7619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0.09197</cdr:x>
      <cdr:y>0.24096</cdr:y>
    </cdr:from>
    <cdr:to>
      <cdr:x>0.98316</cdr:x>
      <cdr:y>0.24398</cdr:y>
    </cdr:to>
    <cdr:sp macro="" textlink="">
      <cdr:nvSpPr>
        <cdr:cNvPr id="202753" name="Line 1025"/>
        <cdr:cNvSpPr>
          <a:spLocks xmlns:a="http://schemas.openxmlformats.org/drawingml/2006/main" noChangeShapeType="1"/>
        </cdr:cNvSpPr>
      </cdr:nvSpPr>
      <cdr:spPr bwMode="auto">
        <a:xfrm xmlns:a="http://schemas.openxmlformats.org/drawingml/2006/main" flipV="1">
          <a:off x="541020" y="609600"/>
          <a:ext cx="5242560" cy="762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9525</xdr:colOff>
      <xdr:row>8</xdr:row>
      <xdr:rowOff>133350</xdr:rowOff>
    </xdr:from>
    <xdr:to>
      <xdr:col>28</xdr:col>
      <xdr:colOff>9525</xdr:colOff>
      <xdr:row>26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16</xdr:col>
      <xdr:colOff>228600</xdr:colOff>
      <xdr:row>49</xdr:row>
      <xdr:rowOff>157480</xdr:rowOff>
    </xdr:to>
    <xdr:sp macro="" textlink="">
      <xdr:nvSpPr>
        <xdr:cNvPr id="3" name="Rectangle 2"/>
        <xdr:cNvSpPr/>
      </xdr:nvSpPr>
      <xdr:spPr>
        <a:xfrm>
          <a:off x="2924175" y="7677150"/>
          <a:ext cx="57531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0</xdr:colOff>
      <xdr:row>35</xdr:row>
      <xdr:rowOff>0</xdr:rowOff>
    </xdr:from>
    <xdr:to>
      <xdr:col>16</xdr:col>
      <xdr:colOff>220979</xdr:colOff>
      <xdr:row>49</xdr:row>
      <xdr:rowOff>160020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219075</xdr:colOff>
      <xdr:row>14</xdr:row>
      <xdr:rowOff>152400</xdr:rowOff>
    </xdr:from>
    <xdr:to>
      <xdr:col>28</xdr:col>
      <xdr:colOff>22860</xdr:colOff>
      <xdr:row>35</xdr:row>
      <xdr:rowOff>85725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15</xdr:col>
      <xdr:colOff>53340</xdr:colOff>
      <xdr:row>73</xdr:row>
      <xdr:rowOff>26670</xdr:rowOff>
    </xdr:to>
    <xdr:sp macro="" textlink="">
      <xdr:nvSpPr>
        <xdr:cNvPr id="3" name="Rectangle 2"/>
        <xdr:cNvSpPr/>
      </xdr:nvSpPr>
      <xdr:spPr>
        <a:xfrm>
          <a:off x="1409700" y="9810750"/>
          <a:ext cx="505396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59</xdr:row>
      <xdr:rowOff>1</xdr:rowOff>
    </xdr:from>
    <xdr:to>
      <xdr:col>15</xdr:col>
      <xdr:colOff>45720</xdr:colOff>
      <xdr:row>73</xdr:row>
      <xdr:rowOff>68580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8</xdr:row>
      <xdr:rowOff>95250</xdr:rowOff>
    </xdr:from>
    <xdr:to>
      <xdr:col>28</xdr:col>
      <xdr:colOff>9525</xdr:colOff>
      <xdr:row>33</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47</xdr:row>
      <xdr:rowOff>0</xdr:rowOff>
    </xdr:from>
    <xdr:to>
      <xdr:col>18</xdr:col>
      <xdr:colOff>213360</xdr:colOff>
      <xdr:row>63</xdr:row>
      <xdr:rowOff>57150</xdr:rowOff>
    </xdr:to>
    <xdr:sp macro="" textlink="">
      <xdr:nvSpPr>
        <xdr:cNvPr id="4" name="Rectangle 3"/>
        <xdr:cNvSpPr/>
      </xdr:nvSpPr>
      <xdr:spPr>
        <a:xfrm>
          <a:off x="1457325" y="9115425"/>
          <a:ext cx="649033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47</xdr:row>
      <xdr:rowOff>1</xdr:rowOff>
    </xdr:from>
    <xdr:to>
      <xdr:col>18</xdr:col>
      <xdr:colOff>236219</xdr:colOff>
      <xdr:row>63</xdr:row>
      <xdr:rowOff>121920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219074</xdr:colOff>
      <xdr:row>10</xdr:row>
      <xdr:rowOff>38100</xdr:rowOff>
    </xdr:from>
    <xdr:to>
      <xdr:col>22</xdr:col>
      <xdr:colOff>447674</xdr:colOff>
      <xdr:row>26</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179917</xdr:colOff>
      <xdr:row>18</xdr:row>
      <xdr:rowOff>179916</xdr:rowOff>
    </xdr:from>
    <xdr:to>
      <xdr:col>20</xdr:col>
      <xdr:colOff>3176</xdr:colOff>
      <xdr:row>44</xdr:row>
      <xdr:rowOff>106890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373380</xdr:colOff>
      <xdr:row>71</xdr:row>
      <xdr:rowOff>129540</xdr:rowOff>
    </xdr:from>
    <xdr:to>
      <xdr:col>10</xdr:col>
      <xdr:colOff>251460</xdr:colOff>
      <xdr:row>89</xdr:row>
      <xdr:rowOff>107950</xdr:rowOff>
    </xdr:to>
    <xdr:sp macro="" textlink="">
      <xdr:nvSpPr>
        <xdr:cNvPr id="5" name="Rectangle 4"/>
        <xdr:cNvSpPr/>
      </xdr:nvSpPr>
      <xdr:spPr>
        <a:xfrm>
          <a:off x="621030" y="14988540"/>
          <a:ext cx="6783705" cy="3407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xdr:col>
      <xdr:colOff>373380</xdr:colOff>
      <xdr:row>71</xdr:row>
      <xdr:rowOff>129540</xdr:rowOff>
    </xdr:from>
    <xdr:to>
      <xdr:col>10</xdr:col>
      <xdr:colOff>251460</xdr:colOff>
      <xdr:row>89</xdr:row>
      <xdr:rowOff>121920</xdr:rowOff>
    </xdr:to>
    <xdr:grpSp>
      <xdr:nvGrpSpPr>
        <xdr:cNvPr id="6" name="Group 5"/>
        <xdr:cNvGrpSpPr/>
      </xdr:nvGrpSpPr>
      <xdr:grpSpPr>
        <a:xfrm>
          <a:off x="621030" y="14112240"/>
          <a:ext cx="6898005" cy="3421380"/>
          <a:chOff x="965835" y="4762500"/>
          <a:chExt cx="10494645" cy="4196715"/>
        </a:xfrm>
      </xdr:grpSpPr>
      <xdr:graphicFrame macro="">
        <xdr:nvGraphicFramePr>
          <xdr:cNvPr id="7" name="Chart 3"/>
          <xdr:cNvGraphicFramePr>
            <a:graphicFrameLocks/>
          </xdr:cNvGraphicFramePr>
        </xdr:nvGraphicFramePr>
        <xdr:xfrm>
          <a:off x="965835" y="4762500"/>
          <a:ext cx="10494645" cy="419671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xdr:cNvCxnSpPr/>
        </xdr:nvCxnSpPr>
        <xdr:spPr bwMode="auto">
          <a:xfrm>
            <a:off x="2277084" y="6471403"/>
            <a:ext cx="1701835" cy="405838"/>
          </a:xfrm>
          <a:prstGeom prst="line">
            <a:avLst/>
          </a:prstGeom>
          <a:ln>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0.29717</cdr:x>
      <cdr:y>0.39527</cdr:y>
    </cdr:from>
    <cdr:to>
      <cdr:x>0.46499</cdr:x>
      <cdr:y>0.51329</cdr:y>
    </cdr:to>
    <cdr:sp macro="" textlink="">
      <cdr:nvSpPr>
        <cdr:cNvPr id="3" name="Straight Connector 2"/>
        <cdr:cNvSpPr/>
      </cdr:nvSpPr>
      <cdr:spPr>
        <a:xfrm xmlns:a="http://schemas.openxmlformats.org/drawingml/2006/main" flipV="1">
          <a:off x="1902156" y="1298147"/>
          <a:ext cx="1074182" cy="387604"/>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dr:relSizeAnchor xmlns:cdr="http://schemas.openxmlformats.org/drawingml/2006/chartDrawing">
    <cdr:from>
      <cdr:x>0.46631</cdr:x>
      <cdr:y>0.3063</cdr:y>
    </cdr:from>
    <cdr:to>
      <cdr:x>0.54911</cdr:x>
      <cdr:y>0.38437</cdr:y>
    </cdr:to>
    <cdr:sp macro="" textlink="">
      <cdr:nvSpPr>
        <cdr:cNvPr id="5" name="Straight Connector 4"/>
        <cdr:cNvSpPr/>
      </cdr:nvSpPr>
      <cdr:spPr>
        <a:xfrm xmlns:a="http://schemas.openxmlformats.org/drawingml/2006/main" flipV="1">
          <a:off x="2984727" y="1005950"/>
          <a:ext cx="529986" cy="256399"/>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7.xml><?xml version="1.0" encoding="utf-8"?>
<xdr:wsDr xmlns:xdr="http://schemas.openxmlformats.org/drawingml/2006/spreadsheetDrawing" xmlns:a="http://schemas.openxmlformats.org/drawingml/2006/main">
  <xdr:twoCellAnchor>
    <xdr:from>
      <xdr:col>18</xdr:col>
      <xdr:colOff>63501</xdr:colOff>
      <xdr:row>26</xdr:row>
      <xdr:rowOff>102659</xdr:rowOff>
    </xdr:from>
    <xdr:to>
      <xdr:col>26</xdr:col>
      <xdr:colOff>518584</xdr:colOff>
      <xdr:row>47</xdr:row>
      <xdr:rowOff>48683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132291</xdr:colOff>
      <xdr:row>32</xdr:row>
      <xdr:rowOff>13758</xdr:rowOff>
    </xdr:from>
    <xdr:to>
      <xdr:col>17</xdr:col>
      <xdr:colOff>557741</xdr:colOff>
      <xdr:row>46</xdr:row>
      <xdr:rowOff>24342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733425</xdr:colOff>
      <xdr:row>93</xdr:row>
      <xdr:rowOff>85725</xdr:rowOff>
    </xdr:from>
    <xdr:to>
      <xdr:col>10</xdr:col>
      <xdr:colOff>47625</xdr:colOff>
      <xdr:row>116</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86</xdr:row>
      <xdr:rowOff>57150</xdr:rowOff>
    </xdr:from>
    <xdr:to>
      <xdr:col>15</xdr:col>
      <xdr:colOff>333375</xdr:colOff>
      <xdr:row>109</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xdr:colOff>
      <xdr:row>130</xdr:row>
      <xdr:rowOff>34290</xdr:rowOff>
    </xdr:from>
    <xdr:to>
      <xdr:col>20</xdr:col>
      <xdr:colOff>373380</xdr:colOff>
      <xdr:row>145</xdr:row>
      <xdr:rowOff>34290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230505</xdr:colOff>
      <xdr:row>12</xdr:row>
      <xdr:rowOff>150495</xdr:rowOff>
    </xdr:from>
    <xdr:to>
      <xdr:col>27</xdr:col>
      <xdr:colOff>0</xdr:colOff>
      <xdr:row>31</xdr:row>
      <xdr:rowOff>150495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147</xdr:row>
      <xdr:rowOff>0</xdr:rowOff>
    </xdr:from>
    <xdr:to>
      <xdr:col>12</xdr:col>
      <xdr:colOff>445770</xdr:colOff>
      <xdr:row>161</xdr:row>
      <xdr:rowOff>141605</xdr:rowOff>
    </xdr:to>
    <xdr:sp macro="" textlink="">
      <xdr:nvSpPr>
        <xdr:cNvPr id="6" name="Rectangle 5"/>
        <xdr:cNvSpPr/>
      </xdr:nvSpPr>
      <xdr:spPr>
        <a:xfrm>
          <a:off x="1162050" y="14439900"/>
          <a:ext cx="5779770" cy="280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147</xdr:row>
      <xdr:rowOff>0</xdr:rowOff>
    </xdr:from>
    <xdr:to>
      <xdr:col>12</xdr:col>
      <xdr:colOff>464820</xdr:colOff>
      <xdr:row>161</xdr:row>
      <xdr:rowOff>144780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542925</xdr:colOff>
      <xdr:row>78</xdr:row>
      <xdr:rowOff>28575</xdr:rowOff>
    </xdr:from>
    <xdr:to>
      <xdr:col>3</xdr:col>
      <xdr:colOff>619125</xdr:colOff>
      <xdr:row>131</xdr:row>
      <xdr:rowOff>171450</xdr:rowOff>
    </xdr:to>
    <xdr:sp macro="" textlink="">
      <xdr:nvSpPr>
        <xdr:cNvPr id="2" name="Text Box 1"/>
        <xdr:cNvSpPr txBox="1">
          <a:spLocks noChangeArrowheads="1"/>
        </xdr:cNvSpPr>
      </xdr:nvSpPr>
      <xdr:spPr bwMode="auto">
        <a:xfrm>
          <a:off x="2114550" y="136779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66</xdr:row>
      <xdr:rowOff>47625</xdr:rowOff>
    </xdr:from>
    <xdr:to>
      <xdr:col>16</xdr:col>
      <xdr:colOff>485775</xdr:colOff>
      <xdr:row>79</xdr:row>
      <xdr:rowOff>361950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542925</xdr:colOff>
      <xdr:row>78</xdr:row>
      <xdr:rowOff>28575</xdr:rowOff>
    </xdr:from>
    <xdr:to>
      <xdr:col>3</xdr:col>
      <xdr:colOff>619125</xdr:colOff>
      <xdr:row>131</xdr:row>
      <xdr:rowOff>171450</xdr:rowOff>
    </xdr:to>
    <xdr:sp macro="" textlink="">
      <xdr:nvSpPr>
        <xdr:cNvPr id="4" name="Text Box 3"/>
        <xdr:cNvSpPr txBox="1">
          <a:spLocks noChangeArrowheads="1"/>
        </xdr:cNvSpPr>
      </xdr:nvSpPr>
      <xdr:spPr bwMode="auto">
        <a:xfrm>
          <a:off x="2114550" y="136779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304799</xdr:colOff>
      <xdr:row>43</xdr:row>
      <xdr:rowOff>62344</xdr:rowOff>
    </xdr:from>
    <xdr:to>
      <xdr:col>9</xdr:col>
      <xdr:colOff>173182</xdr:colOff>
      <xdr:row>61</xdr:row>
      <xdr:rowOff>17317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43</xdr:row>
      <xdr:rowOff>69273</xdr:rowOff>
    </xdr:from>
    <xdr:to>
      <xdr:col>17</xdr:col>
      <xdr:colOff>450273</xdr:colOff>
      <xdr:row>61</xdr:row>
      <xdr:rowOff>17318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161925</xdr:colOff>
      <xdr:row>33</xdr:row>
      <xdr:rowOff>114300</xdr:rowOff>
    </xdr:from>
    <xdr:to>
      <xdr:col>19</xdr:col>
      <xdr:colOff>19050</xdr:colOff>
      <xdr:row>59</xdr:row>
      <xdr:rowOff>47625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8</xdr:row>
      <xdr:rowOff>95250</xdr:rowOff>
    </xdr:from>
    <xdr:to>
      <xdr:col>26</xdr:col>
      <xdr:colOff>336550</xdr:colOff>
      <xdr:row>27</xdr:row>
      <xdr:rowOff>57150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67</xdr:row>
      <xdr:rowOff>0</xdr:rowOff>
    </xdr:from>
    <xdr:to>
      <xdr:col>18</xdr:col>
      <xdr:colOff>228600</xdr:colOff>
      <xdr:row>84</xdr:row>
      <xdr:rowOff>138405</xdr:rowOff>
    </xdr:to>
    <xdr:sp macro="" textlink="">
      <xdr:nvSpPr>
        <xdr:cNvPr id="4" name="Rectangle 3"/>
        <xdr:cNvSpPr/>
      </xdr:nvSpPr>
      <xdr:spPr>
        <a:xfrm>
          <a:off x="3724275" y="7648575"/>
          <a:ext cx="5372100" cy="33769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0</xdr:colOff>
      <xdr:row>67</xdr:row>
      <xdr:rowOff>0</xdr:rowOff>
    </xdr:from>
    <xdr:to>
      <xdr:col>18</xdr:col>
      <xdr:colOff>259080</xdr:colOff>
      <xdr:row>84</xdr:row>
      <xdr:rowOff>137160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9524</xdr:colOff>
      <xdr:row>29</xdr:row>
      <xdr:rowOff>133350</xdr:rowOff>
    </xdr:from>
    <xdr:to>
      <xdr:col>21</xdr:col>
      <xdr:colOff>28575</xdr:colOff>
      <xdr:row>50</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101</xdr:row>
      <xdr:rowOff>0</xdr:rowOff>
    </xdr:from>
    <xdr:to>
      <xdr:col>9</xdr:col>
      <xdr:colOff>0</xdr:colOff>
      <xdr:row>114</xdr:row>
      <xdr:rowOff>160655</xdr:rowOff>
    </xdr:to>
    <xdr:sp macro="" textlink="">
      <xdr:nvSpPr>
        <xdr:cNvPr id="3" name="Rectangle 2"/>
        <xdr:cNvSpPr/>
      </xdr:nvSpPr>
      <xdr:spPr>
        <a:xfrm>
          <a:off x="1828800" y="19240500"/>
          <a:ext cx="3657600" cy="26371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101</xdr:row>
      <xdr:rowOff>0</xdr:rowOff>
    </xdr:from>
    <xdr:to>
      <xdr:col>9</xdr:col>
      <xdr:colOff>0</xdr:colOff>
      <xdr:row>115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247649</xdr:colOff>
      <xdr:row>41</xdr:row>
      <xdr:rowOff>0</xdr:rowOff>
    </xdr:from>
    <xdr:to>
      <xdr:col>21</xdr:col>
      <xdr:colOff>19050</xdr:colOff>
      <xdr:row>63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190500</xdr:colOff>
      <xdr:row>7</xdr:row>
      <xdr:rowOff>114299</xdr:rowOff>
    </xdr:from>
    <xdr:to>
      <xdr:col>33</xdr:col>
      <xdr:colOff>619125</xdr:colOff>
      <xdr:row>32</xdr:row>
      <xdr:rowOff>85724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238125</xdr:colOff>
      <xdr:row>15</xdr:row>
      <xdr:rowOff>171449</xdr:rowOff>
    </xdr:from>
    <xdr:to>
      <xdr:col>21</xdr:col>
      <xdr:colOff>0</xdr:colOff>
      <xdr:row>30</xdr:row>
      <xdr:rowOff>66674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133350</xdr:colOff>
      <xdr:row>98</xdr:row>
      <xdr:rowOff>57150</xdr:rowOff>
    </xdr:from>
    <xdr:to>
      <xdr:col>18</xdr:col>
      <xdr:colOff>60960</xdr:colOff>
      <xdr:row>116</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119</xdr:row>
      <xdr:rowOff>0</xdr:rowOff>
    </xdr:from>
    <xdr:to>
      <xdr:col>14</xdr:col>
      <xdr:colOff>44450</xdr:colOff>
      <xdr:row>131</xdr:row>
      <xdr:rowOff>154940</xdr:rowOff>
    </xdr:to>
    <xdr:sp macro="" textlink="">
      <xdr:nvSpPr>
        <xdr:cNvPr id="3" name="Rectangle 2"/>
        <xdr:cNvSpPr/>
      </xdr:nvSpPr>
      <xdr:spPr>
        <a:xfrm>
          <a:off x="2066925" y="23441025"/>
          <a:ext cx="6140450" cy="2440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0</xdr:colOff>
      <xdr:row>119</xdr:row>
      <xdr:rowOff>0</xdr:rowOff>
    </xdr:from>
    <xdr:to>
      <xdr:col>14</xdr:col>
      <xdr:colOff>76200</xdr:colOff>
      <xdr:row>132</xdr:row>
      <xdr:rowOff>15240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95250</xdr:colOff>
      <xdr:row>90</xdr:row>
      <xdr:rowOff>0</xdr:rowOff>
    </xdr:from>
    <xdr:to>
      <xdr:col>18</xdr:col>
      <xdr:colOff>0</xdr:colOff>
      <xdr:row>90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908602</xdr:colOff>
      <xdr:row>70</xdr:row>
      <xdr:rowOff>14495</xdr:rowOff>
    </xdr:from>
    <xdr:to>
      <xdr:col>18</xdr:col>
      <xdr:colOff>78270</xdr:colOff>
      <xdr:row>85</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214312</xdr:colOff>
      <xdr:row>13</xdr:row>
      <xdr:rowOff>142875</xdr:rowOff>
    </xdr:from>
    <xdr:to>
      <xdr:col>10</xdr:col>
      <xdr:colOff>790575</xdr:colOff>
      <xdr:row>27</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885825</xdr:colOff>
      <xdr:row>18</xdr:row>
      <xdr:rowOff>176212</xdr:rowOff>
    </xdr:from>
    <xdr:to>
      <xdr:col>9</xdr:col>
      <xdr:colOff>104775</xdr:colOff>
      <xdr:row>33</xdr:row>
      <xdr:rowOff>61912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142875</xdr:colOff>
      <xdr:row>19</xdr:row>
      <xdr:rowOff>14287</xdr:rowOff>
    </xdr:from>
    <xdr:to>
      <xdr:col>16</xdr:col>
      <xdr:colOff>390525</xdr:colOff>
      <xdr:row>33</xdr:row>
      <xdr:rowOff>90487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88</xdr:row>
      <xdr:rowOff>38100</xdr:rowOff>
    </xdr:from>
    <xdr:to>
      <xdr:col>10</xdr:col>
      <xdr:colOff>304800</xdr:colOff>
      <xdr:row>104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xdr:colOff>
      <xdr:row>56</xdr:row>
      <xdr:rowOff>57150</xdr:rowOff>
    </xdr:from>
    <xdr:to>
      <xdr:col>18</xdr:col>
      <xdr:colOff>200025</xdr:colOff>
      <xdr:row>112</xdr:row>
      <xdr:rowOff>185737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236221</xdr:colOff>
      <xdr:row>28</xdr:row>
      <xdr:rowOff>66675</xdr:rowOff>
    </xdr:from>
    <xdr:to>
      <xdr:col>18</xdr:col>
      <xdr:colOff>9525</xdr:colOff>
      <xdr:row>47</xdr:row>
      <xdr:rowOff>59054</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13</xdr:col>
      <xdr:colOff>533400</xdr:colOff>
      <xdr:row>67</xdr:row>
      <xdr:rowOff>104140</xdr:rowOff>
    </xdr:to>
    <xdr:sp macro="" textlink="">
      <xdr:nvSpPr>
        <xdr:cNvPr id="3" name="Rectangle 2"/>
        <xdr:cNvSpPr/>
      </xdr:nvSpPr>
      <xdr:spPr>
        <a:xfrm>
          <a:off x="1457325" y="11620500"/>
          <a:ext cx="7477125" cy="2199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56</xdr:row>
      <xdr:rowOff>0</xdr:rowOff>
    </xdr:from>
    <xdr:to>
      <xdr:col>13</xdr:col>
      <xdr:colOff>556260</xdr:colOff>
      <xdr:row>67</xdr:row>
      <xdr:rowOff>121920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0.07389</cdr:x>
      <cdr:y>0.56682</cdr:y>
    </cdr:from>
    <cdr:to>
      <cdr:x>0.96835</cdr:x>
      <cdr:y>0.56682</cdr:y>
    </cdr:to>
    <cdr:sp macro="" textlink="">
      <cdr:nvSpPr>
        <cdr:cNvPr id="7170" name="Line 1026"/>
        <cdr:cNvSpPr>
          <a:spLocks xmlns:a="http://schemas.openxmlformats.org/drawingml/2006/main" noChangeShapeType="1"/>
        </cdr:cNvSpPr>
      </cdr:nvSpPr>
      <cdr:spPr bwMode="auto">
        <a:xfrm xmlns:a="http://schemas.openxmlformats.org/drawingml/2006/main">
          <a:off x="853907" y="1939305"/>
          <a:ext cx="10336139"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30.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1.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247650</xdr:colOff>
      <xdr:row>61</xdr:row>
      <xdr:rowOff>87630</xdr:rowOff>
    </xdr:from>
    <xdr:to>
      <xdr:col>12</xdr:col>
      <xdr:colOff>464820</xdr:colOff>
      <xdr:row>73</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247649</xdr:colOff>
      <xdr:row>67</xdr:row>
      <xdr:rowOff>114300</xdr:rowOff>
    </xdr:from>
    <xdr:to>
      <xdr:col>23</xdr:col>
      <xdr:colOff>9525</xdr:colOff>
      <xdr:row>84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134</xdr:row>
      <xdr:rowOff>15240</xdr:rowOff>
    </xdr:from>
    <xdr:to>
      <xdr:col>11</xdr:col>
      <xdr:colOff>190500</xdr:colOff>
      <xdr:row>148</xdr:row>
      <xdr:rowOff>7620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400049</xdr:colOff>
      <xdr:row>49</xdr:row>
      <xdr:rowOff>33337</xdr:rowOff>
    </xdr:from>
    <xdr:to>
      <xdr:col>23</xdr:col>
      <xdr:colOff>19049</xdr:colOff>
      <xdr:row>67</xdr:row>
      <xdr:rowOff>90487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453390</xdr:colOff>
      <xdr:row>22</xdr:row>
      <xdr:rowOff>114300</xdr:rowOff>
    </xdr:from>
    <xdr:to>
      <xdr:col>21</xdr:col>
      <xdr:colOff>333375</xdr:colOff>
      <xdr:row>37</xdr:row>
      <xdr:rowOff>53340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200024</xdr:colOff>
      <xdr:row>14</xdr:row>
      <xdr:rowOff>152400</xdr:rowOff>
    </xdr:from>
    <xdr:to>
      <xdr:col>20</xdr:col>
      <xdr:colOff>571499</xdr:colOff>
      <xdr:row>31</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194310</xdr:colOff>
      <xdr:row>18</xdr:row>
      <xdr:rowOff>13333</xdr:rowOff>
    </xdr:from>
    <xdr:to>
      <xdr:col>22</xdr:col>
      <xdr:colOff>190500</xdr:colOff>
      <xdr:row>40</xdr:row>
      <xdr:rowOff>114299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9526</xdr:colOff>
      <xdr:row>12</xdr:row>
      <xdr:rowOff>171449</xdr:rowOff>
    </xdr:from>
    <xdr:to>
      <xdr:col>16</xdr:col>
      <xdr:colOff>76201</xdr:colOff>
      <xdr:row>27</xdr:row>
      <xdr:rowOff>123824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19050</xdr:rowOff>
    </xdr:from>
    <xdr:to>
      <xdr:col>4</xdr:col>
      <xdr:colOff>432434</xdr:colOff>
      <xdr:row>77</xdr:row>
      <xdr:rowOff>116204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205740</xdr:colOff>
      <xdr:row>27</xdr:row>
      <xdr:rowOff>7620</xdr:rowOff>
    </xdr:from>
    <xdr:to>
      <xdr:col>9</xdr:col>
      <xdr:colOff>365760</xdr:colOff>
      <xdr:row>44</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205739</xdr:colOff>
      <xdr:row>26</xdr:row>
      <xdr:rowOff>114300</xdr:rowOff>
    </xdr:from>
    <xdr:to>
      <xdr:col>12</xdr:col>
      <xdr:colOff>276225</xdr:colOff>
      <xdr:row>43</xdr:row>
      <xdr:rowOff>104776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455296</xdr:colOff>
      <xdr:row>26</xdr:row>
      <xdr:rowOff>112395</xdr:rowOff>
    </xdr:from>
    <xdr:to>
      <xdr:col>23</xdr:col>
      <xdr:colOff>152401</xdr:colOff>
      <xdr:row>43</xdr:row>
      <xdr:rowOff>142875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1905</xdr:colOff>
      <xdr:row>12</xdr:row>
      <xdr:rowOff>30481</xdr:rowOff>
    </xdr:from>
    <xdr:to>
      <xdr:col>26</xdr:col>
      <xdr:colOff>123825</xdr:colOff>
      <xdr:row>28</xdr:row>
      <xdr:rowOff>9526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441960</xdr:colOff>
      <xdr:row>111</xdr:row>
      <xdr:rowOff>137160</xdr:rowOff>
    </xdr:from>
    <xdr:to>
      <xdr:col>13</xdr:col>
      <xdr:colOff>396240</xdr:colOff>
      <xdr:row>127</xdr:row>
      <xdr:rowOff>167640</xdr:rowOff>
    </xdr:to>
    <xdr:sp macro="" textlink="">
      <xdr:nvSpPr>
        <xdr:cNvPr id="3" name="Rectangle 1"/>
        <xdr:cNvSpPr>
          <a:spLocks noChangeArrowheads="1"/>
        </xdr:cNvSpPr>
      </xdr:nvSpPr>
      <xdr:spPr bwMode="auto">
        <a:xfrm>
          <a:off x="689610" y="21863685"/>
          <a:ext cx="6402705" cy="307848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180975</xdr:colOff>
      <xdr:row>8</xdr:row>
      <xdr:rowOff>171449</xdr:rowOff>
    </xdr:from>
    <xdr:to>
      <xdr:col>28</xdr:col>
      <xdr:colOff>114300</xdr:colOff>
      <xdr:row>27</xdr:row>
      <xdr:rowOff>85724</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17</xdr:col>
      <xdr:colOff>120650</xdr:colOff>
      <xdr:row>56</xdr:row>
      <xdr:rowOff>179070</xdr:rowOff>
    </xdr:to>
    <xdr:sp macro="" textlink="">
      <xdr:nvSpPr>
        <xdr:cNvPr id="3" name="Rectangle 2"/>
        <xdr:cNvSpPr/>
      </xdr:nvSpPr>
      <xdr:spPr>
        <a:xfrm>
          <a:off x="3086100" y="7915275"/>
          <a:ext cx="6197600" cy="34175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6</xdr:col>
      <xdr:colOff>0</xdr:colOff>
      <xdr:row>39</xdr:row>
      <xdr:rowOff>0</xdr:rowOff>
    </xdr:from>
    <xdr:to>
      <xdr:col>17</xdr:col>
      <xdr:colOff>129540</xdr:colOff>
      <xdr:row>56</xdr:row>
      <xdr:rowOff>167640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7620</xdr:colOff>
      <xdr:row>30</xdr:row>
      <xdr:rowOff>0</xdr:rowOff>
    </xdr:from>
    <xdr:to>
      <xdr:col>16</xdr:col>
      <xdr:colOff>438150</xdr:colOff>
      <xdr:row>46</xdr:row>
      <xdr:rowOff>68580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11</xdr:col>
      <xdr:colOff>464820</xdr:colOff>
      <xdr:row>67</xdr:row>
      <xdr:rowOff>106045</xdr:rowOff>
    </xdr:to>
    <xdr:sp macro="" textlink="">
      <xdr:nvSpPr>
        <xdr:cNvPr id="3" name="Rectangle 2"/>
        <xdr:cNvSpPr/>
      </xdr:nvSpPr>
      <xdr:spPr>
        <a:xfrm>
          <a:off x="1457325" y="9496425"/>
          <a:ext cx="5770245" cy="20110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57</xdr:row>
      <xdr:rowOff>0</xdr:rowOff>
    </xdr:from>
    <xdr:to>
      <xdr:col>11</xdr:col>
      <xdr:colOff>487680</xdr:colOff>
      <xdr:row>67</xdr:row>
      <xdr:rowOff>137160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2.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3.xml><?xml version="1.0" encoding="utf-8"?>
<xdr:wsDr xmlns:xdr="http://schemas.openxmlformats.org/drawingml/2006/spreadsheetDrawing" xmlns:a="http://schemas.openxmlformats.org/drawingml/2006/main">
  <xdr:twoCellAnchor>
    <xdr:from>
      <xdr:col>3</xdr:col>
      <xdr:colOff>0</xdr:colOff>
      <xdr:row>25</xdr:row>
      <xdr:rowOff>0</xdr:rowOff>
    </xdr:from>
    <xdr:to>
      <xdr:col>13</xdr:col>
      <xdr:colOff>464820</xdr:colOff>
      <xdr:row>41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0</xdr:colOff>
      <xdr:row>31</xdr:row>
      <xdr:rowOff>76200</xdr:rowOff>
    </xdr:from>
    <xdr:to>
      <xdr:col>20</xdr:col>
      <xdr:colOff>266700</xdr:colOff>
      <xdr:row>53</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80</xdr:row>
      <xdr:rowOff>0</xdr:rowOff>
    </xdr:from>
    <xdr:to>
      <xdr:col>11</xdr:col>
      <xdr:colOff>389792</xdr:colOff>
      <xdr:row>92</xdr:row>
      <xdr:rowOff>22860</xdr:rowOff>
    </xdr:to>
    <xdr:sp macro="" textlink="">
      <xdr:nvSpPr>
        <xdr:cNvPr id="3" name="Rectangle 2"/>
        <xdr:cNvSpPr/>
      </xdr:nvSpPr>
      <xdr:spPr>
        <a:xfrm>
          <a:off x="1457325" y="14801850"/>
          <a:ext cx="6219092" cy="23088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13335</xdr:colOff>
      <xdr:row>26</xdr:row>
      <xdr:rowOff>74295</xdr:rowOff>
    </xdr:from>
    <xdr:to>
      <xdr:col>24</xdr:col>
      <xdr:colOff>19050</xdr:colOff>
      <xdr:row>41</xdr:row>
      <xdr:rowOff>173355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434340</xdr:colOff>
      <xdr:row>72</xdr:row>
      <xdr:rowOff>60960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0.01186</cdr:x>
      <cdr:y>0.62428</cdr:y>
    </cdr:to>
    <cdr:sp macro="" textlink="">
      <cdr:nvSpPr>
        <cdr:cNvPr id="3" name="TextBox 2"/>
        <cdr:cNvSpPr txBox="1"/>
      </cdr:nvSpPr>
      <cdr:spPr>
        <a:xfrm xmlns:a="http://schemas.openxmlformats.org/drawingml/2006/main">
          <a:off x="47624" y="685800"/>
          <a:ext cx="66675" cy="1028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9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0.98587</cdr:x>
      <cdr:y>0.26318</cdr:y>
    </cdr:from>
    <cdr:to>
      <cdr:x>0.99596</cdr:x>
      <cdr:y>0.5898</cdr:y>
    </cdr:to>
    <cdr:sp macro="" textlink="">
      <cdr:nvSpPr>
        <cdr:cNvPr id="5" name="TextBox 4"/>
        <cdr:cNvSpPr txBox="1"/>
      </cdr:nvSpPr>
      <cdr:spPr>
        <a:xfrm xmlns:a="http://schemas.openxmlformats.org/drawingml/2006/main">
          <a:off x="9305924" y="723900"/>
          <a:ext cx="952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1000">
              <a:latin typeface="Arial Narrow" panose="020B0606020202030204" pitchFamily="34" charset="0"/>
              <a:cs typeface="Arial" pitchFamily="34" charset="0"/>
            </a:rPr>
            <a:t>Pass</a:t>
          </a:r>
          <a:r>
            <a:rPr lang="en-US" sz="1100"/>
            <a:t> rate</a:t>
          </a:r>
        </a:p>
      </cdr:txBody>
    </cdr:sp>
  </cdr:relSizeAnchor>
</c:userShapes>
</file>

<file path=xl/drawings/drawing47.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0.03275</cdr:x>
      <cdr:y>0.62428</cdr:y>
    </cdr:to>
    <cdr:sp macro="" textlink="">
      <cdr:nvSpPr>
        <cdr:cNvPr id="3" name="TextBox 2"/>
        <cdr:cNvSpPr txBox="1"/>
      </cdr:nvSpPr>
      <cdr:spPr>
        <a:xfrm xmlns:a="http://schemas.openxmlformats.org/drawingml/2006/main">
          <a:off x="32900" y="583174"/>
          <a:ext cx="180459" cy="87722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8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0.9695</cdr:x>
      <cdr:y>0.26318</cdr:y>
    </cdr:from>
    <cdr:to>
      <cdr:x>0.98947</cdr:x>
      <cdr:y>0.5898</cdr:y>
    </cdr:to>
    <cdr:sp macro="" textlink="">
      <cdr:nvSpPr>
        <cdr:cNvPr id="5" name="TextBox 4"/>
        <cdr:cNvSpPr txBox="1"/>
      </cdr:nvSpPr>
      <cdr:spPr>
        <a:xfrm xmlns:a="http://schemas.openxmlformats.org/drawingml/2006/main">
          <a:off x="6316362" y="615668"/>
          <a:ext cx="130158" cy="7640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800">
              <a:latin typeface="Arial Narrow" pitchFamily="34" charset="0"/>
              <a:cs typeface="Arial" pitchFamily="34" charset="0"/>
            </a:rPr>
            <a:t>Pass</a:t>
          </a:r>
          <a:r>
            <a:rPr lang="en-US" sz="1100"/>
            <a:t> </a:t>
          </a:r>
          <a:r>
            <a:rPr lang="en-US" sz="900"/>
            <a:t>rate</a:t>
          </a:r>
          <a:endParaRPr lang="en-US" sz="1100"/>
        </a:p>
      </cdr:txBody>
    </cdr:sp>
  </cdr:relSizeAnchor>
</c:userShapes>
</file>

<file path=xl/drawings/drawing48.xml><?xml version="1.0" encoding="utf-8"?>
<xdr:wsDr xmlns:xdr="http://schemas.openxmlformats.org/drawingml/2006/spreadsheetDrawing" xmlns:a="http://schemas.openxmlformats.org/drawingml/2006/main">
  <xdr:twoCellAnchor>
    <xdr:from>
      <xdr:col>3</xdr:col>
      <xdr:colOff>25037</xdr:colOff>
      <xdr:row>14</xdr:row>
      <xdr:rowOff>165462</xdr:rowOff>
    </xdr:from>
    <xdr:to>
      <xdr:col>5</xdr:col>
      <xdr:colOff>537210</xdr:colOff>
      <xdr:row>28</xdr:row>
      <xdr:rowOff>137159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308610</xdr:colOff>
      <xdr:row>14</xdr:row>
      <xdr:rowOff>104775</xdr:rowOff>
    </xdr:from>
    <xdr:to>
      <xdr:col>19</xdr:col>
      <xdr:colOff>447403</xdr:colOff>
      <xdr:row>28</xdr:row>
      <xdr:rowOff>118382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129540</xdr:colOff>
      <xdr:row>28</xdr:row>
      <xdr:rowOff>60960</xdr:rowOff>
    </xdr:from>
    <xdr:to>
      <xdr:col>20</xdr:col>
      <xdr:colOff>579120</xdr:colOff>
      <xdr:row>43</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65</xdr:row>
      <xdr:rowOff>0</xdr:rowOff>
    </xdr:from>
    <xdr:to>
      <xdr:col>15</xdr:col>
      <xdr:colOff>0</xdr:colOff>
      <xdr:row>81</xdr:row>
      <xdr:rowOff>11723</xdr:rowOff>
    </xdr:to>
    <xdr:sp macro="" textlink="">
      <xdr:nvSpPr>
        <xdr:cNvPr id="3" name="Rectangle 2"/>
        <xdr:cNvSpPr/>
      </xdr:nvSpPr>
      <xdr:spPr>
        <a:xfrm>
          <a:off x="3371850" y="11572875"/>
          <a:ext cx="5810250" cy="30597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65</xdr:row>
      <xdr:rowOff>0</xdr:rowOff>
    </xdr:from>
    <xdr:to>
      <xdr:col>15</xdr:col>
      <xdr:colOff>22860</xdr:colOff>
      <xdr:row>81</xdr:row>
      <xdr:rowOff>22860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0.07514</cdr:x>
      <cdr:y>0.70708</cdr:y>
    </cdr:from>
    <cdr:to>
      <cdr:x>0.99756</cdr:x>
      <cdr:y>0.70918</cdr:y>
    </cdr:to>
    <cdr:sp macro="" textlink="">
      <cdr:nvSpPr>
        <cdr:cNvPr id="10241" name="Line 1"/>
        <cdr:cNvSpPr>
          <a:spLocks xmlns:a="http://schemas.openxmlformats.org/drawingml/2006/main" noChangeShapeType="1"/>
        </cdr:cNvSpPr>
      </cdr:nvSpPr>
      <cdr:spPr bwMode="auto">
        <a:xfrm xmlns:a="http://schemas.openxmlformats.org/drawingml/2006/main" flipV="1">
          <a:off x="891057" y="2667045"/>
          <a:ext cx="10938633" cy="7921"/>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50.xml><?xml version="1.0" encoding="utf-8"?>
<xdr:wsDr xmlns:xdr="http://schemas.openxmlformats.org/drawingml/2006/spreadsheetDrawing" xmlns:a="http://schemas.openxmlformats.org/drawingml/2006/main">
  <xdr:twoCellAnchor>
    <xdr:from>
      <xdr:col>3</xdr:col>
      <xdr:colOff>47625</xdr:colOff>
      <xdr:row>22</xdr:row>
      <xdr:rowOff>38100</xdr:rowOff>
    </xdr:from>
    <xdr:to>
      <xdr:col>23</xdr:col>
      <xdr:colOff>190500</xdr:colOff>
      <xdr:row>38</xdr:row>
      <xdr:rowOff>135255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43</xdr:row>
      <xdr:rowOff>0</xdr:rowOff>
    </xdr:from>
    <xdr:to>
      <xdr:col>17</xdr:col>
      <xdr:colOff>152400</xdr:colOff>
      <xdr:row>43</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57150</xdr:colOff>
      <xdr:row>18</xdr:row>
      <xdr:rowOff>71437</xdr:rowOff>
    </xdr:from>
    <xdr:to>
      <xdr:col>52</xdr:col>
      <xdr:colOff>438150</xdr:colOff>
      <xdr:row>32</xdr:row>
      <xdr:rowOff>176212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99060</xdr:colOff>
      <xdr:row>26</xdr:row>
      <xdr:rowOff>0</xdr:rowOff>
    </xdr:from>
    <xdr:to>
      <xdr:col>19</xdr:col>
      <xdr:colOff>0</xdr:colOff>
      <xdr:row>26</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213360</xdr:colOff>
      <xdr:row>30</xdr:row>
      <xdr:rowOff>137160</xdr:rowOff>
    </xdr:from>
    <xdr:to>
      <xdr:col>19</xdr:col>
      <xdr:colOff>0</xdr:colOff>
      <xdr:row>52</xdr:row>
      <xdr:rowOff>76200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56</xdr:row>
      <xdr:rowOff>0</xdr:rowOff>
    </xdr:from>
    <xdr:to>
      <xdr:col>19</xdr:col>
      <xdr:colOff>0</xdr:colOff>
      <xdr:row>79</xdr:row>
      <xdr:rowOff>91440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868680</xdr:colOff>
      <xdr:row>28</xdr:row>
      <xdr:rowOff>137160</xdr:rowOff>
    </xdr:from>
    <xdr:to>
      <xdr:col>9</xdr:col>
      <xdr:colOff>259080</xdr:colOff>
      <xdr:row>60</xdr:row>
      <xdr:rowOff>68580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396240</xdr:colOff>
      <xdr:row>28</xdr:row>
      <xdr:rowOff>121920</xdr:rowOff>
    </xdr:from>
    <xdr:to>
      <xdr:col>18</xdr:col>
      <xdr:colOff>0</xdr:colOff>
      <xdr:row>60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99060</xdr:colOff>
      <xdr:row>40</xdr:row>
      <xdr:rowOff>0</xdr:rowOff>
    </xdr:from>
    <xdr:to>
      <xdr:col>22</xdr:col>
      <xdr:colOff>152400</xdr:colOff>
      <xdr:row>40</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99060</xdr:colOff>
      <xdr:row>39</xdr:row>
      <xdr:rowOff>0</xdr:rowOff>
    </xdr:from>
    <xdr:to>
      <xdr:col>22</xdr:col>
      <xdr:colOff>0</xdr:colOff>
      <xdr:row>39</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167640</xdr:colOff>
      <xdr:row>42</xdr:row>
      <xdr:rowOff>0</xdr:rowOff>
    </xdr:from>
    <xdr:to>
      <xdr:col>17</xdr:col>
      <xdr:colOff>312420</xdr:colOff>
      <xdr:row>42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18</xdr:row>
      <xdr:rowOff>66676</xdr:rowOff>
    </xdr:from>
    <xdr:to>
      <xdr:col>18</xdr:col>
      <xdr:colOff>276225</xdr:colOff>
      <xdr:row>37</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373380</xdr:colOff>
      <xdr:row>58</xdr:row>
      <xdr:rowOff>144780</xdr:rowOff>
    </xdr:from>
    <xdr:to>
      <xdr:col>13</xdr:col>
      <xdr:colOff>83820</xdr:colOff>
      <xdr:row>76</xdr:row>
      <xdr:rowOff>121920</xdr:rowOff>
    </xdr:to>
    <xdr:sp macro="" textlink="">
      <xdr:nvSpPr>
        <xdr:cNvPr id="4" name="Rectangle 1"/>
        <xdr:cNvSpPr>
          <a:spLocks noChangeArrowheads="1"/>
        </xdr:cNvSpPr>
      </xdr:nvSpPr>
      <xdr:spPr bwMode="auto">
        <a:xfrm>
          <a:off x="1830705" y="9565005"/>
          <a:ext cx="6406515" cy="272034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twoCellAnchor>
    <xdr:from>
      <xdr:col>3</xdr:col>
      <xdr:colOff>373380</xdr:colOff>
      <xdr:row>58</xdr:row>
      <xdr:rowOff>144780</xdr:rowOff>
    </xdr:from>
    <xdr:to>
      <xdr:col>13</xdr:col>
      <xdr:colOff>171450</xdr:colOff>
      <xdr:row>76</xdr:row>
      <xdr:rowOff>144780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10</xdr:row>
      <xdr:rowOff>99060</xdr:rowOff>
    </xdr:from>
    <xdr:to>
      <xdr:col>36</xdr:col>
      <xdr:colOff>84666</xdr:colOff>
      <xdr:row>30</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426720</xdr:colOff>
      <xdr:row>55</xdr:row>
      <xdr:rowOff>160020</xdr:rowOff>
    </xdr:from>
    <xdr:to>
      <xdr:col>20</xdr:col>
      <xdr:colOff>129540</xdr:colOff>
      <xdr:row>67</xdr:row>
      <xdr:rowOff>137160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47623</xdr:colOff>
      <xdr:row>42</xdr:row>
      <xdr:rowOff>115357</xdr:rowOff>
    </xdr:from>
    <xdr:to>
      <xdr:col>50</xdr:col>
      <xdr:colOff>158750</xdr:colOff>
      <xdr:row>57</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16</xdr:col>
      <xdr:colOff>300990</xdr:colOff>
      <xdr:row>40</xdr:row>
      <xdr:rowOff>15240</xdr:rowOff>
    </xdr:from>
    <xdr:to>
      <xdr:col>44</xdr:col>
      <xdr:colOff>419100</xdr:colOff>
      <xdr:row>58</xdr:row>
      <xdr:rowOff>57150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171449</xdr:colOff>
      <xdr:row>10</xdr:row>
      <xdr:rowOff>85725</xdr:rowOff>
    </xdr:from>
    <xdr:to>
      <xdr:col>21</xdr:col>
      <xdr:colOff>19050</xdr:colOff>
      <xdr:row>29</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205740</xdr:colOff>
      <xdr:row>13</xdr:row>
      <xdr:rowOff>114300</xdr:rowOff>
    </xdr:from>
    <xdr:to>
      <xdr:col>14</xdr:col>
      <xdr:colOff>342900</xdr:colOff>
      <xdr:row>28</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42</xdr:row>
      <xdr:rowOff>0</xdr:rowOff>
    </xdr:from>
    <xdr:to>
      <xdr:col>15</xdr:col>
      <xdr:colOff>86360</xdr:colOff>
      <xdr:row>54</xdr:row>
      <xdr:rowOff>142240</xdr:rowOff>
    </xdr:to>
    <xdr:sp macro="" textlink="">
      <xdr:nvSpPr>
        <xdr:cNvPr id="3" name="Rectangle 2"/>
        <xdr:cNvSpPr/>
      </xdr:nvSpPr>
      <xdr:spPr>
        <a:xfrm>
          <a:off x="1457325" y="9372600"/>
          <a:ext cx="5991860" cy="24282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42</xdr:row>
      <xdr:rowOff>0</xdr:rowOff>
    </xdr:from>
    <xdr:to>
      <xdr:col>15</xdr:col>
      <xdr:colOff>91440</xdr:colOff>
      <xdr:row>54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0.59004</cdr:x>
      <cdr:y>0.46289</cdr:y>
    </cdr:from>
    <cdr:to>
      <cdr:x>0.85057</cdr:x>
      <cdr:y>0.60126</cdr:y>
    </cdr:to>
    <cdr:cxnSp macro="">
      <cdr:nvCxnSpPr>
        <cdr:cNvPr id="3" name="Straight Connector 2"/>
        <cdr:cNvCxnSpPr/>
      </cdr:nvCxnSpPr>
      <cdr:spPr>
        <a:xfrm xmlns:a="http://schemas.openxmlformats.org/drawingml/2006/main">
          <a:off x="3520440" y="1402080"/>
          <a:ext cx="1554480" cy="419100"/>
        </a:xfrm>
        <a:prstGeom xmlns:a="http://schemas.openxmlformats.org/drawingml/2006/main" prst="line">
          <a:avLst/>
        </a:prstGeom>
        <a:ln xmlns:a="http://schemas.openxmlformats.org/drawingml/2006/main" w="15875">
          <a:solidFill>
            <a:srgbClr val="FF66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0.5888</cdr:x>
      <cdr:y>0.40348</cdr:y>
    </cdr:from>
    <cdr:to>
      <cdr:x>0.85448</cdr:x>
      <cdr:y>0.56436</cdr:y>
    </cdr:to>
    <cdr:cxnSp macro="">
      <cdr:nvCxnSpPr>
        <cdr:cNvPr id="3" name="Straight Connector 2"/>
        <cdr:cNvCxnSpPr/>
      </cdr:nvCxnSpPr>
      <cdr:spPr>
        <a:xfrm xmlns:a="http://schemas.openxmlformats.org/drawingml/2006/main">
          <a:off x="3607248" y="931588"/>
          <a:ext cx="1627692" cy="371432"/>
        </a:xfrm>
        <a:prstGeom xmlns:a="http://schemas.openxmlformats.org/drawingml/2006/main" prst="line">
          <a:avLst/>
        </a:prstGeom>
        <a:ln xmlns:a="http://schemas.openxmlformats.org/drawingml/2006/main" w="15875">
          <a:solidFill>
            <a:schemeClr val="accent6">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0.10854</cdr:x>
      <cdr:y>0.57219</cdr:y>
    </cdr:from>
    <cdr:to>
      <cdr:x>1</cdr:x>
      <cdr:y>0.57442</cdr:y>
    </cdr:to>
    <cdr:sp macro="" textlink="">
      <cdr:nvSpPr>
        <cdr:cNvPr id="10241" name="Line 1"/>
        <cdr:cNvSpPr>
          <a:spLocks xmlns:a="http://schemas.openxmlformats.org/drawingml/2006/main" noChangeShapeType="1"/>
        </cdr:cNvSpPr>
      </cdr:nvSpPr>
      <cdr:spPr bwMode="auto">
        <a:xfrm xmlns:a="http://schemas.openxmlformats.org/drawingml/2006/main" flipV="1">
          <a:off x="678180" y="1874831"/>
          <a:ext cx="5570220" cy="7308"/>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60.xml><?xml version="1.0" encoding="utf-8"?>
<xdr:wsDr xmlns:xdr="http://schemas.openxmlformats.org/drawingml/2006/spreadsheetDrawing" xmlns:a="http://schemas.openxmlformats.org/drawingml/2006/main">
  <xdr:twoCellAnchor>
    <xdr:from>
      <xdr:col>2</xdr:col>
      <xdr:colOff>243840</xdr:colOff>
      <xdr:row>13</xdr:row>
      <xdr:rowOff>121920</xdr:rowOff>
    </xdr:from>
    <xdr:to>
      <xdr:col>11</xdr:col>
      <xdr:colOff>335280</xdr:colOff>
      <xdr:row>28</xdr:row>
      <xdr:rowOff>106680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228600</xdr:colOff>
      <xdr:row>11</xdr:row>
      <xdr:rowOff>114299</xdr:rowOff>
    </xdr:from>
    <xdr:to>
      <xdr:col>27</xdr:col>
      <xdr:colOff>0</xdr:colOff>
      <xdr:row>28</xdr:row>
      <xdr:rowOff>66674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44</xdr:row>
      <xdr:rowOff>0</xdr:rowOff>
    </xdr:from>
    <xdr:to>
      <xdr:col>15</xdr:col>
      <xdr:colOff>124851</xdr:colOff>
      <xdr:row>60</xdr:row>
      <xdr:rowOff>6350</xdr:rowOff>
    </xdr:to>
    <xdr:sp macro="" textlink="">
      <xdr:nvSpPr>
        <xdr:cNvPr id="3" name="Rectangle 2"/>
        <xdr:cNvSpPr/>
      </xdr:nvSpPr>
      <xdr:spPr>
        <a:xfrm>
          <a:off x="2895600" y="9601200"/>
          <a:ext cx="5782701" cy="3054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0</xdr:colOff>
      <xdr:row>44</xdr:row>
      <xdr:rowOff>0</xdr:rowOff>
    </xdr:from>
    <xdr:to>
      <xdr:col>15</xdr:col>
      <xdr:colOff>114300</xdr:colOff>
      <xdr:row>60</xdr:row>
      <xdr:rowOff>38100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148589</xdr:colOff>
      <xdr:row>29</xdr:row>
      <xdr:rowOff>19050</xdr:rowOff>
    </xdr:from>
    <xdr:to>
      <xdr:col>18</xdr:col>
      <xdr:colOff>304799</xdr:colOff>
      <xdr:row>39</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62</xdr:row>
      <xdr:rowOff>0</xdr:rowOff>
    </xdr:from>
    <xdr:to>
      <xdr:col>15</xdr:col>
      <xdr:colOff>320040</xdr:colOff>
      <xdr:row>75</xdr:row>
      <xdr:rowOff>137160</xdr:rowOff>
    </xdr:to>
    <xdr:sp macro="" textlink="">
      <xdr:nvSpPr>
        <xdr:cNvPr id="2" name="Rectangle 1"/>
        <xdr:cNvSpPr/>
      </xdr:nvSpPr>
      <xdr:spPr>
        <a:xfrm>
          <a:off x="3524250" y="12011025"/>
          <a:ext cx="4892040" cy="2613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577214</xdr:colOff>
      <xdr:row>62</xdr:row>
      <xdr:rowOff>0</xdr:rowOff>
    </xdr:from>
    <xdr:to>
      <xdr:col>24</xdr:col>
      <xdr:colOff>314324</xdr:colOff>
      <xdr:row>84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552451</xdr:colOff>
      <xdr:row>15</xdr:row>
      <xdr:rowOff>28574</xdr:rowOff>
    </xdr:from>
    <xdr:to>
      <xdr:col>26</xdr:col>
      <xdr:colOff>352425</xdr:colOff>
      <xdr:row>30</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3</xdr:col>
      <xdr:colOff>421</xdr:colOff>
      <xdr:row>14</xdr:row>
      <xdr:rowOff>160020</xdr:rowOff>
    </xdr:from>
    <xdr:to>
      <xdr:col>26</xdr:col>
      <xdr:colOff>465666</xdr:colOff>
      <xdr:row>31</xdr:row>
      <xdr:rowOff>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13</xdr:col>
      <xdr:colOff>297180</xdr:colOff>
      <xdr:row>72</xdr:row>
      <xdr:rowOff>0</xdr:rowOff>
    </xdr:to>
    <xdr:sp macro="" textlink="">
      <xdr:nvSpPr>
        <xdr:cNvPr id="3" name="Rectangle 2"/>
        <xdr:cNvSpPr/>
      </xdr:nvSpPr>
      <xdr:spPr>
        <a:xfrm>
          <a:off x="1457325" y="10191750"/>
          <a:ext cx="6202680" cy="2428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449580</xdr:colOff>
      <xdr:row>56</xdr:row>
      <xdr:rowOff>137160</xdr:rowOff>
    </xdr:from>
    <xdr:to>
      <xdr:col>14</xdr:col>
      <xdr:colOff>320040</xdr:colOff>
      <xdr:row>72</xdr:row>
      <xdr:rowOff>53340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7620</xdr:colOff>
      <xdr:row>42</xdr:row>
      <xdr:rowOff>0</xdr:rowOff>
    </xdr:from>
    <xdr:to>
      <xdr:col>24</xdr:col>
      <xdr:colOff>320040</xdr:colOff>
      <xdr:row>42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666750</xdr:colOff>
      <xdr:row>16</xdr:row>
      <xdr:rowOff>72391</xdr:rowOff>
    </xdr:from>
    <xdr:to>
      <xdr:col>25</xdr:col>
      <xdr:colOff>428625</xdr:colOff>
      <xdr:row>34</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777240</xdr:colOff>
      <xdr:row>15</xdr:row>
      <xdr:rowOff>99060</xdr:rowOff>
    </xdr:from>
    <xdr:to>
      <xdr:col>16</xdr:col>
      <xdr:colOff>434340</xdr:colOff>
      <xdr:row>35</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84667</xdr:colOff>
      <xdr:row>15</xdr:row>
      <xdr:rowOff>94192</xdr:rowOff>
    </xdr:from>
    <xdr:to>
      <xdr:col>28</xdr:col>
      <xdr:colOff>550334</xdr:colOff>
      <xdr:row>36</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243416</xdr:colOff>
      <xdr:row>66</xdr:row>
      <xdr:rowOff>74083</xdr:rowOff>
    </xdr:from>
    <xdr:to>
      <xdr:col>17</xdr:col>
      <xdr:colOff>486834</xdr:colOff>
      <xdr:row>82</xdr:row>
      <xdr:rowOff>68580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52</xdr:row>
      <xdr:rowOff>0</xdr:rowOff>
    </xdr:from>
    <xdr:to>
      <xdr:col>16</xdr:col>
      <xdr:colOff>320040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54</xdr:row>
      <xdr:rowOff>133349</xdr:rowOff>
    </xdr:from>
    <xdr:to>
      <xdr:col>17</xdr:col>
      <xdr:colOff>619126</xdr:colOff>
      <xdr:row>67</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7620</xdr:colOff>
      <xdr:row>52</xdr:row>
      <xdr:rowOff>0</xdr:rowOff>
    </xdr:from>
    <xdr:to>
      <xdr:col>16</xdr:col>
      <xdr:colOff>320040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1266825</xdr:colOff>
      <xdr:row>55</xdr:row>
      <xdr:rowOff>104775</xdr:rowOff>
    </xdr:from>
    <xdr:to>
      <xdr:col>14</xdr:col>
      <xdr:colOff>152399</xdr:colOff>
      <xdr:row>69</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2</xdr:col>
      <xdr:colOff>445558</xdr:colOff>
      <xdr:row>50</xdr:row>
      <xdr:rowOff>124883</xdr:rowOff>
    </xdr:from>
    <xdr:to>
      <xdr:col>23</xdr:col>
      <xdr:colOff>533400</xdr:colOff>
      <xdr:row>69</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78</xdr:row>
      <xdr:rowOff>0</xdr:rowOff>
    </xdr:from>
    <xdr:to>
      <xdr:col>16</xdr:col>
      <xdr:colOff>49530</xdr:colOff>
      <xdr:row>87</xdr:row>
      <xdr:rowOff>177019</xdr:rowOff>
    </xdr:to>
    <xdr:sp macro="" textlink="">
      <xdr:nvSpPr>
        <xdr:cNvPr id="3" name="Rectangle 2"/>
        <xdr:cNvSpPr/>
      </xdr:nvSpPr>
      <xdr:spPr>
        <a:xfrm>
          <a:off x="3067050" y="17316450"/>
          <a:ext cx="5497830" cy="18915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76</xdr:row>
      <xdr:rowOff>85725</xdr:rowOff>
    </xdr:from>
    <xdr:to>
      <xdr:col>17</xdr:col>
      <xdr:colOff>76200</xdr:colOff>
      <xdr:row>88</xdr:row>
      <xdr:rowOff>171450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285749</xdr:colOff>
      <xdr:row>30</xdr:row>
      <xdr:rowOff>8466</xdr:rowOff>
    </xdr:from>
    <xdr:to>
      <xdr:col>23</xdr:col>
      <xdr:colOff>514350</xdr:colOff>
      <xdr:row>48</xdr:row>
      <xdr:rowOff>127000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243840</xdr:colOff>
      <xdr:row>10</xdr:row>
      <xdr:rowOff>68580</xdr:rowOff>
    </xdr:from>
    <xdr:to>
      <xdr:col>27</xdr:col>
      <xdr:colOff>3810</xdr:colOff>
      <xdr:row>27</xdr:row>
      <xdr:rowOff>97155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42</xdr:row>
      <xdr:rowOff>0</xdr:rowOff>
    </xdr:from>
    <xdr:to>
      <xdr:col>17</xdr:col>
      <xdr:colOff>536575</xdr:colOff>
      <xdr:row>58</xdr:row>
      <xdr:rowOff>170180</xdr:rowOff>
    </xdr:to>
    <xdr:sp macro="" textlink="">
      <xdr:nvSpPr>
        <xdr:cNvPr id="3" name="Rectangle 2"/>
        <xdr:cNvSpPr/>
      </xdr:nvSpPr>
      <xdr:spPr>
        <a:xfrm>
          <a:off x="2924175" y="8639175"/>
          <a:ext cx="3984625" cy="32181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42</xdr:row>
      <xdr:rowOff>15240</xdr:rowOff>
    </xdr:from>
    <xdr:to>
      <xdr:col>17</xdr:col>
      <xdr:colOff>533400</xdr:colOff>
      <xdr:row>59</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3</xdr:col>
      <xdr:colOff>60960</xdr:colOff>
      <xdr:row>26</xdr:row>
      <xdr:rowOff>41910</xdr:rowOff>
    </xdr:from>
    <xdr:to>
      <xdr:col>22</xdr:col>
      <xdr:colOff>312420</xdr:colOff>
      <xdr:row>38</xdr:row>
      <xdr:rowOff>174625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214313</xdr:colOff>
      <xdr:row>25</xdr:row>
      <xdr:rowOff>103189</xdr:rowOff>
    </xdr:from>
    <xdr:to>
      <xdr:col>25</xdr:col>
      <xdr:colOff>238125</xdr:colOff>
      <xdr:row>39</xdr:row>
      <xdr:rowOff>7939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118109</xdr:colOff>
      <xdr:row>19</xdr:row>
      <xdr:rowOff>64769</xdr:rowOff>
    </xdr:from>
    <xdr:to>
      <xdr:col>26</xdr:col>
      <xdr:colOff>447674</xdr:colOff>
      <xdr:row>36</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628650</xdr:colOff>
      <xdr:row>15</xdr:row>
      <xdr:rowOff>133349</xdr:rowOff>
    </xdr:from>
    <xdr:to>
      <xdr:col>22</xdr:col>
      <xdr:colOff>532880</xdr:colOff>
      <xdr:row>31</xdr:row>
      <xdr:rowOff>47278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3</xdr:col>
      <xdr:colOff>60960</xdr:colOff>
      <xdr:row>44</xdr:row>
      <xdr:rowOff>38100</xdr:rowOff>
    </xdr:from>
    <xdr:to>
      <xdr:col>10</xdr:col>
      <xdr:colOff>419100</xdr:colOff>
      <xdr:row>63</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0</xdr:colOff>
      <xdr:row>11</xdr:row>
      <xdr:rowOff>106680</xdr:rowOff>
    </xdr:from>
    <xdr:to>
      <xdr:col>18</xdr:col>
      <xdr:colOff>350520</xdr:colOff>
      <xdr:row>31</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693420</xdr:colOff>
      <xdr:row>24</xdr:row>
      <xdr:rowOff>53340</xdr:rowOff>
    </xdr:from>
    <xdr:to>
      <xdr:col>18</xdr:col>
      <xdr:colOff>333375</xdr:colOff>
      <xdr:row>51</xdr:row>
      <xdr:rowOff>116139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0.07237</cdr:x>
      <cdr:y>0.20232</cdr:y>
    </cdr:from>
    <cdr:to>
      <cdr:x>0.08721</cdr:x>
      <cdr:y>0.51372</cdr:y>
    </cdr:to>
    <cdr:sp macro="" textlink="">
      <cdr:nvSpPr>
        <cdr:cNvPr id="2" name="TextBox 1"/>
        <cdr:cNvSpPr txBox="1"/>
      </cdr:nvSpPr>
      <cdr:spPr>
        <a:xfrm xmlns:a="http://schemas.openxmlformats.org/drawingml/2006/main">
          <a:off x="614855" y="604345"/>
          <a:ext cx="126124" cy="930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ZA" sz="1100"/>
        </a:p>
      </cdr:txBody>
    </cdr:sp>
  </cdr:relSizeAnchor>
  <cdr:relSizeAnchor xmlns:cdr="http://schemas.openxmlformats.org/drawingml/2006/chartDrawing">
    <cdr:from>
      <cdr:x>0.00872</cdr:x>
      <cdr:y>0.11174</cdr:y>
    </cdr:from>
    <cdr:to>
      <cdr:x>0.03407</cdr:x>
      <cdr:y>0.58184</cdr:y>
    </cdr:to>
    <cdr:sp macro="" textlink="">
      <cdr:nvSpPr>
        <cdr:cNvPr id="3" name="TextBox 2"/>
        <cdr:cNvSpPr txBox="1"/>
      </cdr:nvSpPr>
      <cdr:spPr>
        <a:xfrm xmlns:a="http://schemas.openxmlformats.org/drawingml/2006/main">
          <a:off x="83820" y="402092"/>
          <a:ext cx="243840" cy="169164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ZA" sz="1100" b="1"/>
            <a:t>Number</a:t>
          </a:r>
          <a:r>
            <a:rPr lang="en-ZA" sz="1100"/>
            <a:t> </a:t>
          </a:r>
        </a:p>
      </cdr:txBody>
    </cdr:sp>
  </cdr:relSizeAnchor>
  <cdr:relSizeAnchor xmlns:cdr="http://schemas.openxmlformats.org/drawingml/2006/chartDrawing">
    <cdr:from>
      <cdr:x>0.95563</cdr:x>
      <cdr:y>0.24938</cdr:y>
    </cdr:from>
    <cdr:to>
      <cdr:x>0.9897</cdr:x>
      <cdr:y>0.54584</cdr:y>
    </cdr:to>
    <cdr:sp macro="" textlink="">
      <cdr:nvSpPr>
        <cdr:cNvPr id="4" name="TextBox 3"/>
        <cdr:cNvSpPr txBox="1"/>
      </cdr:nvSpPr>
      <cdr:spPr>
        <a:xfrm xmlns:a="http://schemas.openxmlformats.org/drawingml/2006/main">
          <a:off x="9189720" y="897392"/>
          <a:ext cx="327660" cy="106680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ZA" sz="1100"/>
            <a:t> R' Billion</a:t>
          </a:r>
        </a:p>
      </cdr:txBody>
    </cdr:sp>
  </cdr:relSizeAnchor>
</c:userShapes>
</file>

<file path=xl/drawings/drawing77.xml><?xml version="1.0" encoding="utf-8"?>
<xdr:wsDr xmlns:xdr="http://schemas.openxmlformats.org/drawingml/2006/spreadsheetDrawing" xmlns:a="http://schemas.openxmlformats.org/drawingml/2006/main">
  <xdr:twoCellAnchor>
    <xdr:from>
      <xdr:col>3</xdr:col>
      <xdr:colOff>85724</xdr:colOff>
      <xdr:row>31</xdr:row>
      <xdr:rowOff>19050</xdr:rowOff>
    </xdr:from>
    <xdr:to>
      <xdr:col>14</xdr:col>
      <xdr:colOff>561974</xdr:colOff>
      <xdr:row>45</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133349</xdr:colOff>
      <xdr:row>31</xdr:row>
      <xdr:rowOff>19050</xdr:rowOff>
    </xdr:from>
    <xdr:to>
      <xdr:col>17</xdr:col>
      <xdr:colOff>523875</xdr:colOff>
      <xdr:row>45</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361949</xdr:colOff>
      <xdr:row>11</xdr:row>
      <xdr:rowOff>106680</xdr:rowOff>
    </xdr:from>
    <xdr:to>
      <xdr:col>20</xdr:col>
      <xdr:colOff>533399</xdr:colOff>
      <xdr:row>31</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99060</xdr:colOff>
      <xdr:row>49</xdr:row>
      <xdr:rowOff>0</xdr:rowOff>
    </xdr:from>
    <xdr:to>
      <xdr:col>11</xdr:col>
      <xdr:colOff>175260</xdr:colOff>
      <xdr:row>49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38100</xdr:rowOff>
    </xdr:from>
    <xdr:to>
      <xdr:col>20</xdr:col>
      <xdr:colOff>495300</xdr:colOff>
      <xdr:row>44</xdr:row>
      <xdr:rowOff>45720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xdr:colOff>
      <xdr:row>10</xdr:row>
      <xdr:rowOff>85725</xdr:rowOff>
    </xdr:from>
    <xdr:to>
      <xdr:col>26</xdr:col>
      <xdr:colOff>581025</xdr:colOff>
      <xdr:row>29</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39</xdr:row>
      <xdr:rowOff>0</xdr:rowOff>
    </xdr:from>
    <xdr:to>
      <xdr:col>17</xdr:col>
      <xdr:colOff>164123</xdr:colOff>
      <xdr:row>52</xdr:row>
      <xdr:rowOff>154744</xdr:rowOff>
    </xdr:to>
    <xdr:sp macro="" textlink="">
      <xdr:nvSpPr>
        <xdr:cNvPr id="3" name="Rectangle 2"/>
        <xdr:cNvSpPr/>
      </xdr:nvSpPr>
      <xdr:spPr>
        <a:xfrm>
          <a:off x="3314700" y="8029575"/>
          <a:ext cx="5688623" cy="26312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39</xdr:row>
      <xdr:rowOff>0</xdr:rowOff>
    </xdr:from>
    <xdr:to>
      <xdr:col>17</xdr:col>
      <xdr:colOff>167639</xdr:colOff>
      <xdr:row>52</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2</xdr:col>
      <xdr:colOff>219076</xdr:colOff>
      <xdr:row>23</xdr:row>
      <xdr:rowOff>81915</xdr:rowOff>
    </xdr:from>
    <xdr:to>
      <xdr:col>19</xdr:col>
      <xdr:colOff>561975</xdr:colOff>
      <xdr:row>37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xdr:col>
      <xdr:colOff>213360</xdr:colOff>
      <xdr:row>14</xdr:row>
      <xdr:rowOff>0</xdr:rowOff>
    </xdr:from>
    <xdr:to>
      <xdr:col>21</xdr:col>
      <xdr:colOff>133350</xdr:colOff>
      <xdr:row>34</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548640</xdr:colOff>
      <xdr:row>43</xdr:row>
      <xdr:rowOff>0</xdr:rowOff>
    </xdr:from>
    <xdr:to>
      <xdr:col>3</xdr:col>
      <xdr:colOff>632460</xdr:colOff>
      <xdr:row>44</xdr:row>
      <xdr:rowOff>45720</xdr:rowOff>
    </xdr:to>
    <xdr:sp macro="" textlink="">
      <xdr:nvSpPr>
        <xdr:cNvPr id="2" name="Text Box 1"/>
        <xdr:cNvSpPr txBox="1">
          <a:spLocks noChangeArrowheads="1"/>
        </xdr:cNvSpPr>
      </xdr:nvSpPr>
      <xdr:spPr bwMode="auto">
        <a:xfrm>
          <a:off x="2005965" y="8943975"/>
          <a:ext cx="83820" cy="198120"/>
        </a:xfrm>
        <a:prstGeom prst="rect">
          <a:avLst/>
        </a:prstGeom>
        <a:noFill/>
        <a:ln w="9525">
          <a:noFill/>
          <a:miter lim="800000"/>
          <a:headEnd/>
          <a:tailEnd/>
        </a:ln>
      </xdr:spPr>
    </xdr:sp>
    <xdr:clientData/>
  </xdr:twoCellAnchor>
  <xdr:twoCellAnchor>
    <xdr:from>
      <xdr:col>7</xdr:col>
      <xdr:colOff>182880</xdr:colOff>
      <xdr:row>14</xdr:row>
      <xdr:rowOff>89535</xdr:rowOff>
    </xdr:from>
    <xdr:to>
      <xdr:col>19</xdr:col>
      <xdr:colOff>323849</xdr:colOff>
      <xdr:row>38</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160020</xdr:colOff>
      <xdr:row>55</xdr:row>
      <xdr:rowOff>57150</xdr:rowOff>
    </xdr:from>
    <xdr:to>
      <xdr:col>19</xdr:col>
      <xdr:colOff>68580</xdr:colOff>
      <xdr:row>73</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352425</xdr:colOff>
      <xdr:row>15</xdr:row>
      <xdr:rowOff>19050</xdr:rowOff>
    </xdr:from>
    <xdr:to>
      <xdr:col>35</xdr:col>
      <xdr:colOff>198119</xdr:colOff>
      <xdr:row>38</xdr:row>
      <xdr:rowOff>81915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3</xdr:col>
      <xdr:colOff>640080</xdr:colOff>
      <xdr:row>18</xdr:row>
      <xdr:rowOff>142875</xdr:rowOff>
    </xdr:from>
    <xdr:to>
      <xdr:col>9</xdr:col>
      <xdr:colOff>348594</xdr:colOff>
      <xdr:row>20</xdr:row>
      <xdr:rowOff>9525</xdr:rowOff>
    </xdr:to>
    <xdr:sp macro="" textlink="">
      <xdr:nvSpPr>
        <xdr:cNvPr id="2" name="Rectangle 1"/>
        <xdr:cNvSpPr>
          <a:spLocks noChangeArrowheads="1"/>
        </xdr:cNvSpPr>
      </xdr:nvSpPr>
      <xdr:spPr bwMode="auto">
        <a:xfrm>
          <a:off x="2097405" y="3448050"/>
          <a:ext cx="4728189"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11</xdr:row>
      <xdr:rowOff>81914</xdr:rowOff>
    </xdr:from>
    <xdr:to>
      <xdr:col>16</xdr:col>
      <xdr:colOff>57150</xdr:colOff>
      <xdr:row>40</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097405" y="3248025"/>
          <a:ext cx="4213839"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12</xdr:col>
      <xdr:colOff>695325</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097405" y="3419475"/>
          <a:ext cx="3556614"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14</xdr:row>
      <xdr:rowOff>100964</xdr:rowOff>
    </xdr:from>
    <xdr:to>
      <xdr:col>14</xdr:col>
      <xdr:colOff>0</xdr:colOff>
      <xdr:row>42</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097405" y="3571875"/>
          <a:ext cx="3556614"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228600</xdr:colOff>
      <xdr:row>13</xdr:row>
      <xdr:rowOff>5714</xdr:rowOff>
    </xdr:from>
    <xdr:to>
      <xdr:col>12</xdr:col>
      <xdr:colOff>695326</xdr:colOff>
      <xdr:row>41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0.06305</cdr:x>
      <cdr:y>0.29853</cdr:y>
    </cdr:from>
    <cdr:to>
      <cdr:x>0.98508</cdr:x>
      <cdr:y>0.29853</cdr:y>
    </cdr:to>
    <cdr:sp macro="" textlink="">
      <cdr:nvSpPr>
        <cdr:cNvPr id="202753" name="Line 1025"/>
        <cdr:cNvSpPr>
          <a:spLocks xmlns:a="http://schemas.openxmlformats.org/drawingml/2006/main" noChangeShapeType="1"/>
        </cdr:cNvSpPr>
      </cdr:nvSpPr>
      <cdr:spPr bwMode="auto">
        <a:xfrm xmlns:a="http://schemas.openxmlformats.org/drawingml/2006/main">
          <a:off x="792160" y="1077698"/>
          <a:ext cx="11583901"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20PME\1.%20Indicators\1.%20Development%20Indicators\2010\Temporary%20files\2011\3.%20INDICATORS\2.%20Economic%20Growth%20and%20Transformation\Economy%20and%20budget_NT%20updated%20ver%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Docs/Development%20Indicator%202012--/Dev%20Indi%202018/Themes/Health/Health%201510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es-pta-fnp-01\DPME\GWME\5.%20Development%20Indicators\2009\3.%20INDICATORS\6.%20Education\Development%20Indicators%202009_%20EDUCATION%20(Ver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6.%20Education\Development%20Indicators%202009_%20EDUCATION%20(Ver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mpme-ptaho-fnp01\dpme\Users\Thabo.Mabogoane\AppData\Local\Microsoft\Windows\Temporary%20Internet%20Files\Content.Outlook\W02ZPCFK\Educational%20Performance%20Indicator%20reform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Users\Thabo.Mabogoane\AppData\Local\Microsoft\Windows\Temporary%20Internet%20Files\Content.Outlook\W02ZPCFK\Educational%20Performance%20Indicator%20reform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Maria.Mashao\Desktop\Short%20list%20GA%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8.%20Safety%20and%20Security\Development%20Indicators%202009_Safety%20and%20Security%20(Ver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PA%20Perform%202009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mpme-ptaho-fnp01\dpme\Users\Tovhowani.Tharaga\AppData\Local\Microsoft\Windows\Temporary%20Internet%20Files\Content.Outlook\EC4OVTDE\Copy%20of%20Book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mpme-ptaho-fnp01\dpme\STATISTICS\Annual%20Reports\2014%20to%202015\National%20Annual%20Progress%20Sheet%20Apr%2014%20to%20Mar%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GWME\5.%20Development%20Indicators\2009\3.%20INDICATORS\1.%20Economic%20growth%20&amp;%20transformation\Dev%20Indicators%202009_Econ%20growth%20&amp;%20transformation%20(ver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STATISTICS\Annual%20Reports\2018%20to%202019\NPS%20PERFOR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mpme-ptaho-fnp01\dpme\STATISTICS\Annual%20Reports\2002%20to%202003\National%20Cluster%20Sheet%20Apr%202002%20to%20Mar%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mpme-ptaho-fnp01\dpme\STATISTICS\Annual%20Reports\2003%20to%202004\National%20Cluster%20Sheet%20Apr%2003%20to%20Mar%2004%20SAT%20INC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mpme-ptaho-fnp01\dpme\STATISTICS\Annual%20Reports\2004%20to%202005\National%20Progress%20Sheet%20Apr%2004%20to%20Mar%2005%202005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mpme-ptaho-fnp01\dpme\STATISTICS\Annual%20Reports\2005%20to%202006\National%20Annual%20Progress%20Sheet%20Apr%2005%20to%20Mar%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mpme-ptaho-fnp01\dpme\STATISTICS\Annual%20Reports\2007%20to%202008\National%20Annual%20Progress%20Sheet%20Apr%2007%20to%20Mar%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ational%20Annual%20Progress%20Sheet%20Apr%2009%20to%20Mar%2010.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GWME\5.%20Development%20Indicators\2008\Indicators\Short%20list%20GA%20dat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mpme-ptaho-fnp03\Users\GWME\5.%20Development%20Indicators\Development%20Indicators-%20Additional\2.%20BASE%20DATA\11.%20Good%20Governance\Audits\Auditor%20General%20SA_ver01_13May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enneth.Matlala\AppData\Local\Microsoft\Windows\Temporary%20Internet%20Files\Content.Outlook\XT3LAW7G\Copy%20of%20version._analysis%20V1%20(0000000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mpme-ptaho-fnp03\Users\Users\Mosa.Mojapelo\Documents\Development%20Indicators\DI%202016\3.%20INDICATORS\0.Combined%20Themes\Development%20Indicators%20Combined%20version%202014%20%20V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mpme-ptaho-fnp01\dpme\15.%20Development%20Indicators\1.%20Development%20Indicators\2015\3.%20INDICATORS\11.%20Good%20Governance\Good%20Governance%20V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Docs/Development%20Indicator%202012--/Dev%20Indi%202018/Themes/Environment/2018-08-06%20NDI%20-%20Terrestrial%20Greenhouse%20&amp;%20Marine%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Users\Mosa.Mojapelo\Documents\Development%20Indicators\DI%202016\3.%20INDICATORS\0.Combined%20Themes\Development%20Indicators%20Combined%20version%202014%20%20V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5\3.%20INDICATORS\3.%20Employment\Analysis\Employment.%20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20PME\1.%20Indicators\1.%20Development%20Indicators\2010\Temporary%20files\2011\3.%20INDICATORS\2.%20Economic%20Growth%20and%20Transformation\Economy%20and%20budget_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heladi.Sibanyoni\AppData\Local\Microsoft\Windows\Temporary%20Internet%20Files\Content.Outlook\49JSM339\Combined%20Version%20for%20web%20publish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onde.maluleka\Desktop\Dev%20Ind.%202012\0.Combined%20Themes\Combined%20Version%20for%20web%20publish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3.%20Poverty%20and%20Inequality\Development%20Indicators%202009_Poverty%20and%20Inequali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GWME\5.%20Development%20Indicators\2008\Indicators\Shtr%20list%20Social%20(RE%20edi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mpme-ptaho-fnp01\dpme\Users\mandla.tshabalala\AppData\Local\Microsoft\Windows\Temporary%20Internet%20Files\Content.Outlook\UEQM1G47\Combined%20Version%202012%20ver%20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NFDI"/>
      <sheetName val="GFCF"/>
      <sheetName val="B deficit"/>
      <sheetName val="G debt"/>
      <sheetName val="Interest"/>
      <sheetName val="Inflation"/>
      <sheetName val="Bondpoints Spread"/>
      <sheetName val="Foreign Trade"/>
      <sheetName val="Dwellings"/>
    </sheetNames>
    <sheetDataSet>
      <sheetData sheetId="0">
        <row r="2">
          <cell r="C2">
            <v>1</v>
          </cell>
        </row>
      </sheetData>
      <sheetData sheetId="1">
        <row r="2">
          <cell r="C2">
            <v>2</v>
          </cell>
        </row>
      </sheetData>
      <sheetData sheetId="2">
        <row r="2">
          <cell r="C2">
            <v>3</v>
          </cell>
        </row>
      </sheetData>
      <sheetData sheetId="3">
        <row r="2">
          <cell r="C2">
            <v>4</v>
          </cell>
        </row>
      </sheetData>
      <sheetData sheetId="4">
        <row r="2">
          <cell r="C2">
            <v>5</v>
          </cell>
        </row>
      </sheetData>
      <sheetData sheetId="5">
        <row r="2">
          <cell r="C2">
            <v>6</v>
          </cell>
        </row>
      </sheetData>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 Expectancy "/>
      <sheetName val="Infant &amp; Child mortality"/>
      <sheetName val="Stunting"/>
      <sheetName val="Immunization"/>
      <sheetName val="Martenal mortality"/>
      <sheetName val="HIV Prevalance "/>
      <sheetName val="ART new TROA"/>
      <sheetName val="TB"/>
      <sheetName val="Malaria"/>
    </sheetNames>
    <sheetDataSet>
      <sheetData sheetId="0"/>
      <sheetData sheetId="1"/>
      <sheetData sheetId="2"/>
      <sheetData sheetId="3"/>
      <sheetData sheetId="4">
        <row r="9">
          <cell r="J9">
            <v>2003</v>
          </cell>
          <cell r="K9">
            <v>2004</v>
          </cell>
          <cell r="L9">
            <v>2005</v>
          </cell>
          <cell r="M9">
            <v>2006</v>
          </cell>
          <cell r="N9">
            <v>2007</v>
          </cell>
          <cell r="O9">
            <v>2008</v>
          </cell>
          <cell r="P9">
            <v>2009</v>
          </cell>
          <cell r="Q9">
            <v>2010</v>
          </cell>
          <cell r="R9">
            <v>2011</v>
          </cell>
          <cell r="S9">
            <v>2012</v>
          </cell>
          <cell r="T9">
            <v>2013</v>
          </cell>
          <cell r="U9">
            <v>2014</v>
          </cell>
          <cell r="V9">
            <v>2015</v>
          </cell>
          <cell r="W9">
            <v>2016</v>
          </cell>
        </row>
      </sheetData>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row r="8">
          <cell r="E8">
            <v>1995</v>
          </cell>
        </row>
      </sheetData>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s>
    <sheetDataSet>
      <sheetData sheetId="0">
        <row r="8">
          <cell r="E8" t="str">
            <v>Language Achievement</v>
          </cell>
          <cell r="F8" t="str">
            <v>Mathematics Achievement</v>
          </cell>
          <cell r="H8" t="str">
            <v>Literacy Achievement</v>
          </cell>
          <cell r="J8" t="str">
            <v>Numeracy Achievement</v>
          </cell>
        </row>
        <row r="9">
          <cell r="H9" t="str">
            <v>2001</v>
          </cell>
          <cell r="I9" t="str">
            <v>2007</v>
          </cell>
          <cell r="J9" t="str">
            <v>2001</v>
          </cell>
          <cell r="K9" t="str">
            <v>2007</v>
          </cell>
        </row>
        <row r="10">
          <cell r="D10" t="str">
            <v>Eastern Cape</v>
          </cell>
          <cell r="H10">
            <v>24</v>
          </cell>
          <cell r="I10">
            <v>35</v>
          </cell>
          <cell r="J10">
            <v>34</v>
          </cell>
          <cell r="K10">
            <v>36</v>
          </cell>
        </row>
        <row r="11">
          <cell r="D11" t="str">
            <v>Free State</v>
          </cell>
          <cell r="H11">
            <v>27</v>
          </cell>
          <cell r="I11">
            <v>43</v>
          </cell>
          <cell r="J11">
            <v>29</v>
          </cell>
          <cell r="K11">
            <v>42</v>
          </cell>
        </row>
        <row r="12">
          <cell r="D12" t="str">
            <v>Gauteng</v>
          </cell>
          <cell r="H12">
            <v>33</v>
          </cell>
          <cell r="I12">
            <v>38</v>
          </cell>
          <cell r="J12">
            <v>32</v>
          </cell>
          <cell r="K12">
            <v>42</v>
          </cell>
        </row>
        <row r="13">
          <cell r="D13" t="str">
            <v>KwaZulu-Natal</v>
          </cell>
          <cell r="H13">
            <v>35</v>
          </cell>
          <cell r="I13">
            <v>38</v>
          </cell>
          <cell r="J13">
            <v>31</v>
          </cell>
          <cell r="K13">
            <v>36</v>
          </cell>
        </row>
        <row r="14">
          <cell r="D14" t="str">
            <v>Limpopo</v>
          </cell>
          <cell r="H14">
            <v>27</v>
          </cell>
          <cell r="I14">
            <v>29</v>
          </cell>
          <cell r="J14">
            <v>24</v>
          </cell>
          <cell r="K14">
            <v>26</v>
          </cell>
        </row>
        <row r="15">
          <cell r="D15" t="str">
            <v>Mpumalanga</v>
          </cell>
          <cell r="H15">
            <v>28</v>
          </cell>
          <cell r="I15">
            <v>32</v>
          </cell>
          <cell r="J15">
            <v>29</v>
          </cell>
          <cell r="K15">
            <v>31</v>
          </cell>
        </row>
        <row r="16">
          <cell r="D16" t="str">
            <v>North West</v>
          </cell>
          <cell r="H16">
            <v>29</v>
          </cell>
          <cell r="I16">
            <v>35</v>
          </cell>
          <cell r="J16">
            <v>25</v>
          </cell>
          <cell r="K16">
            <v>29</v>
          </cell>
        </row>
        <row r="17">
          <cell r="D17" t="str">
            <v>Northern Cape</v>
          </cell>
          <cell r="H17">
            <v>23</v>
          </cell>
          <cell r="I17">
            <v>34</v>
          </cell>
          <cell r="J17">
            <v>26</v>
          </cell>
          <cell r="K17">
            <v>31</v>
          </cell>
        </row>
        <row r="18">
          <cell r="D18" t="str">
            <v>Western Cape</v>
          </cell>
          <cell r="H18">
            <v>33</v>
          </cell>
          <cell r="I18">
            <v>48</v>
          </cell>
          <cell r="J18">
            <v>32</v>
          </cell>
          <cell r="K18">
            <v>49</v>
          </cell>
        </row>
        <row r="19">
          <cell r="D19" t="str">
            <v xml:space="preserve">South Africa </v>
          </cell>
          <cell r="H19">
            <v>28.777777777777779</v>
          </cell>
          <cell r="I19">
            <v>36.888888888888886</v>
          </cell>
          <cell r="J19">
            <v>29.111111111111111</v>
          </cell>
          <cell r="K19">
            <v>35.777777777777779</v>
          </cell>
        </row>
        <row r="31">
          <cell r="AM31" t="str">
            <v>Litercay Achievement 2001</v>
          </cell>
        </row>
        <row r="32">
          <cell r="AM32" t="str">
            <v>Litercay Achievement 2007</v>
          </cell>
        </row>
        <row r="33">
          <cell r="AM33" t="str">
            <v>Numeracy Achievement 2001</v>
          </cell>
        </row>
        <row r="34">
          <cell r="AM34" t="str">
            <v>Numeracy Achievement 2007</v>
          </cell>
        </row>
        <row r="70">
          <cell r="H70" t="str">
            <v>Not Achieved</v>
          </cell>
          <cell r="L70" t="str">
            <v>Not Achieved</v>
          </cell>
        </row>
        <row r="71">
          <cell r="D71" t="str">
            <v>Eastern Cape</v>
          </cell>
          <cell r="H71">
            <v>76</v>
          </cell>
          <cell r="L71">
            <v>87</v>
          </cell>
        </row>
        <row r="72">
          <cell r="D72" t="str">
            <v>Free State</v>
          </cell>
          <cell r="H72">
            <v>66</v>
          </cell>
          <cell r="L72">
            <v>75</v>
          </cell>
        </row>
        <row r="73">
          <cell r="D73" t="str">
            <v>Gauteng</v>
          </cell>
          <cell r="H73">
            <v>36</v>
          </cell>
          <cell r="L73">
            <v>68</v>
          </cell>
        </row>
        <row r="74">
          <cell r="D74" t="str">
            <v>KwaZulu-Natal</v>
          </cell>
          <cell r="H74">
            <v>68</v>
          </cell>
          <cell r="L74">
            <v>82</v>
          </cell>
        </row>
        <row r="75">
          <cell r="D75" t="str">
            <v>Limpopo</v>
          </cell>
          <cell r="H75">
            <v>86</v>
          </cell>
          <cell r="L75">
            <v>95</v>
          </cell>
        </row>
        <row r="76">
          <cell r="D76" t="str">
            <v>Mpumalanga</v>
          </cell>
          <cell r="H76">
            <v>67</v>
          </cell>
          <cell r="L76">
            <v>86</v>
          </cell>
        </row>
        <row r="77">
          <cell r="D77" t="str">
            <v>North West</v>
          </cell>
          <cell r="H77">
            <v>67</v>
          </cell>
          <cell r="L77">
            <v>88</v>
          </cell>
        </row>
        <row r="78">
          <cell r="D78" t="str">
            <v>Northern Cape</v>
          </cell>
          <cell r="H78">
            <v>33</v>
          </cell>
          <cell r="L78">
            <v>70</v>
          </cell>
        </row>
        <row r="79">
          <cell r="D79" t="str">
            <v>Western Cape</v>
          </cell>
          <cell r="H79">
            <v>28</v>
          </cell>
          <cell r="L79">
            <v>55</v>
          </cell>
        </row>
        <row r="88">
          <cell r="E88">
            <v>24</v>
          </cell>
          <cell r="F88">
            <v>35</v>
          </cell>
          <cell r="H88">
            <v>34</v>
          </cell>
          <cell r="I88">
            <v>36</v>
          </cell>
        </row>
        <row r="89">
          <cell r="E89">
            <v>27</v>
          </cell>
          <cell r="F89">
            <v>43</v>
          </cell>
          <cell r="H89">
            <v>29</v>
          </cell>
          <cell r="I89">
            <v>42</v>
          </cell>
        </row>
        <row r="90">
          <cell r="E90">
            <v>33</v>
          </cell>
          <cell r="F90">
            <v>38</v>
          </cell>
          <cell r="H90">
            <v>32</v>
          </cell>
          <cell r="I90">
            <v>42</v>
          </cell>
        </row>
        <row r="91">
          <cell r="E91">
            <v>35</v>
          </cell>
          <cell r="F91">
            <v>38</v>
          </cell>
          <cell r="H91">
            <v>31</v>
          </cell>
          <cell r="I91">
            <v>36</v>
          </cell>
        </row>
        <row r="92">
          <cell r="E92">
            <v>27</v>
          </cell>
          <cell r="F92">
            <v>29</v>
          </cell>
          <cell r="H92">
            <v>24</v>
          </cell>
          <cell r="I92">
            <v>26</v>
          </cell>
        </row>
        <row r="93">
          <cell r="E93">
            <v>28</v>
          </cell>
          <cell r="F93">
            <v>32</v>
          </cell>
          <cell r="H93">
            <v>29</v>
          </cell>
          <cell r="I93">
            <v>31</v>
          </cell>
        </row>
        <row r="94">
          <cell r="E94">
            <v>29</v>
          </cell>
          <cell r="F94">
            <v>35</v>
          </cell>
          <cell r="H94">
            <v>25</v>
          </cell>
          <cell r="I94">
            <v>29</v>
          </cell>
        </row>
        <row r="95">
          <cell r="E95">
            <v>23</v>
          </cell>
          <cell r="F95">
            <v>34</v>
          </cell>
          <cell r="H95">
            <v>26</v>
          </cell>
          <cell r="I95">
            <v>31</v>
          </cell>
        </row>
        <row r="96">
          <cell r="E96">
            <v>33</v>
          </cell>
          <cell r="F96">
            <v>48</v>
          </cell>
          <cell r="H96">
            <v>32</v>
          </cell>
          <cell r="I96">
            <v>49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row r="8">
          <cell r="D8" t="str">
            <v>South Africa</v>
          </cell>
          <cell r="G8" t="str">
            <v>Chile</v>
          </cell>
          <cell r="J8" t="str">
            <v>Korea</v>
          </cell>
          <cell r="M8" t="str">
            <v>Poland</v>
          </cell>
        </row>
        <row r="9">
          <cell r="D9">
            <v>1995</v>
          </cell>
          <cell r="E9">
            <v>2001</v>
          </cell>
          <cell r="F9">
            <v>2006</v>
          </cell>
          <cell r="G9">
            <v>1995</v>
          </cell>
          <cell r="H9">
            <v>2001</v>
          </cell>
          <cell r="I9">
            <v>2006</v>
          </cell>
          <cell r="J9">
            <v>1995</v>
          </cell>
          <cell r="K9">
            <v>2001</v>
          </cell>
          <cell r="L9">
            <v>2006</v>
          </cell>
          <cell r="M9">
            <v>1995</v>
          </cell>
          <cell r="N9">
            <v>2001</v>
          </cell>
          <cell r="O9">
            <v>2006</v>
          </cell>
        </row>
        <row r="10">
          <cell r="C10" t="str">
            <v>Church or religious</v>
          </cell>
          <cell r="D10">
            <v>0.58399999999999996</v>
          </cell>
          <cell r="E10">
            <v>0.52400000000000002</v>
          </cell>
          <cell r="G10">
            <v>0.28100000000000003</v>
          </cell>
          <cell r="J10">
            <v>0.155</v>
          </cell>
          <cell r="K10">
            <v>0.43</v>
          </cell>
          <cell r="N10">
            <v>5.7000000000000002E-2</v>
          </cell>
        </row>
        <row r="13">
          <cell r="C13" t="str">
            <v>Labour union</v>
          </cell>
          <cell r="D13">
            <v>7.4999999999999997E-2</v>
          </cell>
          <cell r="E13">
            <v>9.2999999999999999E-2</v>
          </cell>
          <cell r="G13">
            <v>5.6000000000000001E-2</v>
          </cell>
          <cell r="H13">
            <v>0.03</v>
          </cell>
          <cell r="J13">
            <v>1.9E-2</v>
          </cell>
          <cell r="K13">
            <v>4.7E-2</v>
          </cell>
          <cell r="M13">
            <v>2.1000000000000001E-2</v>
          </cell>
          <cell r="N13">
            <v>0.10299999999999999</v>
          </cell>
        </row>
        <row r="14">
          <cell r="C14" t="str">
            <v xml:space="preserve">Political party </v>
          </cell>
          <cell r="D14">
            <v>0.114</v>
          </cell>
          <cell r="E14">
            <v>0.115</v>
          </cell>
          <cell r="G14">
            <v>2.8000000000000001E-2</v>
          </cell>
          <cell r="H14">
            <v>2.4E-2</v>
          </cell>
          <cell r="J14">
            <v>2.5000000000000001E-2</v>
          </cell>
          <cell r="K14">
            <v>0.02</v>
          </cell>
          <cell r="M14">
            <v>5.0000000000000001E-3</v>
          </cell>
          <cell r="N14">
            <v>7.0000000000000001E-3</v>
          </cell>
        </row>
      </sheetData>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rate"/>
      <sheetName val="Contact Crime"/>
      <sheetName val="Property crime"/>
      <sheetName val="Serious robberies"/>
      <sheetName val="Detection rate"/>
      <sheetName val="Charges to court"/>
      <sheetName val="Conviction rate"/>
      <sheetName val="Detainees"/>
      <sheetName val="Road accidents &amp; fatalities"/>
    </sheetNames>
    <sheetDataSet>
      <sheetData sheetId="0"/>
      <sheetData sheetId="1">
        <row r="170">
          <cell r="B170" t="str">
            <v>1994/95</v>
          </cell>
          <cell r="C170" t="str">
            <v>1995/96</v>
          </cell>
          <cell r="D170" t="str">
            <v>1996/97</v>
          </cell>
          <cell r="E170" t="str">
            <v>1997/98</v>
          </cell>
          <cell r="F170" t="str">
            <v>1998/99</v>
          </cell>
          <cell r="G170" t="str">
            <v>1999/00</v>
          </cell>
          <cell r="H170" t="str">
            <v>2000/01</v>
          </cell>
          <cell r="I170" t="str">
            <v>2001/02</v>
          </cell>
          <cell r="J170" t="str">
            <v>2002/03</v>
          </cell>
          <cell r="K170" t="str">
            <v>2003/04</v>
          </cell>
          <cell r="L170" t="str">
            <v>2004/05</v>
          </cell>
          <cell r="M170" t="str">
            <v>2005/06</v>
          </cell>
          <cell r="N170" t="str">
            <v>2006/07</v>
          </cell>
        </row>
        <row r="171">
          <cell r="A171" t="str">
            <v>Murder</v>
          </cell>
          <cell r="B171">
            <v>100</v>
          </cell>
          <cell r="C171">
            <v>101.48809863178425</v>
          </cell>
          <cell r="D171">
            <v>93.792224016122006</v>
          </cell>
          <cell r="E171">
            <v>88.88863667337769</v>
          </cell>
          <cell r="F171">
            <v>89.425679533944773</v>
          </cell>
          <cell r="G171">
            <v>78.461546575609759</v>
          </cell>
          <cell r="H171">
            <v>74.433399137940413</v>
          </cell>
          <cell r="I171">
            <v>71.372958646877066</v>
          </cell>
          <cell r="J171">
            <v>70.865078875843395</v>
          </cell>
          <cell r="K171">
            <v>63.87080275468464</v>
          </cell>
          <cell r="L171">
            <v>60.227275178124387</v>
          </cell>
          <cell r="M171">
            <v>59.031696514538801</v>
          </cell>
          <cell r="N171">
            <v>58.1661271719314</v>
          </cell>
        </row>
        <row r="172">
          <cell r="A172" t="str">
            <v>Attempted Murder</v>
          </cell>
          <cell r="B172">
            <v>100</v>
          </cell>
          <cell r="C172">
            <v>98.300396799455157</v>
          </cell>
          <cell r="D172">
            <v>101.92850161180844</v>
          </cell>
          <cell r="E172">
            <v>98.965988480689745</v>
          </cell>
          <cell r="F172">
            <v>101.85020728590619</v>
          </cell>
          <cell r="G172">
            <v>94.744379636660454</v>
          </cell>
          <cell r="H172">
            <v>93.206037906338395</v>
          </cell>
          <cell r="I172">
            <v>101.06993390949953</v>
          </cell>
          <cell r="J172">
            <v>114.20976962200314</v>
          </cell>
          <cell r="K172">
            <v>93.861496756907187</v>
          </cell>
          <cell r="L172">
            <v>76.143042602402446</v>
          </cell>
          <cell r="M172">
            <v>63.549041259419525</v>
          </cell>
          <cell r="N172">
            <v>64.647797291263586</v>
          </cell>
        </row>
        <row r="173">
          <cell r="A173" t="str">
            <v>Common Assault</v>
          </cell>
          <cell r="B173">
            <v>100</v>
          </cell>
          <cell r="C173">
            <v>100.86356963047767</v>
          </cell>
          <cell r="D173">
            <v>96.940056766335076</v>
          </cell>
          <cell r="E173">
            <v>94.760859194917018</v>
          </cell>
          <cell r="F173">
            <v>93.990913545732539</v>
          </cell>
          <cell r="G173">
            <v>104.42984058536841</v>
          </cell>
          <cell r="H173">
            <v>110.38945943236611</v>
          </cell>
          <cell r="I173">
            <v>113.22723186957828</v>
          </cell>
          <cell r="J173">
            <v>120.44897440470879</v>
          </cell>
          <cell r="K173">
            <v>117.36751111526502</v>
          </cell>
          <cell r="L173">
            <v>111.42333506452</v>
          </cell>
          <cell r="M173">
            <v>94.04129479445487</v>
          </cell>
          <cell r="N173">
            <v>93.236135840703653</v>
          </cell>
        </row>
        <row r="174">
          <cell r="A174" t="str">
            <v>Assault GBH</v>
          </cell>
          <cell r="B174">
            <v>100</v>
          </cell>
          <cell r="C174">
            <v>101.42023909693563</v>
          </cell>
          <cell r="D174">
            <v>102.63130030166299</v>
          </cell>
          <cell r="E174">
            <v>102.62619076688368</v>
          </cell>
          <cell r="F174">
            <v>101.89735397608868</v>
          </cell>
          <cell r="G174">
            <v>109.40682585435466</v>
          </cell>
          <cell r="H174">
            <v>113.37944140371015</v>
          </cell>
          <cell r="I174">
            <v>105.98361038677584</v>
          </cell>
          <cell r="J174">
            <v>105.42085488670978</v>
          </cell>
          <cell r="K174">
            <v>100.88299258504389</v>
          </cell>
          <cell r="L174">
            <v>96.312351683814683</v>
          </cell>
          <cell r="M174">
            <v>87.082343013200656</v>
          </cell>
          <cell r="N174">
            <v>85.862884754165208</v>
          </cell>
        </row>
        <row r="175">
          <cell r="A175" t="str">
            <v>Rape</v>
          </cell>
          <cell r="B175">
            <v>100</v>
          </cell>
          <cell r="C175">
            <v>109.13463626136526</v>
          </cell>
          <cell r="D175">
            <v>109.89608362935093</v>
          </cell>
          <cell r="E175">
            <v>109.43966794611318</v>
          </cell>
          <cell r="F175">
            <v>102.58409629960279</v>
          </cell>
          <cell r="G175">
            <v>106.521905451002</v>
          </cell>
          <cell r="H175">
            <v>104.94462529245878</v>
          </cell>
          <cell r="I175">
            <v>105.03834975306225</v>
          </cell>
          <cell r="J175">
            <v>100.01118371738772</v>
          </cell>
          <cell r="K175">
            <v>98.577805820101432</v>
          </cell>
          <cell r="L175">
            <v>102.57900829031755</v>
          </cell>
          <cell r="M175">
            <v>101.5384773524614</v>
          </cell>
          <cell r="N175">
            <v>93.039644269568171</v>
          </cell>
        </row>
        <row r="176">
          <cell r="A176" t="str">
            <v>Aggravated Robbery</v>
          </cell>
          <cell r="B176">
            <v>100</v>
          </cell>
          <cell r="C176">
            <v>89.235003265699802</v>
          </cell>
          <cell r="D176">
            <v>74.61435352574199</v>
          </cell>
          <cell r="E176">
            <v>81.214908237866752</v>
          </cell>
          <cell r="F176">
            <v>100.95842708080112</v>
          </cell>
          <cell r="G176">
            <v>105.04005802956391</v>
          </cell>
          <cell r="H176">
            <v>119.13510643002132</v>
          </cell>
          <cell r="I176">
            <v>119.20448020355859</v>
          </cell>
          <cell r="J176">
            <v>127.78285341991094</v>
          </cell>
          <cell r="K176">
            <v>131.8789091649472</v>
          </cell>
          <cell r="L176">
            <v>124.57921566314796</v>
          </cell>
          <cell r="M176">
            <v>116.84450315503922</v>
          </cell>
          <cell r="N176">
            <v>130.94021278525798</v>
          </cell>
        </row>
        <row r="177">
          <cell r="A177" t="str">
            <v>Common Robbery</v>
          </cell>
          <cell r="B177">
            <v>100</v>
          </cell>
          <cell r="C177">
            <v>137.14323363080365</v>
          </cell>
          <cell r="D177">
            <v>148.36301853422606</v>
          </cell>
          <cell r="E177">
            <v>158.54014668552037</v>
          </cell>
          <cell r="F177">
            <v>183.85413131696907</v>
          </cell>
          <cell r="G177">
            <v>206.17763770597759</v>
          </cell>
          <cell r="H177">
            <v>245.36526242085023</v>
          </cell>
          <cell r="I177">
            <v>239.13025278191299</v>
          </cell>
          <cell r="J177">
            <v>265.42041125464038</v>
          </cell>
          <cell r="K177">
            <v>244.75510917078935</v>
          </cell>
          <cell r="L177">
            <v>231.69049879053247</v>
          </cell>
          <cell r="M177">
            <v>189.39213080620962</v>
          </cell>
          <cell r="N177">
            <v>138.09804960269682</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s>
    <sheetDataSet>
      <sheetData sheetId="0" refreshError="1"/>
      <sheetData sheetId="1" refreshError="1"/>
      <sheetData sheetId="2" refreshError="1">
        <row r="7">
          <cell r="B7">
            <v>0</v>
          </cell>
          <cell r="C7">
            <v>0</v>
          </cell>
          <cell r="D7">
            <v>0</v>
          </cell>
          <cell r="E7">
            <v>0</v>
          </cell>
          <cell r="I7">
            <v>0</v>
          </cell>
          <cell r="J7">
            <v>15393</v>
          </cell>
          <cell r="K7">
            <v>38029</v>
          </cell>
          <cell r="L7">
            <v>68270</v>
          </cell>
        </row>
        <row r="8">
          <cell r="B8">
            <v>14808</v>
          </cell>
          <cell r="C8">
            <v>17952</v>
          </cell>
          <cell r="D8">
            <v>18946</v>
          </cell>
          <cell r="E8">
            <v>37422</v>
          </cell>
          <cell r="I8">
            <v>44483</v>
          </cell>
          <cell r="J8">
            <v>46445</v>
          </cell>
          <cell r="K8">
            <v>43728</v>
          </cell>
          <cell r="L8">
            <v>50361</v>
          </cell>
        </row>
        <row r="9">
          <cell r="B9">
            <v>407530</v>
          </cell>
          <cell r="C9">
            <v>396536</v>
          </cell>
          <cell r="D9">
            <v>381020</v>
          </cell>
          <cell r="E9">
            <v>373995</v>
          </cell>
          <cell r="I9">
            <v>334551</v>
          </cell>
          <cell r="J9">
            <v>296391</v>
          </cell>
          <cell r="K9">
            <v>311868</v>
          </cell>
          <cell r="L9">
            <v>350910</v>
          </cell>
        </row>
        <row r="11">
          <cell r="B11">
            <v>1117879</v>
          </cell>
          <cell r="C11">
            <v>1117488</v>
          </cell>
          <cell r="D11">
            <v>1084137</v>
          </cell>
          <cell r="E11">
            <v>1069724</v>
          </cell>
          <cell r="I11">
            <v>1062497</v>
          </cell>
          <cell r="J11">
            <v>1037309</v>
          </cell>
          <cell r="K11">
            <v>1058210</v>
          </cell>
          <cell r="L11">
            <v>1044346</v>
          </cell>
        </row>
        <row r="15">
          <cell r="B15">
            <v>188691</v>
          </cell>
          <cell r="C15">
            <v>185423</v>
          </cell>
          <cell r="D15">
            <v>206005</v>
          </cell>
          <cell r="E15">
            <v>198990</v>
          </cell>
          <cell r="I15">
            <v>206508</v>
          </cell>
          <cell r="J15">
            <v>232518</v>
          </cell>
          <cell r="K15">
            <v>234606</v>
          </cell>
          <cell r="L15">
            <v>230477</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s>
    <sheetDataSet>
      <sheetData sheetId="0" refreshError="1">
        <row r="9">
          <cell r="K9">
            <v>962317</v>
          </cell>
        </row>
        <row r="15">
          <cell r="K15">
            <v>331045</v>
          </cell>
        </row>
        <row r="16">
          <cell r="K16">
            <v>293673</v>
          </cell>
        </row>
        <row r="19">
          <cell r="K19">
            <v>129846</v>
          </cell>
        </row>
        <row r="23">
          <cell r="K23">
            <v>218660</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s>
    <sheetDataSet>
      <sheetData sheetId="0" refreshError="1"/>
      <sheetData sheetId="1" refreshError="1">
        <row r="77">
          <cell r="AE77">
            <v>182979</v>
          </cell>
        </row>
        <row r="79">
          <cell r="J79">
            <v>931799</v>
          </cell>
          <cell r="T79">
            <v>301798</v>
          </cell>
          <cell r="X79">
            <v>329153</v>
          </cell>
          <cell r="BA79">
            <v>176189</v>
          </cell>
          <cell r="BB79">
            <v>505342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s>
    <sheetDataSet>
      <sheetData sheetId="0"/>
      <sheetData sheetId="1">
        <row r="8">
          <cell r="E8" t="str">
            <v>1994</v>
          </cell>
          <cell r="F8" t="str">
            <v>1995</v>
          </cell>
          <cell r="G8" t="str">
            <v>1996</v>
          </cell>
          <cell r="H8" t="str">
            <v>1997</v>
          </cell>
          <cell r="I8" t="str">
            <v>1998</v>
          </cell>
          <cell r="J8" t="str">
            <v>1999</v>
          </cell>
          <cell r="K8" t="str">
            <v>2000</v>
          </cell>
          <cell r="L8" t="str">
            <v>2001</v>
          </cell>
          <cell r="M8" t="str">
            <v>2002</v>
          </cell>
          <cell r="N8" t="str">
            <v>2003</v>
          </cell>
          <cell r="O8" t="str">
            <v>2004</v>
          </cell>
          <cell r="P8" t="str">
            <v>2005</v>
          </cell>
          <cell r="Q8" t="str">
            <v>2006</v>
          </cell>
        </row>
        <row r="9">
          <cell r="D9" t="str">
            <v>Per Capita GDP</v>
          </cell>
          <cell r="E9">
            <v>1.1000000000000001</v>
          </cell>
          <cell r="F9">
            <v>1</v>
          </cell>
          <cell r="G9">
            <v>2.1</v>
          </cell>
          <cell r="H9">
            <v>0.5</v>
          </cell>
          <cell r="I9">
            <v>-1.6</v>
          </cell>
          <cell r="J9">
            <v>0.2</v>
          </cell>
          <cell r="K9">
            <v>2.1</v>
          </cell>
          <cell r="L9">
            <v>0.8</v>
          </cell>
          <cell r="M9">
            <v>1.9</v>
          </cell>
          <cell r="N9">
            <v>1.5</v>
          </cell>
          <cell r="O9">
            <v>3.4</v>
          </cell>
          <cell r="P9">
            <v>3.6</v>
          </cell>
          <cell r="Q9">
            <v>4</v>
          </cell>
        </row>
      </sheetData>
      <sheetData sheetId="2"/>
      <sheetData sheetId="3"/>
      <sheetData sheetId="4"/>
      <sheetData sheetId="5"/>
      <sheetData sheetId="6">
        <row r="2">
          <cell r="C2">
            <v>7</v>
          </cell>
        </row>
      </sheetData>
      <sheetData sheetId="7">
        <row r="45">
          <cell r="D45">
            <v>1994</v>
          </cell>
        </row>
      </sheetData>
      <sheetData sheetId="8"/>
      <sheetData sheetId="9"/>
      <sheetData sheetId="10">
        <row r="52">
          <cell r="B52">
            <v>1992</v>
          </cell>
          <cell r="C52">
            <v>1993</v>
          </cell>
          <cell r="D52">
            <v>1994</v>
          </cell>
          <cell r="E52">
            <v>1995</v>
          </cell>
          <cell r="F52">
            <v>1996</v>
          </cell>
          <cell r="G52">
            <v>1997</v>
          </cell>
          <cell r="H52">
            <v>1998</v>
          </cell>
          <cell r="I52">
            <v>1999</v>
          </cell>
          <cell r="J52">
            <v>2000</v>
          </cell>
          <cell r="K52">
            <v>2001</v>
          </cell>
          <cell r="L52">
            <v>2002</v>
          </cell>
          <cell r="M52">
            <v>2003</v>
          </cell>
          <cell r="N52">
            <v>2004</v>
          </cell>
          <cell r="O52">
            <v>2005</v>
          </cell>
          <cell r="P52">
            <v>2006</v>
          </cell>
        </row>
        <row r="53">
          <cell r="A53" t="str">
            <v>Exports (constant 2000 prices) R'billions</v>
          </cell>
          <cell r="B53">
            <v>160.21498</v>
          </cell>
          <cell r="C53">
            <v>176.84388000000001</v>
          </cell>
          <cell r="D53">
            <v>181.23876999999999</v>
          </cell>
          <cell r="E53">
            <v>201.06291000000002</v>
          </cell>
          <cell r="F53">
            <v>215.54748000000001</v>
          </cell>
          <cell r="G53">
            <v>226.96107999999998</v>
          </cell>
          <cell r="H53">
            <v>234.32900000000001</v>
          </cell>
          <cell r="I53">
            <v>237.28399999999999</v>
          </cell>
          <cell r="J53">
            <v>257.01100000000002</v>
          </cell>
          <cell r="K53">
            <v>263.161</v>
          </cell>
          <cell r="L53">
            <v>265.76400000000001</v>
          </cell>
          <cell r="M53">
            <v>266.05500000000001</v>
          </cell>
          <cell r="N53">
            <v>273.69400000000002</v>
          </cell>
          <cell r="O53">
            <v>295.58</v>
          </cell>
          <cell r="P53">
            <v>312.173</v>
          </cell>
        </row>
        <row r="54">
          <cell r="A54" t="str">
            <v xml:space="preserve">Ratio of exports to GDP </v>
          </cell>
          <cell r="B54">
            <v>21.34</v>
          </cell>
          <cell r="C54">
            <v>22.48</v>
          </cell>
          <cell r="D54">
            <v>22.1</v>
          </cell>
          <cell r="E54">
            <v>22.77</v>
          </cell>
          <cell r="F54">
            <v>24.73</v>
          </cell>
          <cell r="G54">
            <v>24.6</v>
          </cell>
          <cell r="H54">
            <v>25.65</v>
          </cell>
          <cell r="I54">
            <v>25.33</v>
          </cell>
          <cell r="J54">
            <v>27.87</v>
          </cell>
          <cell r="K54">
            <v>30.13</v>
          </cell>
          <cell r="L54">
            <v>32.99</v>
          </cell>
          <cell r="M54">
            <v>28.06</v>
          </cell>
          <cell r="N54">
            <v>26.71</v>
          </cell>
          <cell r="O54">
            <v>27.45</v>
          </cell>
          <cell r="P54">
            <v>29.63</v>
          </cell>
        </row>
        <row r="55">
          <cell r="A55" t="str">
            <v>Volume of Trade (2000=base)</v>
          </cell>
          <cell r="B55">
            <v>62.34</v>
          </cell>
          <cell r="C55">
            <v>68.81</v>
          </cell>
          <cell r="D55">
            <v>70.52</v>
          </cell>
          <cell r="E55">
            <v>78.23</v>
          </cell>
          <cell r="F55">
            <v>83.87</v>
          </cell>
          <cell r="G55">
            <v>87.14</v>
          </cell>
          <cell r="H55">
            <v>91.17</v>
          </cell>
          <cell r="I55">
            <v>85.65</v>
          </cell>
          <cell r="J55">
            <v>100</v>
          </cell>
          <cell r="K55">
            <v>102.31</v>
          </cell>
          <cell r="L55">
            <v>103.41</v>
          </cell>
          <cell r="M55">
            <v>103.52</v>
          </cell>
          <cell r="N55">
            <v>106.49</v>
          </cell>
          <cell r="O55">
            <v>115.01</v>
          </cell>
          <cell r="P55">
            <v>121.46</v>
          </cell>
        </row>
        <row r="73">
          <cell r="C73">
            <v>1992</v>
          </cell>
          <cell r="D73">
            <v>1993</v>
          </cell>
          <cell r="E73">
            <v>1994</v>
          </cell>
          <cell r="F73">
            <v>1995</v>
          </cell>
          <cell r="G73">
            <v>1996</v>
          </cell>
          <cell r="H73">
            <v>1997</v>
          </cell>
          <cell r="I73">
            <v>1998</v>
          </cell>
          <cell r="J73">
            <v>1999</v>
          </cell>
          <cell r="K73">
            <v>2000</v>
          </cell>
          <cell r="L73">
            <v>2001</v>
          </cell>
          <cell r="M73">
            <v>2002</v>
          </cell>
          <cell r="N73">
            <v>2003</v>
          </cell>
          <cell r="O73">
            <v>2004</v>
          </cell>
          <cell r="P73">
            <v>2005</v>
          </cell>
          <cell r="Q73">
            <v>2006</v>
          </cell>
        </row>
        <row r="74">
          <cell r="B74" t="str">
            <v>Ratio of exports to GDP (%)</v>
          </cell>
          <cell r="C74">
            <v>21.34</v>
          </cell>
          <cell r="D74">
            <v>22.48</v>
          </cell>
          <cell r="E74">
            <v>22.1</v>
          </cell>
          <cell r="F74">
            <v>22.77</v>
          </cell>
          <cell r="G74">
            <v>24.73</v>
          </cell>
          <cell r="H74">
            <v>24.6</v>
          </cell>
          <cell r="I74">
            <v>25.65</v>
          </cell>
          <cell r="J74">
            <v>25.33</v>
          </cell>
          <cell r="K74">
            <v>27.87</v>
          </cell>
          <cell r="L74">
            <v>30.13</v>
          </cell>
          <cell r="M74">
            <v>32.99</v>
          </cell>
          <cell r="N74">
            <v>28.06</v>
          </cell>
          <cell r="O74">
            <v>26.71</v>
          </cell>
          <cell r="P74">
            <v>27.45</v>
          </cell>
          <cell r="Q74">
            <v>29.63</v>
          </cell>
        </row>
        <row r="75">
          <cell r="B75" t="str">
            <v>Trade balance to GDP ratio</v>
          </cell>
          <cell r="C75">
            <v>1.5</v>
          </cell>
          <cell r="D75">
            <v>2.13</v>
          </cell>
          <cell r="E75">
            <v>0.01</v>
          </cell>
          <cell r="F75">
            <v>-1.65</v>
          </cell>
          <cell r="G75">
            <v>-1.1499999999999999</v>
          </cell>
          <cell r="H75">
            <v>-1.49</v>
          </cell>
          <cell r="I75">
            <v>-1.76</v>
          </cell>
          <cell r="J75">
            <v>-0.51</v>
          </cell>
          <cell r="K75">
            <v>-0.13</v>
          </cell>
          <cell r="L75">
            <v>0.28000000000000003</v>
          </cell>
          <cell r="M75">
            <v>0.83</v>
          </cell>
          <cell r="N75">
            <v>-1.08</v>
          </cell>
          <cell r="O75">
            <v>-3.2</v>
          </cell>
          <cell r="P75">
            <v>-4.03</v>
          </cell>
          <cell r="Q75">
            <v>-6.45</v>
          </cell>
        </row>
        <row r="76">
          <cell r="B76" t="str">
            <v>ZAR/US$</v>
          </cell>
          <cell r="C76">
            <v>2.8516000000000004</v>
          </cell>
          <cell r="D76">
            <v>3.2667000000000002</v>
          </cell>
          <cell r="E76">
            <v>3.5497000000000001</v>
          </cell>
          <cell r="F76">
            <v>3.6269999999999998</v>
          </cell>
          <cell r="G76">
            <v>4.2964000000000002</v>
          </cell>
          <cell r="H76">
            <v>4.6073000000000004</v>
          </cell>
          <cell r="I76">
            <v>5.5316000000000001</v>
          </cell>
          <cell r="J76">
            <v>6.1130999999999993</v>
          </cell>
          <cell r="K76">
            <v>6.9352999999999998</v>
          </cell>
          <cell r="L76">
            <v>8.6030999999999995</v>
          </cell>
          <cell r="M76">
            <v>10.516500000000001</v>
          </cell>
          <cell r="N76">
            <v>7.5647000000000002</v>
          </cell>
          <cell r="O76">
            <v>6.4499000000000004</v>
          </cell>
          <cell r="P76">
            <v>6.3623000000000003</v>
          </cell>
          <cell r="Q76">
            <v>6.7671999999999999</v>
          </cell>
        </row>
      </sheetData>
      <sheetData sheetId="11">
        <row r="8">
          <cell r="E8" t="str">
            <v xml:space="preserve">2005-2006 </v>
          </cell>
          <cell r="F8" t="str">
            <v xml:space="preserve">2006-2007 </v>
          </cell>
          <cell r="G8" t="str">
            <v>2007-2008</v>
          </cell>
        </row>
        <row r="9">
          <cell r="D9" t="str">
            <v>Malaysia</v>
          </cell>
          <cell r="E9">
            <v>26</v>
          </cell>
          <cell r="F9">
            <v>19</v>
          </cell>
          <cell r="G9">
            <v>21</v>
          </cell>
        </row>
        <row r="10">
          <cell r="D10" t="str">
            <v>Chile</v>
          </cell>
          <cell r="E10">
            <v>27</v>
          </cell>
          <cell r="F10">
            <v>27</v>
          </cell>
          <cell r="G10">
            <v>26</v>
          </cell>
        </row>
        <row r="11">
          <cell r="D11" t="str">
            <v>Estonia</v>
          </cell>
          <cell r="E11">
            <v>25</v>
          </cell>
          <cell r="F11">
            <v>26</v>
          </cell>
          <cell r="G11">
            <v>27</v>
          </cell>
        </row>
        <row r="12">
          <cell r="D12" t="str">
            <v>Lithuania</v>
          </cell>
          <cell r="E12">
            <v>40</v>
          </cell>
          <cell r="F12">
            <v>39</v>
          </cell>
          <cell r="G12">
            <v>38</v>
          </cell>
        </row>
        <row r="13">
          <cell r="D13" t="str">
            <v>Slovakia</v>
          </cell>
          <cell r="E13">
            <v>37</v>
          </cell>
          <cell r="F13">
            <v>37</v>
          </cell>
          <cell r="G13">
            <v>41</v>
          </cell>
        </row>
        <row r="14">
          <cell r="D14" t="str">
            <v>South Africa</v>
          </cell>
          <cell r="E14">
            <v>45</v>
          </cell>
          <cell r="F14">
            <v>36</v>
          </cell>
          <cell r="G14">
            <v>44</v>
          </cell>
        </row>
        <row r="15">
          <cell r="D15" t="str">
            <v>Latvia</v>
          </cell>
          <cell r="E15">
            <v>36</v>
          </cell>
          <cell r="F15">
            <v>44</v>
          </cell>
          <cell r="G15">
            <v>45</v>
          </cell>
        </row>
        <row r="16">
          <cell r="D16" t="str">
            <v>Hungary</v>
          </cell>
          <cell r="E16">
            <v>41</v>
          </cell>
          <cell r="F16">
            <v>38</v>
          </cell>
          <cell r="G16">
            <v>47</v>
          </cell>
        </row>
        <row r="17">
          <cell r="D17" t="str">
            <v>Poland</v>
          </cell>
          <cell r="E17">
            <v>48</v>
          </cell>
          <cell r="F17">
            <v>45</v>
          </cell>
          <cell r="G17">
            <v>51</v>
          </cell>
        </row>
        <row r="18">
          <cell r="D18" t="str">
            <v>Mexico</v>
          </cell>
          <cell r="E18">
            <v>58</v>
          </cell>
          <cell r="F18">
            <v>52</v>
          </cell>
          <cell r="G18">
            <v>52</v>
          </cell>
        </row>
        <row r="19">
          <cell r="D19" t="str">
            <v>Mauritius</v>
          </cell>
          <cell r="E19">
            <v>55</v>
          </cell>
          <cell r="F19">
            <v>55</v>
          </cell>
          <cell r="G19">
            <v>60</v>
          </cell>
        </row>
        <row r="20">
          <cell r="D20" t="str">
            <v>Brazil</v>
          </cell>
          <cell r="E20">
            <v>66</v>
          </cell>
          <cell r="F20">
            <v>66</v>
          </cell>
          <cell r="G20">
            <v>72</v>
          </cell>
        </row>
        <row r="21">
          <cell r="D21" t="str">
            <v>Romania</v>
          </cell>
          <cell r="E21">
            <v>68</v>
          </cell>
          <cell r="F21">
            <v>73</v>
          </cell>
          <cell r="G21">
            <v>74</v>
          </cell>
        </row>
        <row r="22">
          <cell r="D22" t="str">
            <v>Botswana</v>
          </cell>
          <cell r="E22">
            <v>81</v>
          </cell>
          <cell r="F22">
            <v>57</v>
          </cell>
          <cell r="G22">
            <v>76</v>
          </cell>
        </row>
      </sheetData>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M"/>
      <sheetName val="sccu OVERVIEW (4)"/>
      <sheetName val="NPA PERFORM OVERVIEW"/>
    </sheetNames>
    <sheetDataSet>
      <sheetData sheetId="0"/>
      <sheetData sheetId="1"/>
      <sheetData sheetId="2">
        <row r="4">
          <cell r="P4">
            <v>884088</v>
          </cell>
          <cell r="Q4">
            <v>888053</v>
          </cell>
        </row>
        <row r="28">
          <cell r="P28">
            <v>341360</v>
          </cell>
          <cell r="Q28">
            <v>335161</v>
          </cell>
        </row>
        <row r="36">
          <cell r="P36">
            <v>321190</v>
          </cell>
          <cell r="Q36">
            <v>317475</v>
          </cell>
        </row>
        <row r="40">
          <cell r="P40">
            <v>164016</v>
          </cell>
          <cell r="Q40">
            <v>159654</v>
          </cell>
        </row>
        <row r="60">
          <cell r="P60">
            <v>171312</v>
          </cell>
          <cell r="R60">
            <v>167901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sheetName val="REG"/>
      <sheetName val="DOC"/>
      <sheetName val="BOP"/>
      <sheetName val="CIS"/>
      <sheetName val="CPD"/>
      <sheetName val="ECD"/>
      <sheetName val="FSD"/>
      <sheetName val="NCD"/>
      <sheetName val="KZN"/>
      <sheetName val="TPD"/>
      <sheetName val="TRA"/>
      <sheetName val="VEN"/>
      <sheetName val="WLD"/>
      <sheetName val="SEXUAL OFFENCES"/>
      <sheetName val="COMM CRIME"/>
      <sheetName val="SAT &amp; ADD"/>
      <sheetName val="REASONS DC"/>
      <sheetName val="REASONS RC"/>
    </sheetNames>
    <sheetDataSet>
      <sheetData sheetId="0" refreshError="1">
        <row r="18">
          <cell r="N18">
            <v>534067</v>
          </cell>
          <cell r="O18">
            <v>330728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sheetName val="REG"/>
      <sheetName val="DOC"/>
      <sheetName val="BOP"/>
      <sheetName val="CIS"/>
      <sheetName val="CPD"/>
      <sheetName val="ECD"/>
      <sheetName val="FSD"/>
      <sheetName val="NCD"/>
      <sheetName val="KZN"/>
      <sheetName val="TPD"/>
      <sheetName val="TRA"/>
      <sheetName val="VEN"/>
      <sheetName val="WLD"/>
      <sheetName val="SOCA"/>
      <sheetName val="COMM CRIME"/>
      <sheetName val="SAT &amp; ADD"/>
      <sheetName val="REASONS DC"/>
      <sheetName val="REASONS RC"/>
    </sheetNames>
    <sheetDataSet>
      <sheetData sheetId="0" refreshError="1">
        <row r="19">
          <cell r="N19">
            <v>767588.08333333326</v>
          </cell>
          <cell r="O19">
            <v>328887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excl."/>
      <sheetName val="REG excl."/>
      <sheetName val="DOC"/>
      <sheetName val="BOP"/>
      <sheetName val="CIS"/>
      <sheetName val="CPD"/>
      <sheetName val="ECD"/>
      <sheetName val="FSD"/>
      <sheetName val="NCD"/>
      <sheetName val="KZN"/>
      <sheetName val="TPD"/>
      <sheetName val="TRA"/>
      <sheetName val="VEN"/>
      <sheetName val="WLD"/>
      <sheetName val="SCCU"/>
      <sheetName val="COMMUNITY"/>
      <sheetName val="JACT"/>
      <sheetName val="SAT &amp; ADD"/>
    </sheetNames>
    <sheetDataSet>
      <sheetData sheetId="0" refreshError="1">
        <row r="19">
          <cell r="N19">
            <v>729934</v>
          </cell>
          <cell r="O19">
            <v>320938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OC"/>
      <sheetName val="BOP"/>
      <sheetName val="CIS"/>
      <sheetName val="CPD"/>
      <sheetName val="ECD"/>
      <sheetName val="FSD"/>
      <sheetName val="NCD"/>
      <sheetName val="KZN"/>
      <sheetName val="TPD"/>
      <sheetName val="TRA"/>
      <sheetName val="VEN"/>
      <sheetName val="WLD"/>
      <sheetName val="SCCU"/>
      <sheetName val="COMMUNITY"/>
      <sheetName val="ENVIRO"/>
      <sheetName val="Hijacking"/>
      <sheetName val="DRUG"/>
      <sheetName val="SAT &amp; ADD"/>
    </sheetNames>
    <sheetDataSet>
      <sheetData sheetId="0" refreshError="1">
        <row r="19">
          <cell r="N19">
            <v>757376</v>
          </cell>
          <cell r="O19">
            <v>320413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7 (Q)"/>
      <sheetName val="0607"/>
      <sheetName val="Q PROGRESS"/>
      <sheetName val="GRAPHS"/>
      <sheetName val="0708 (Q)"/>
      <sheetName val="0708"/>
      <sheetName val="DIS incl."/>
      <sheetName val="REG incl."/>
      <sheetName val="DOC"/>
      <sheetName val="BOP"/>
      <sheetName val="CPD"/>
      <sheetName val="ECD"/>
      <sheetName val="FSD"/>
      <sheetName val="NCD"/>
      <sheetName val="NPD"/>
      <sheetName val="TPD"/>
      <sheetName val="TRA"/>
      <sheetName val="WLD"/>
      <sheetName val="SCCU"/>
      <sheetName val="COMMUNITY"/>
    </sheetNames>
    <sheetDataSet>
      <sheetData sheetId="0" refreshError="1"/>
      <sheetData sheetId="1" refreshError="1">
        <row r="18">
          <cell r="M18">
            <v>722259</v>
          </cell>
          <cell r="N18">
            <v>284865</v>
          </cell>
        </row>
      </sheetData>
      <sheetData sheetId="2" refreshError="1"/>
      <sheetData sheetId="3" refreshError="1"/>
      <sheetData sheetId="4" refreshError="1"/>
      <sheetData sheetId="5" refreshError="1">
        <row r="19">
          <cell r="P19">
            <v>654902</v>
          </cell>
          <cell r="Q19">
            <v>252605</v>
          </cell>
          <cell r="Y19">
            <v>30115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ALL CRTS"/>
      <sheetName val="0809 (Q)"/>
      <sheetName val="0809"/>
      <sheetName val="graphs"/>
      <sheetName val="0910 ALL CRTS"/>
      <sheetName val="0910 (Q)"/>
      <sheetName val="0910"/>
      <sheetName val="DIS incl."/>
      <sheetName val="REG incl."/>
      <sheetName val="DOC"/>
      <sheetName val="BOP"/>
      <sheetName val="CPD"/>
      <sheetName val="ECD"/>
      <sheetName val="FSD"/>
      <sheetName val="NCD"/>
      <sheetName val="NPD"/>
      <sheetName val="TPD"/>
      <sheetName val="TRA"/>
      <sheetName val="WLD"/>
      <sheetName val="SCCU"/>
    </sheetNames>
    <sheetDataSet>
      <sheetData sheetId="0" refreshError="1">
        <row r="19">
          <cell r="P19">
            <v>638699</v>
          </cell>
          <cell r="Q19">
            <v>267613</v>
          </cell>
          <cell r="Y19">
            <v>38015</v>
          </cell>
        </row>
      </sheetData>
      <sheetData sheetId="1" refreshError="1"/>
      <sheetData sheetId="2" refreshError="1"/>
      <sheetData sheetId="3" refreshError="1"/>
      <sheetData sheetId="4" refreshError="1">
        <row r="19">
          <cell r="Q19">
            <v>595623</v>
          </cell>
          <cell r="T19">
            <v>309868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B1">
            <v>2005</v>
          </cell>
          <cell r="C1" t="str">
            <v xml:space="preserve">Total Population </v>
          </cell>
          <cell r="D1">
            <v>2007</v>
          </cell>
          <cell r="E1">
            <v>2008</v>
          </cell>
          <cell r="F1">
            <v>2009</v>
          </cell>
          <cell r="G1">
            <v>2010</v>
          </cell>
          <cell r="H1">
            <v>2011</v>
          </cell>
          <cell r="I1">
            <v>2012</v>
          </cell>
          <cell r="J1">
            <v>2013</v>
          </cell>
          <cell r="K1">
            <v>2014</v>
          </cell>
          <cell r="L1">
            <v>2015</v>
          </cell>
          <cell r="M1">
            <v>2016</v>
          </cell>
          <cell r="N1">
            <v>2017</v>
          </cell>
        </row>
        <row r="3">
          <cell r="A3" t="str">
            <v>Direct Contribution to employment</v>
          </cell>
          <cell r="B3" t="str">
            <v xml:space="preserve">Sexual cases </v>
          </cell>
          <cell r="C3">
            <v>137.33793103448275</v>
          </cell>
          <cell r="D3">
            <v>569688</v>
          </cell>
          <cell r="E3">
            <v>71.121428571428567</v>
          </cell>
          <cell r="F3">
            <v>547934</v>
          </cell>
          <cell r="G3">
            <v>711.21428571428578</v>
          </cell>
          <cell r="H3">
            <v>622929</v>
          </cell>
          <cell r="I3">
            <v>646390</v>
          </cell>
          <cell r="J3">
            <v>657766</v>
          </cell>
          <cell r="K3">
            <v>681915</v>
          </cell>
          <cell r="L3">
            <v>668651</v>
          </cell>
          <cell r="M3">
            <v>686596</v>
          </cell>
        </row>
        <row r="4">
          <cell r="A4" t="str">
            <v>Total (Direct and Indirect) contribution of Travel and tourism to employment</v>
          </cell>
          <cell r="B4" t="str">
            <v>1  253 500</v>
          </cell>
          <cell r="C4">
            <v>1400900</v>
          </cell>
          <cell r="D4">
            <v>1378100</v>
          </cell>
          <cell r="E4">
            <v>1488300</v>
          </cell>
          <cell r="F4">
            <v>1417900</v>
          </cell>
          <cell r="G4">
            <v>1351300</v>
          </cell>
          <cell r="H4">
            <v>1336800</v>
          </cell>
          <cell r="I4">
            <v>1431000</v>
          </cell>
          <cell r="J4">
            <v>1446000</v>
          </cell>
          <cell r="K4">
            <v>1492900</v>
          </cell>
          <cell r="L4">
            <v>1543400</v>
          </cell>
          <cell r="M4">
            <v>1541900</v>
          </cell>
          <cell r="N4">
            <v>1530300</v>
          </cell>
        </row>
        <row r="5">
          <cell r="A5" t="str">
            <v>Direct contribution to Gross domestic Product (GDP)</v>
          </cell>
          <cell r="B5" t="str">
            <v xml:space="preserve">Carjacking </v>
          </cell>
          <cell r="C5">
            <v>54.4</v>
          </cell>
          <cell r="D5">
            <v>59.8</v>
          </cell>
          <cell r="E5">
            <v>67.2</v>
          </cell>
          <cell r="F5">
            <v>68.8</v>
          </cell>
          <cell r="G5">
            <v>88.4</v>
          </cell>
          <cell r="H5">
            <v>83.9</v>
          </cell>
          <cell r="I5">
            <v>93.8</v>
          </cell>
          <cell r="J5">
            <v>103.3</v>
          </cell>
          <cell r="K5">
            <v>112.6</v>
          </cell>
          <cell r="L5">
            <v>108.7</v>
          </cell>
          <cell r="M5">
            <v>125.1</v>
          </cell>
        </row>
        <row r="6">
          <cell r="A6" t="str">
            <v xml:space="preserve">Total (Direct and Indirect)contribution of travel and Tourism to GDP </v>
          </cell>
          <cell r="B6">
            <v>330.5</v>
          </cell>
          <cell r="C6">
            <v>374.9</v>
          </cell>
          <cell r="D6">
            <v>384.9</v>
          </cell>
          <cell r="E6">
            <v>381.4</v>
          </cell>
          <cell r="F6">
            <v>369.8</v>
          </cell>
          <cell r="G6">
            <v>370.3</v>
          </cell>
          <cell r="H6">
            <v>361.6</v>
          </cell>
          <cell r="I6">
            <v>392.4</v>
          </cell>
          <cell r="J6">
            <v>405.2</v>
          </cell>
          <cell r="K6">
            <v>418.5</v>
          </cell>
          <cell r="L6">
            <v>415.6</v>
          </cell>
          <cell r="M6">
            <v>422.6</v>
          </cell>
          <cell r="N6">
            <v>412.5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sheetData sheetId="5">
        <row r="8">
          <cell r="E8">
            <v>1996</v>
          </cell>
          <cell r="F8">
            <v>1997</v>
          </cell>
          <cell r="G8">
            <v>1998</v>
          </cell>
          <cell r="H8">
            <v>1999</v>
          </cell>
          <cell r="I8">
            <v>2000</v>
          </cell>
          <cell r="J8">
            <v>2001</v>
          </cell>
          <cell r="K8">
            <v>2002</v>
          </cell>
          <cell r="L8">
            <v>2003</v>
          </cell>
          <cell r="M8">
            <v>2004</v>
          </cell>
          <cell r="N8">
            <v>2005</v>
          </cell>
          <cell r="O8">
            <v>2006</v>
          </cell>
        </row>
        <row r="9">
          <cell r="C9" t="str">
            <v>Revenue collection</v>
          </cell>
          <cell r="E9">
            <v>147.30000000000001</v>
          </cell>
          <cell r="F9">
            <v>165.3</v>
          </cell>
          <cell r="G9">
            <v>184.8</v>
          </cell>
          <cell r="H9">
            <v>201.4</v>
          </cell>
          <cell r="I9">
            <v>220.3</v>
          </cell>
          <cell r="J9">
            <v>252.3</v>
          </cell>
          <cell r="K9">
            <v>282.2</v>
          </cell>
          <cell r="L9">
            <v>302.5</v>
          </cell>
          <cell r="M9">
            <v>355</v>
          </cell>
          <cell r="N9">
            <v>417.3</v>
          </cell>
          <cell r="O9">
            <v>486.4</v>
          </cell>
        </row>
        <row r="10">
          <cell r="C10" t="str">
            <v>Annual tax relief</v>
          </cell>
          <cell r="D10" t="str">
            <v>R'billion</v>
          </cell>
          <cell r="E10">
            <v>2.4</v>
          </cell>
          <cell r="F10">
            <v>0.90800000000000003</v>
          </cell>
          <cell r="H10">
            <v>3.57</v>
          </cell>
          <cell r="I10">
            <v>8.48</v>
          </cell>
          <cell r="J10">
            <v>9.06</v>
          </cell>
          <cell r="K10">
            <v>15.17</v>
          </cell>
          <cell r="L10">
            <v>15.06</v>
          </cell>
          <cell r="M10">
            <v>2.2999999999999998</v>
          </cell>
          <cell r="N10">
            <v>9.3800000000000008</v>
          </cell>
          <cell r="O10">
            <v>19.3</v>
          </cell>
        </row>
        <row r="11">
          <cell r="C11" t="str">
            <v>Tax register</v>
          </cell>
          <cell r="D11" t="str">
            <v>no</v>
          </cell>
          <cell r="E11">
            <v>3166795</v>
          </cell>
          <cell r="F11">
            <v>3568089</v>
          </cell>
          <cell r="G11">
            <v>3671130</v>
          </cell>
          <cell r="H11">
            <v>3941375</v>
          </cell>
          <cell r="I11">
            <v>4094271</v>
          </cell>
          <cell r="J11">
            <v>4623870</v>
          </cell>
          <cell r="K11">
            <v>5102227</v>
          </cell>
          <cell r="L11">
            <v>5608223</v>
          </cell>
          <cell r="M11">
            <v>6085436</v>
          </cell>
          <cell r="N11">
            <v>6624767</v>
          </cell>
          <cell r="O11">
            <v>7277006</v>
          </cell>
        </row>
      </sheetData>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d Audits"/>
      <sheetName val="AGSA Data - 2008-09 Gen Report"/>
      <sheetName val="Tax Admin"/>
    </sheetNames>
    <sheetDataSet>
      <sheetData sheetId="0" refreshError="1"/>
      <sheetData sheetId="1" refreshError="1">
        <row r="17">
          <cell r="I17">
            <v>33</v>
          </cell>
        </row>
        <row r="18">
          <cell r="I18">
            <v>12</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Trade (2)"/>
      <sheetName val="Intro "/>
      <sheetName val="GDP "/>
      <sheetName val="GDP per Capita "/>
      <sheetName val="R&amp;D "/>
      <sheetName val="Competitiveness "/>
      <sheetName val="Inflation "/>
      <sheetName val="Patents"/>
      <sheetName val="Foreign Trade"/>
      <sheetName val="GFCF "/>
      <sheetName val="NFDI "/>
      <sheetName val="B deficit "/>
      <sheetName val="G debt "/>
      <sheetName val="Interest "/>
      <sheetName val="Bondpoints Spread "/>
      <sheetName val="Patents_T"/>
      <sheetName val="ICT_T"/>
    </sheetNames>
    <sheetDataSet>
      <sheetData sheetId="0" refreshError="1"/>
      <sheetData sheetId="1" refreshError="1"/>
      <sheetData sheetId="2" refreshError="1"/>
      <sheetData sheetId="3" refreshError="1"/>
      <sheetData sheetId="4" refreshError="1"/>
      <sheetData sheetId="5" refreshError="1"/>
      <sheetData sheetId="6">
        <row r="2">
          <cell r="C2">
            <v>8</v>
          </cell>
        </row>
        <row r="46">
          <cell r="G46">
            <v>9.7990149990723641</v>
          </cell>
        </row>
      </sheetData>
      <sheetData sheetId="7">
        <row r="8">
          <cell r="E8">
            <v>2003</v>
          </cell>
        </row>
      </sheetData>
      <sheetData sheetId="8">
        <row r="8">
          <cell r="E8">
            <v>35064</v>
          </cell>
        </row>
      </sheetData>
      <sheetData sheetId="9">
        <row r="8">
          <cell r="F8">
            <v>1995</v>
          </cell>
        </row>
      </sheetData>
      <sheetData sheetId="10">
        <row r="8">
          <cell r="E8" t="str">
            <v>1994</v>
          </cell>
        </row>
      </sheetData>
      <sheetData sheetId="11">
        <row r="9">
          <cell r="E9" t="str">
            <v>1993/94</v>
          </cell>
        </row>
      </sheetData>
      <sheetData sheetId="12">
        <row r="8">
          <cell r="E8" t="str">
            <v>1994/95</v>
          </cell>
        </row>
      </sheetData>
      <sheetData sheetId="13">
        <row r="9">
          <cell r="E9" t="str">
            <v>1994</v>
          </cell>
        </row>
      </sheetData>
      <sheetData sheetId="14">
        <row r="8">
          <cell r="E8">
            <v>36160</v>
          </cell>
        </row>
      </sheetData>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2">
          <cell r="C2">
            <v>79</v>
          </cell>
        </row>
      </sheetData>
      <sheetData sheetId="83"/>
      <sheetData sheetId="84"/>
      <sheetData sheetId="85"/>
      <sheetData sheetId="86"/>
      <sheetData sheetId="87">
        <row r="54">
          <cell r="D54" t="str">
            <v>Performing well</v>
          </cell>
          <cell r="E54">
            <v>70</v>
          </cell>
          <cell r="F54">
            <v>64</v>
          </cell>
          <cell r="G54">
            <v>73</v>
          </cell>
          <cell r="H54">
            <v>74</v>
          </cell>
          <cell r="I54">
            <v>79</v>
          </cell>
          <cell r="J54">
            <v>73</v>
          </cell>
          <cell r="K54">
            <v>74</v>
          </cell>
          <cell r="L54">
            <v>65</v>
          </cell>
          <cell r="M54">
            <v>58</v>
          </cell>
          <cell r="N54">
            <v>59</v>
          </cell>
          <cell r="O54">
            <v>55</v>
          </cell>
          <cell r="P54">
            <v>50</v>
          </cell>
          <cell r="Q54">
            <v>52</v>
          </cell>
          <cell r="R54">
            <v>53</v>
          </cell>
          <cell r="S54">
            <v>56</v>
          </cell>
        </row>
        <row r="55">
          <cell r="D55" t="str">
            <v>Major service protests</v>
          </cell>
          <cell r="I55">
            <v>10</v>
          </cell>
          <cell r="J55">
            <v>34</v>
          </cell>
          <cell r="K55">
            <v>2</v>
          </cell>
          <cell r="L55">
            <v>32</v>
          </cell>
          <cell r="M55">
            <v>27</v>
          </cell>
          <cell r="N55">
            <v>107</v>
          </cell>
          <cell r="O55">
            <v>111</v>
          </cell>
          <cell r="P55">
            <v>82</v>
          </cell>
          <cell r="Q55">
            <v>173</v>
          </cell>
          <cell r="R55">
            <v>155</v>
          </cell>
          <cell r="S55">
            <v>134</v>
          </cell>
        </row>
      </sheetData>
      <sheetData sheetId="88"/>
      <sheetData sheetId="89"/>
      <sheetData sheetId="90"/>
      <sheetData sheetId="91"/>
      <sheetData sheetId="9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s>
    <sheetDataSet>
      <sheetData sheetId="0"/>
      <sheetData sheetId="1"/>
      <sheetData sheetId="2"/>
      <sheetData sheetId="3"/>
      <sheetData sheetId="4">
        <row r="53">
          <cell r="E53">
            <v>2000</v>
          </cell>
          <cell r="F53">
            <v>2001</v>
          </cell>
          <cell r="G53">
            <v>2002</v>
          </cell>
          <cell r="H53">
            <v>2003</v>
          </cell>
          <cell r="I53">
            <v>2004</v>
          </cell>
          <cell r="J53">
            <v>2005</v>
          </cell>
          <cell r="K53">
            <v>2006</v>
          </cell>
          <cell r="L53">
            <v>2007</v>
          </cell>
          <cell r="M53">
            <v>2008</v>
          </cell>
          <cell r="N53">
            <v>2009</v>
          </cell>
          <cell r="O53">
            <v>2010</v>
          </cell>
          <cell r="P53">
            <v>2011</v>
          </cell>
          <cell r="Q53">
            <v>2012</v>
          </cell>
          <cell r="R53">
            <v>2013</v>
          </cell>
          <cell r="S53">
            <v>2014</v>
          </cell>
        </row>
      </sheetData>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house Gas"/>
      <sheetName val="Data (Greenhouse)"/>
      <sheetName val="Marine Protected Area"/>
      <sheetName val="Data(Marine)"/>
      <sheetName val="Terrestrial "/>
      <sheetName val="Indicator"/>
      <sheetName val="Data"/>
      <sheetName val="Sheet1"/>
      <sheetName val="Data(Terrestrial)"/>
    </sheetNames>
    <sheetDataSet>
      <sheetData sheetId="0"/>
      <sheetData sheetId="1"/>
      <sheetData sheetId="2"/>
      <sheetData sheetId="3">
        <row r="160">
          <cell r="B160">
            <v>2017</v>
          </cell>
          <cell r="D160">
            <v>4.4481852489896218E-3</v>
          </cell>
          <cell r="E160">
            <v>1.728939289520792E-3</v>
          </cell>
          <cell r="F160">
            <v>2.7192459594688294E-3</v>
          </cell>
        </row>
      </sheetData>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C2">
            <v>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
          <cell r="C2">
            <v>42</v>
          </cell>
        </row>
      </sheetData>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row r="2">
          <cell r="C2">
            <v>61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row r="2">
          <cell r="C2">
            <v>74</v>
          </cell>
        </row>
      </sheetData>
      <sheetData sheetId="78">
        <row r="9">
          <cell r="E9">
            <v>2000</v>
          </cell>
        </row>
      </sheetData>
      <sheetData sheetId="79">
        <row r="9">
          <cell r="E9" t="str">
            <v>2002/03</v>
          </cell>
        </row>
      </sheetData>
      <sheetData sheetId="80">
        <row r="9">
          <cell r="H9">
            <v>2004</v>
          </cell>
        </row>
      </sheetData>
      <sheetData sheetId="81">
        <row r="8">
          <cell r="E8" t="str">
            <v>2001/02</v>
          </cell>
        </row>
      </sheetData>
      <sheetData sheetId="82">
        <row r="2">
          <cell r="C2">
            <v>79</v>
          </cell>
        </row>
      </sheetData>
      <sheetData sheetId="83">
        <row r="10">
          <cell r="F10" t="str">
            <v>1996/97</v>
          </cell>
        </row>
      </sheetData>
      <sheetData sheetId="84">
        <row r="8">
          <cell r="D8" t="str">
            <v>National depts.</v>
          </cell>
        </row>
      </sheetData>
      <sheetData sheetId="85">
        <row r="8">
          <cell r="E8">
            <v>1997</v>
          </cell>
        </row>
      </sheetData>
      <sheetData sheetId="86"/>
      <sheetData sheetId="87">
        <row r="8">
          <cell r="E8">
            <v>2000</v>
          </cell>
        </row>
      </sheetData>
      <sheetData sheetId="88"/>
      <sheetData sheetId="89">
        <row r="8">
          <cell r="E8">
            <v>1990</v>
          </cell>
        </row>
      </sheetData>
      <sheetData sheetId="90"/>
      <sheetData sheetId="91"/>
      <sheetData sheetId="9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empl"/>
      <sheetName val="Employed "/>
      <sheetName val="EPWP "/>
      <sheetName val="CWP "/>
    </sheetNames>
    <sheetDataSet>
      <sheetData sheetId="0"/>
      <sheetData sheetId="1">
        <row r="102">
          <cell r="E102">
            <v>2001</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row>
        <row r="103">
          <cell r="E103" t="str">
            <v>S</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FDI"/>
      <sheetName val="GFCF"/>
      <sheetName val="B deficit"/>
      <sheetName val="G debt"/>
      <sheetName val="Interest"/>
      <sheetName val="Inflation"/>
      <sheetName val="Bondpoints Spread"/>
      <sheetName val="Foreign 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2">
            <v>9</v>
          </cell>
        </row>
      </sheetData>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sheetData sheetId="1"/>
      <sheetData sheetId="2"/>
      <sheetData sheetId="3"/>
      <sheetData sheetId="4"/>
      <sheetData sheetId="5"/>
      <sheetData sheetId="6"/>
      <sheetData sheetId="7"/>
      <sheetData sheetId="8"/>
      <sheetData sheetId="9"/>
      <sheetData sheetId="10">
        <row r="2">
          <cell r="C2">
            <v>11</v>
          </cell>
        </row>
      </sheetData>
      <sheetData sheetId="11">
        <row r="8">
          <cell r="E8">
            <v>2002</v>
          </cell>
        </row>
      </sheetData>
      <sheetData sheetId="12"/>
      <sheetData sheetId="13"/>
      <sheetData sheetId="14"/>
      <sheetData sheetId="15">
        <row r="2">
          <cell r="C2">
            <v>16</v>
          </cell>
        </row>
      </sheetData>
      <sheetData sheetId="16">
        <row r="8">
          <cell r="E8">
            <v>2001</v>
          </cell>
        </row>
      </sheetData>
      <sheetData sheetId="17">
        <row r="2">
          <cell r="C2">
            <v>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C2">
            <v>41</v>
          </cell>
        </row>
      </sheetData>
      <sheetData sheetId="41">
        <row r="2">
          <cell r="C2">
            <v>42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2">
          <cell r="C2">
            <v>71</v>
          </cell>
        </row>
      </sheetData>
      <sheetData sheetId="71"/>
      <sheetData sheetId="72">
        <row r="2">
          <cell r="C2">
            <v>73</v>
          </cell>
        </row>
      </sheetData>
      <sheetData sheetId="73">
        <row r="2">
          <cell r="C2">
            <v>74</v>
          </cell>
        </row>
      </sheetData>
      <sheetData sheetId="74">
        <row r="2">
          <cell r="C2">
            <v>75</v>
          </cell>
        </row>
      </sheetData>
      <sheetData sheetId="75">
        <row r="2">
          <cell r="C2">
            <v>76</v>
          </cell>
        </row>
      </sheetData>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Patents"/>
      <sheetName val="ICT"/>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v>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
      <sheetName val="Inequality"/>
      <sheetName val="Poverty headcount"/>
      <sheetName val="Poverty gap indices "/>
      <sheetName val="Grants"/>
      <sheetName val="People with disability"/>
    </sheetNames>
    <sheetDataSet>
      <sheetData sheetId="0"/>
      <sheetData sheetId="1"/>
      <sheetData sheetId="2">
        <row r="8">
          <cell r="F8">
            <v>1993</v>
          </cell>
          <cell r="G8">
            <v>1994</v>
          </cell>
          <cell r="H8">
            <v>1995</v>
          </cell>
          <cell r="I8">
            <v>1996</v>
          </cell>
          <cell r="J8">
            <v>1997</v>
          </cell>
          <cell r="K8">
            <v>1998</v>
          </cell>
          <cell r="L8">
            <v>1999</v>
          </cell>
          <cell r="M8">
            <v>2000</v>
          </cell>
          <cell r="N8">
            <v>2001</v>
          </cell>
          <cell r="O8">
            <v>2002</v>
          </cell>
          <cell r="P8">
            <v>2003</v>
          </cell>
          <cell r="Q8">
            <v>2004</v>
          </cell>
          <cell r="R8">
            <v>2005</v>
          </cell>
          <cell r="S8">
            <v>2006</v>
          </cell>
          <cell r="T8">
            <v>2007</v>
          </cell>
        </row>
        <row r="11">
          <cell r="F11">
            <v>0.67218999999999995</v>
          </cell>
          <cell r="G11">
            <v>0.66464000000000001</v>
          </cell>
          <cell r="H11">
            <v>0.67388999999999999</v>
          </cell>
          <cell r="I11">
            <v>0.67762999999999995</v>
          </cell>
          <cell r="J11">
            <v>0.67444999999999999</v>
          </cell>
          <cell r="K11">
            <v>0.68332999999999999</v>
          </cell>
          <cell r="L11">
            <v>0.68511999999999995</v>
          </cell>
          <cell r="M11">
            <v>0.68171000000000004</v>
          </cell>
          <cell r="N11">
            <v>0.68498999999999999</v>
          </cell>
          <cell r="O11">
            <v>0.67044000000000004</v>
          </cell>
          <cell r="P11">
            <v>0.68569000000000002</v>
          </cell>
          <cell r="Q11">
            <v>0.67750999999999995</v>
          </cell>
          <cell r="R11">
            <v>0.68267</v>
          </cell>
          <cell r="S11">
            <v>0.68462999999999996</v>
          </cell>
          <cell r="T11">
            <v>0.65961999999999998</v>
          </cell>
        </row>
        <row r="14">
          <cell r="D14" t="str">
            <v>Within-Race</v>
          </cell>
          <cell r="F14">
            <v>0.35005999999999998</v>
          </cell>
          <cell r="G14">
            <v>0.34866999999999998</v>
          </cell>
          <cell r="H14">
            <v>0.36642999999999998</v>
          </cell>
          <cell r="I14">
            <v>0.37019999999999997</v>
          </cell>
          <cell r="J14">
            <v>0.38213999999999998</v>
          </cell>
          <cell r="K14">
            <v>0.38912000000000002</v>
          </cell>
          <cell r="L14">
            <v>0.40029999999999999</v>
          </cell>
          <cell r="M14">
            <v>0.46387</v>
          </cell>
          <cell r="N14">
            <v>0.45641999999999999</v>
          </cell>
          <cell r="O14">
            <v>0.50229999999999997</v>
          </cell>
          <cell r="P14">
            <v>0.54988000000000004</v>
          </cell>
          <cell r="Q14">
            <v>0.51405999999999996</v>
          </cell>
          <cell r="R14">
            <v>0.59704999999999997</v>
          </cell>
          <cell r="S14">
            <v>0.61319000000000001</v>
          </cell>
          <cell r="T14">
            <v>0.57420000000000004</v>
          </cell>
        </row>
        <row r="16">
          <cell r="D16" t="str">
            <v>Between-Race</v>
          </cell>
          <cell r="F16">
            <v>0.54869000000000001</v>
          </cell>
          <cell r="G16">
            <v>0.53154999999999997</v>
          </cell>
          <cell r="H16">
            <v>0.53259000000000001</v>
          </cell>
          <cell r="I16">
            <v>0.54818</v>
          </cell>
          <cell r="J16">
            <v>0.52351999999999999</v>
          </cell>
          <cell r="K16">
            <v>0.54822000000000004</v>
          </cell>
          <cell r="L16">
            <v>0.53803999999999996</v>
          </cell>
          <cell r="M16">
            <v>0.47132000000000002</v>
          </cell>
          <cell r="N16">
            <v>0.48010999999999998</v>
          </cell>
          <cell r="O16">
            <v>0.41836000000000001</v>
          </cell>
          <cell r="P16">
            <v>0.46339000000000002</v>
          </cell>
          <cell r="Q16">
            <v>0.4526</v>
          </cell>
          <cell r="R16">
            <v>0.41492000000000001</v>
          </cell>
          <cell r="S16">
            <v>0.41643999999999998</v>
          </cell>
          <cell r="T16">
            <v>0.34243000000000001</v>
          </cell>
        </row>
        <row r="18">
          <cell r="D18" t="str">
            <v>Total value</v>
          </cell>
          <cell r="F18">
            <v>0.89875000000000005</v>
          </cell>
          <cell r="G18">
            <v>0.88022</v>
          </cell>
          <cell r="H18">
            <v>0.89901999999999993</v>
          </cell>
          <cell r="I18">
            <v>0.91837999999999997</v>
          </cell>
          <cell r="J18">
            <v>0.90565999999999991</v>
          </cell>
          <cell r="K18">
            <v>0.93734000000000006</v>
          </cell>
          <cell r="L18">
            <v>0.93833999999999995</v>
          </cell>
          <cell r="M18">
            <v>0.93518999999999997</v>
          </cell>
          <cell r="N18">
            <v>0.93652999999999997</v>
          </cell>
          <cell r="O18">
            <v>0.92066000000000003</v>
          </cell>
          <cell r="P18">
            <v>1.0132700000000001</v>
          </cell>
          <cell r="Q18">
            <v>0.96665999999999996</v>
          </cell>
          <cell r="R18">
            <v>1.01197</v>
          </cell>
          <cell r="S18">
            <v>1.02963</v>
          </cell>
          <cell r="T18">
            <v>0.91663000000000006</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Inequality"/>
      <sheetName val="HCI"/>
      <sheetName val="poverty"/>
      <sheetName val="Grants"/>
      <sheetName val="student teacher ratio"/>
      <sheetName val="enrolment"/>
      <sheetName val="Matric pass rate"/>
      <sheetName val="S&amp;M matric"/>
      <sheetName val="completion rate"/>
      <sheetName val="literacy"/>
      <sheetName val="HDI &amp; Life Exp"/>
      <sheetName val="Infant Mortality"/>
      <sheetName val="Kwashiokor"/>
      <sheetName val="Immunisation"/>
      <sheetName val="Matenal Mortality"/>
      <sheetName val="HIV and AIDS"/>
      <sheetName val="TB Notification"/>
      <sheetName val="Malaria"/>
      <sheetName val="Dwelling"/>
      <sheetName val="water new "/>
      <sheetName val="sanitation"/>
      <sheetName val="Electricity 2"/>
      <sheetName val="electricity"/>
      <sheetName val="land claims"/>
      <sheetName val="land restored"/>
      <sheetName val="Confident of Happy Future"/>
      <sheetName val="identity pride etc"/>
      <sheetName val="Race Relations"/>
      <sheetName val="Class Identity"/>
      <sheetName val="Pride in being South African"/>
    </sheetNames>
    <sheetDataSet>
      <sheetData sheetId="0"/>
      <sheetData sheetId="1"/>
      <sheetData sheetId="2"/>
      <sheetData sheetId="3"/>
      <sheetData sheetId="4"/>
      <sheetData sheetId="5">
        <row r="50">
          <cell r="C50">
            <v>1812695</v>
          </cell>
          <cell r="D50">
            <v>1860710</v>
          </cell>
          <cell r="E50">
            <v>1896932</v>
          </cell>
          <cell r="F50">
            <v>1946313</v>
          </cell>
          <cell r="G50">
            <v>2009419</v>
          </cell>
          <cell r="H50">
            <v>2060421</v>
          </cell>
          <cell r="I50">
            <v>2093075</v>
          </cell>
          <cell r="J50">
            <v>2149406</v>
          </cell>
        </row>
        <row r="51">
          <cell r="B51" t="str">
            <v>War veterans</v>
          </cell>
          <cell r="C51">
            <v>9197</v>
          </cell>
          <cell r="D51">
            <v>7554</v>
          </cell>
          <cell r="E51">
            <v>6175</v>
          </cell>
          <cell r="F51">
            <v>5266</v>
          </cell>
          <cell r="G51">
            <v>4594</v>
          </cell>
          <cell r="H51">
            <v>3961</v>
          </cell>
          <cell r="I51">
            <v>3340</v>
          </cell>
          <cell r="J51">
            <v>2795</v>
          </cell>
        </row>
        <row r="52">
          <cell r="B52" t="str">
            <v>Disability</v>
          </cell>
          <cell r="C52">
            <v>633778</v>
          </cell>
          <cell r="D52">
            <v>612614</v>
          </cell>
          <cell r="E52">
            <v>641459</v>
          </cell>
          <cell r="F52">
            <v>732928</v>
          </cell>
          <cell r="G52">
            <v>953965</v>
          </cell>
          <cell r="H52">
            <v>1270964</v>
          </cell>
          <cell r="I52">
            <v>1307459</v>
          </cell>
          <cell r="J52">
            <v>1332547</v>
          </cell>
        </row>
        <row r="53">
          <cell r="B53" t="str">
            <v>Grant in aid</v>
          </cell>
          <cell r="C53">
            <v>8496</v>
          </cell>
          <cell r="D53">
            <v>8748</v>
          </cell>
          <cell r="E53">
            <v>8529</v>
          </cell>
          <cell r="F53">
            <v>10435</v>
          </cell>
          <cell r="G53">
            <v>12787</v>
          </cell>
          <cell r="H53">
            <v>18170</v>
          </cell>
          <cell r="I53">
            <v>23131</v>
          </cell>
          <cell r="J53">
            <v>27252</v>
          </cell>
        </row>
        <row r="54">
          <cell r="B54" t="str">
            <v>Foster care</v>
          </cell>
          <cell r="C54">
            <v>71901</v>
          </cell>
          <cell r="D54">
            <v>79937</v>
          </cell>
          <cell r="E54">
            <v>85315</v>
          </cell>
          <cell r="F54">
            <v>108207</v>
          </cell>
          <cell r="G54">
            <v>138763</v>
          </cell>
          <cell r="H54">
            <v>200340</v>
          </cell>
          <cell r="I54">
            <v>256325</v>
          </cell>
          <cell r="J54">
            <v>209093</v>
          </cell>
        </row>
        <row r="55">
          <cell r="B55" t="str">
            <v>Care dependency</v>
          </cell>
          <cell r="C55">
            <v>16835</v>
          </cell>
          <cell r="D55">
            <v>24438</v>
          </cell>
          <cell r="E55">
            <v>33545</v>
          </cell>
          <cell r="F55">
            <v>43325</v>
          </cell>
          <cell r="G55">
            <v>58140</v>
          </cell>
          <cell r="H55">
            <v>77934</v>
          </cell>
          <cell r="I55">
            <v>85818</v>
          </cell>
          <cell r="J55">
            <v>88997</v>
          </cell>
        </row>
        <row r="56">
          <cell r="B56" t="str">
            <v>Child Support</v>
          </cell>
          <cell r="C56">
            <v>34471</v>
          </cell>
          <cell r="D56">
            <v>352617</v>
          </cell>
          <cell r="E56">
            <v>1102957</v>
          </cell>
          <cell r="F56">
            <v>1751563</v>
          </cell>
          <cell r="G56">
            <v>2630826</v>
          </cell>
          <cell r="H56">
            <v>4309772</v>
          </cell>
          <cell r="I56">
            <v>5633647</v>
          </cell>
          <cell r="J56">
            <v>7170564</v>
          </cell>
        </row>
        <row r="57">
          <cell r="B57" t="str">
            <v>Total beneficiaries</v>
          </cell>
          <cell r="C57">
            <v>2587373</v>
          </cell>
          <cell r="D57">
            <v>2946618</v>
          </cell>
          <cell r="E57">
            <v>3774912</v>
          </cell>
          <cell r="F57">
            <v>4598037</v>
          </cell>
          <cell r="G57">
            <v>5808494</v>
          </cell>
          <cell r="H57">
            <v>7941562</v>
          </cell>
          <cell r="I57">
            <v>9402795</v>
          </cell>
          <cell r="J57">
            <v>10980654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F8" t="str">
            <v>1993/94</v>
          </cell>
        </row>
      </sheetData>
      <sheetData sheetId="31">
        <row r="8">
          <cell r="G8" t="str">
            <v>1994/95</v>
          </cell>
        </row>
      </sheetData>
      <sheetData sheetId="32">
        <row r="8">
          <cell r="E8" t="str">
            <v>1994/95</v>
          </cell>
        </row>
      </sheetData>
      <sheetData sheetId="33">
        <row r="8">
          <cell r="E8" t="str">
            <v>1994/95</v>
          </cell>
        </row>
      </sheetData>
      <sheetData sheetId="34">
        <row r="8">
          <cell r="E8">
            <v>1994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41">
          <cell r="N41">
            <v>51770561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v ind line graph">
    <a:dk1>
      <a:sysClr val="windowText" lastClr="000000"/>
    </a:dk1>
    <a:lt1>
      <a:sysClr val="window" lastClr="FFFFFF"/>
    </a:lt1>
    <a:dk2>
      <a:srgbClr val="1F497D"/>
    </a:dk2>
    <a:lt2>
      <a:srgbClr val="EEECE1"/>
    </a:lt2>
    <a:accent1>
      <a:srgbClr val="FF6600"/>
    </a:accent1>
    <a:accent2>
      <a:srgbClr val="BE4B48"/>
    </a:accent2>
    <a:accent3>
      <a:srgbClr val="FFC000"/>
    </a:accent3>
    <a:accent4>
      <a:srgbClr val="00B050"/>
    </a:accent4>
    <a:accent5>
      <a:srgbClr val="3D96AE"/>
    </a:accent5>
    <a:accent6>
      <a:srgbClr val="FBC69B"/>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1.bin"/><Relationship Id="rId1" Type="http://schemas.openxmlformats.org/officeDocument/2006/relationships/hyperlink" Target="https://bhekisisa.org/article/2018-03-28-00-maternal-mortality-ratio-south-africa-decreased-by-29"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75.bin"/><Relationship Id="rId1" Type="http://schemas.openxmlformats.org/officeDocument/2006/relationships/hyperlink" Target="http://www.transparency.org/"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openbudgetindex.org/"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142"/>
  <sheetViews>
    <sheetView workbookViewId="0">
      <selection activeCell="H18" sqref="H18"/>
    </sheetView>
  </sheetViews>
  <sheetFormatPr defaultRowHeight="15" x14ac:dyDescent="0.25"/>
  <cols>
    <col min="1" max="1" width="18.140625" customWidth="1"/>
    <col min="4" max="4" width="11" customWidth="1"/>
    <col min="5" max="6" width="10.7109375" customWidth="1"/>
    <col min="7" max="7" width="11.28515625" customWidth="1"/>
    <col min="8" max="8" width="12.5703125" customWidth="1"/>
    <col min="9" max="9" width="11.5703125" customWidth="1"/>
    <col min="10" max="10" width="10.7109375" customWidth="1"/>
    <col min="11" max="11" width="11.140625" customWidth="1"/>
    <col min="12" max="12" width="12.42578125" customWidth="1"/>
    <col min="13" max="13" width="11" customWidth="1"/>
    <col min="14" max="14" width="10.85546875" customWidth="1"/>
    <col min="15" max="15" width="11.42578125" customWidth="1"/>
    <col min="16" max="16" width="11.7109375" customWidth="1"/>
    <col min="17" max="17" width="12.42578125" customWidth="1"/>
    <col min="18" max="18" width="11.5703125" customWidth="1"/>
    <col min="19" max="19" width="12.85546875" customWidth="1"/>
    <col min="20" max="20" width="11.85546875" customWidth="1"/>
  </cols>
  <sheetData>
    <row r="1" spans="1:20" s="2347" customFormat="1" ht="18.75" x14ac:dyDescent="0.3">
      <c r="A1" s="2347" t="s">
        <v>1006</v>
      </c>
    </row>
    <row r="5" spans="1:20" x14ac:dyDescent="0.25">
      <c r="A5" s="2348" t="s">
        <v>1007</v>
      </c>
      <c r="B5" s="2348" t="s">
        <v>1008</v>
      </c>
      <c r="C5" s="2348" t="s">
        <v>1009</v>
      </c>
      <c r="D5" s="2349">
        <v>2002</v>
      </c>
      <c r="E5" s="2349">
        <v>2003</v>
      </c>
      <c r="F5" s="2349">
        <v>2004</v>
      </c>
      <c r="G5" s="2349">
        <v>2005</v>
      </c>
      <c r="H5" s="2349">
        <v>2006</v>
      </c>
      <c r="I5" s="2349">
        <v>2007</v>
      </c>
      <c r="J5" s="2349">
        <v>2008</v>
      </c>
      <c r="K5" s="2349">
        <v>2009</v>
      </c>
      <c r="L5" s="2349">
        <v>2010</v>
      </c>
      <c r="M5" s="2349">
        <v>2011</v>
      </c>
      <c r="N5" s="2349">
        <v>2012</v>
      </c>
      <c r="O5" s="2349">
        <v>2013</v>
      </c>
      <c r="P5" s="2349">
        <v>2014</v>
      </c>
      <c r="Q5" s="2349">
        <v>2015</v>
      </c>
      <c r="R5" s="2349">
        <v>2016</v>
      </c>
      <c r="S5" s="2349">
        <v>2017</v>
      </c>
      <c r="T5" s="2349">
        <v>2018</v>
      </c>
    </row>
    <row r="6" spans="1:20" x14ac:dyDescent="0.25">
      <c r="A6" s="2350" t="s">
        <v>1010</v>
      </c>
      <c r="B6" s="2350" t="s">
        <v>467</v>
      </c>
      <c r="C6" s="2350" t="s">
        <v>1011</v>
      </c>
      <c r="D6" s="2351">
        <v>1986618</v>
      </c>
      <c r="E6" s="2351">
        <v>1997680</v>
      </c>
      <c r="F6" s="2351">
        <v>2016658</v>
      </c>
      <c r="G6" s="2351">
        <v>2048558</v>
      </c>
      <c r="H6" s="2351">
        <v>2086508</v>
      </c>
      <c r="I6" s="2351">
        <v>2159698</v>
      </c>
      <c r="J6" s="2351">
        <v>2240025</v>
      </c>
      <c r="K6" s="2351">
        <v>2313661</v>
      </c>
      <c r="L6" s="2351">
        <v>2380778</v>
      </c>
      <c r="M6" s="2351">
        <v>2440227</v>
      </c>
      <c r="N6" s="2351">
        <v>2483018</v>
      </c>
      <c r="O6" s="2351">
        <v>2518493</v>
      </c>
      <c r="P6" s="2351">
        <v>2542770</v>
      </c>
      <c r="Q6" s="2351">
        <v>2555564</v>
      </c>
      <c r="R6" s="2352">
        <v>2563822</v>
      </c>
      <c r="S6" s="2352">
        <v>2566307</v>
      </c>
      <c r="T6" s="2352">
        <v>2563829</v>
      </c>
    </row>
    <row r="7" spans="1:20" x14ac:dyDescent="0.25">
      <c r="A7" s="2350" t="s">
        <v>1010</v>
      </c>
      <c r="B7" s="2350" t="s">
        <v>467</v>
      </c>
      <c r="C7" s="2350" t="s">
        <v>1012</v>
      </c>
      <c r="D7" s="2351">
        <v>2064941</v>
      </c>
      <c r="E7" s="2351">
        <v>2028892</v>
      </c>
      <c r="F7" s="2351">
        <v>2004676</v>
      </c>
      <c r="G7" s="2351">
        <v>1986438</v>
      </c>
      <c r="H7" s="2351">
        <v>1975424</v>
      </c>
      <c r="I7" s="2351">
        <v>1973265</v>
      </c>
      <c r="J7" s="2351">
        <v>1984236</v>
      </c>
      <c r="K7" s="2351">
        <v>2004631</v>
      </c>
      <c r="L7" s="2351">
        <v>2035605</v>
      </c>
      <c r="M7" s="2351">
        <v>2076522</v>
      </c>
      <c r="N7" s="2351">
        <v>2149795</v>
      </c>
      <c r="O7" s="2351">
        <v>2227927</v>
      </c>
      <c r="P7" s="2351">
        <v>2304064</v>
      </c>
      <c r="Q7" s="2351">
        <v>2376571</v>
      </c>
      <c r="R7" s="2352">
        <v>2440268</v>
      </c>
      <c r="S7" s="2352">
        <v>2485848</v>
      </c>
      <c r="T7" s="2352">
        <v>2524670</v>
      </c>
    </row>
    <row r="8" spans="1:20" x14ac:dyDescent="0.25">
      <c r="A8" s="2350" t="s">
        <v>1010</v>
      </c>
      <c r="B8" s="2350" t="s">
        <v>467</v>
      </c>
      <c r="C8" s="2350" t="s">
        <v>1013</v>
      </c>
      <c r="D8" s="2351">
        <v>2185157</v>
      </c>
      <c r="E8" s="2351">
        <v>2165560</v>
      </c>
      <c r="F8" s="2351">
        <v>2140181</v>
      </c>
      <c r="G8" s="2351">
        <v>2118484</v>
      </c>
      <c r="H8" s="2351">
        <v>2096845</v>
      </c>
      <c r="I8" s="2351">
        <v>2060864</v>
      </c>
      <c r="J8" s="2351">
        <v>2024433</v>
      </c>
      <c r="K8" s="2351">
        <v>1999998</v>
      </c>
      <c r="L8" s="2351">
        <v>1983608</v>
      </c>
      <c r="M8" s="2351">
        <v>1974424</v>
      </c>
      <c r="N8" s="2351">
        <v>1973002</v>
      </c>
      <c r="O8" s="2351">
        <v>1984215</v>
      </c>
      <c r="P8" s="2351">
        <v>2004673</v>
      </c>
      <c r="Q8" s="2351">
        <v>2035615</v>
      </c>
      <c r="R8" s="2352">
        <v>2076990</v>
      </c>
      <c r="S8" s="2352">
        <v>2150635</v>
      </c>
      <c r="T8" s="2352">
        <v>2229354</v>
      </c>
    </row>
    <row r="9" spans="1:20" x14ac:dyDescent="0.25">
      <c r="A9" s="2350" t="s">
        <v>1010</v>
      </c>
      <c r="B9" s="2350" t="s">
        <v>467</v>
      </c>
      <c r="C9" s="2350" t="s">
        <v>1014</v>
      </c>
      <c r="D9" s="2351">
        <v>2051937</v>
      </c>
      <c r="E9" s="2351">
        <v>2104066</v>
      </c>
      <c r="F9" s="2351">
        <v>2148903</v>
      </c>
      <c r="G9" s="2351">
        <v>2181322</v>
      </c>
      <c r="H9" s="2351">
        <v>2187968</v>
      </c>
      <c r="I9" s="2351">
        <v>2182681</v>
      </c>
      <c r="J9" s="2351">
        <v>2163322</v>
      </c>
      <c r="K9" s="2351">
        <v>2137469</v>
      </c>
      <c r="L9" s="2351">
        <v>2115889</v>
      </c>
      <c r="M9" s="2351">
        <v>2095422</v>
      </c>
      <c r="N9" s="2351">
        <v>2060358</v>
      </c>
      <c r="O9" s="2351">
        <v>2025114</v>
      </c>
      <c r="P9" s="2351">
        <v>2002457</v>
      </c>
      <c r="Q9" s="2351">
        <v>1985991</v>
      </c>
      <c r="R9" s="2352">
        <v>1977236</v>
      </c>
      <c r="S9" s="2352">
        <v>1976106</v>
      </c>
      <c r="T9" s="2352">
        <v>1987756</v>
      </c>
    </row>
    <row r="10" spans="1:20" x14ac:dyDescent="0.25">
      <c r="A10" s="2350" t="s">
        <v>1010</v>
      </c>
      <c r="B10" s="2350" t="s">
        <v>467</v>
      </c>
      <c r="C10" s="2350" t="s">
        <v>1015</v>
      </c>
      <c r="D10" s="2351">
        <v>1716391</v>
      </c>
      <c r="E10" s="2351">
        <v>1800039</v>
      </c>
      <c r="F10" s="2351">
        <v>1886487</v>
      </c>
      <c r="G10" s="2351">
        <v>1960940</v>
      </c>
      <c r="H10" s="2351">
        <v>2027583</v>
      </c>
      <c r="I10" s="2351">
        <v>2084818</v>
      </c>
      <c r="J10" s="2351">
        <v>2141219</v>
      </c>
      <c r="K10" s="2351">
        <v>2189428</v>
      </c>
      <c r="L10" s="2351">
        <v>2225427</v>
      </c>
      <c r="M10" s="2351">
        <v>2235725</v>
      </c>
      <c r="N10" s="2351">
        <v>2233648</v>
      </c>
      <c r="O10" s="2351">
        <v>2217979</v>
      </c>
      <c r="P10" s="2351">
        <v>2196360</v>
      </c>
      <c r="Q10" s="2351">
        <v>2177573</v>
      </c>
      <c r="R10" s="2352">
        <v>2159634</v>
      </c>
      <c r="S10" s="2352">
        <v>2126864</v>
      </c>
      <c r="T10" s="2352">
        <v>2093724</v>
      </c>
    </row>
    <row r="11" spans="1:20" x14ac:dyDescent="0.25">
      <c r="A11" s="2350" t="s">
        <v>1010</v>
      </c>
      <c r="B11" s="2350" t="s">
        <v>467</v>
      </c>
      <c r="C11" s="2350" t="s">
        <v>1016</v>
      </c>
      <c r="D11" s="2351">
        <v>1506619</v>
      </c>
      <c r="E11" s="2351">
        <v>1529697</v>
      </c>
      <c r="F11" s="2351">
        <v>1558058</v>
      </c>
      <c r="G11" s="2351">
        <v>1602889</v>
      </c>
      <c r="H11" s="2351">
        <v>1674872</v>
      </c>
      <c r="I11" s="2351">
        <v>1762026</v>
      </c>
      <c r="J11" s="2351">
        <v>1854922</v>
      </c>
      <c r="K11" s="2351">
        <v>1949433</v>
      </c>
      <c r="L11" s="2351">
        <v>2029336</v>
      </c>
      <c r="M11" s="2351">
        <v>2102483</v>
      </c>
      <c r="N11" s="2351">
        <v>2165958</v>
      </c>
      <c r="O11" s="2351">
        <v>2228764</v>
      </c>
      <c r="P11" s="2351">
        <v>2284049</v>
      </c>
      <c r="Q11" s="2351">
        <v>2326100</v>
      </c>
      <c r="R11" s="2352">
        <v>2343045</v>
      </c>
      <c r="S11" s="2352">
        <v>2347379</v>
      </c>
      <c r="T11" s="2352">
        <v>2336908</v>
      </c>
    </row>
    <row r="12" spans="1:20" x14ac:dyDescent="0.25">
      <c r="A12" s="2350" t="s">
        <v>1010</v>
      </c>
      <c r="B12" s="2350" t="s">
        <v>467</v>
      </c>
      <c r="C12" s="2350" t="s">
        <v>1017</v>
      </c>
      <c r="D12" s="2351">
        <v>1261918</v>
      </c>
      <c r="E12" s="2351">
        <v>1319228</v>
      </c>
      <c r="F12" s="2351">
        <v>1370592</v>
      </c>
      <c r="G12" s="2351">
        <v>1418287</v>
      </c>
      <c r="H12" s="2351">
        <v>1456190</v>
      </c>
      <c r="I12" s="2351">
        <v>1485397</v>
      </c>
      <c r="J12" s="2351">
        <v>1518220</v>
      </c>
      <c r="K12" s="2351">
        <v>1560699</v>
      </c>
      <c r="L12" s="2351">
        <v>1613138</v>
      </c>
      <c r="M12" s="2351">
        <v>1691072</v>
      </c>
      <c r="N12" s="2351">
        <v>1783143</v>
      </c>
      <c r="O12" s="2351">
        <v>1879720</v>
      </c>
      <c r="P12" s="2351">
        <v>1977559</v>
      </c>
      <c r="Q12" s="2351">
        <v>2063624</v>
      </c>
      <c r="R12" s="2352">
        <v>2143079</v>
      </c>
      <c r="S12" s="2352">
        <v>2213468</v>
      </c>
      <c r="T12" s="2352">
        <v>2281671</v>
      </c>
    </row>
    <row r="13" spans="1:20" x14ac:dyDescent="0.25">
      <c r="A13" s="2350" t="s">
        <v>1010</v>
      </c>
      <c r="B13" s="2350" t="s">
        <v>467</v>
      </c>
      <c r="C13" s="2350" t="s">
        <v>1018</v>
      </c>
      <c r="D13" s="2351">
        <v>1054135</v>
      </c>
      <c r="E13" s="2351">
        <v>1051888</v>
      </c>
      <c r="F13" s="2351">
        <v>1055931</v>
      </c>
      <c r="G13" s="2351">
        <v>1070196</v>
      </c>
      <c r="H13" s="2351">
        <v>1106203</v>
      </c>
      <c r="I13" s="2351">
        <v>1157987</v>
      </c>
      <c r="J13" s="2351">
        <v>1214204</v>
      </c>
      <c r="K13" s="2351">
        <v>1271624</v>
      </c>
      <c r="L13" s="2351">
        <v>1327846</v>
      </c>
      <c r="M13" s="2351">
        <v>1374580</v>
      </c>
      <c r="N13" s="2351">
        <v>1413634</v>
      </c>
      <c r="O13" s="2351">
        <v>1453171</v>
      </c>
      <c r="P13" s="2351">
        <v>1498411</v>
      </c>
      <c r="Q13" s="2351">
        <v>1558313</v>
      </c>
      <c r="R13" s="2352">
        <v>1640835</v>
      </c>
      <c r="S13" s="2352">
        <v>1737575</v>
      </c>
      <c r="T13" s="2352">
        <v>1836672</v>
      </c>
    </row>
    <row r="14" spans="1:20" x14ac:dyDescent="0.25">
      <c r="A14" s="2350" t="s">
        <v>1010</v>
      </c>
      <c r="B14" s="2350" t="s">
        <v>467</v>
      </c>
      <c r="C14" s="2350" t="s">
        <v>1019</v>
      </c>
      <c r="D14" s="2351">
        <v>902632</v>
      </c>
      <c r="E14" s="2351">
        <v>915091</v>
      </c>
      <c r="F14" s="2351">
        <v>924184</v>
      </c>
      <c r="G14" s="2351">
        <v>927874</v>
      </c>
      <c r="H14" s="2351">
        <v>928972</v>
      </c>
      <c r="I14" s="2351">
        <v>926578</v>
      </c>
      <c r="J14" s="2351">
        <v>925879</v>
      </c>
      <c r="K14" s="2351">
        <v>934763</v>
      </c>
      <c r="L14" s="2351">
        <v>957176</v>
      </c>
      <c r="M14" s="2351">
        <v>1000410</v>
      </c>
      <c r="N14" s="2351">
        <v>1058111</v>
      </c>
      <c r="O14" s="2351">
        <v>1118358</v>
      </c>
      <c r="P14" s="2351">
        <v>1177043</v>
      </c>
      <c r="Q14" s="2351">
        <v>1235659</v>
      </c>
      <c r="R14" s="2352">
        <v>1284601</v>
      </c>
      <c r="S14" s="2352">
        <v>1328241</v>
      </c>
      <c r="T14" s="2352">
        <v>1372353</v>
      </c>
    </row>
    <row r="15" spans="1:20" x14ac:dyDescent="0.25">
      <c r="A15" s="2350" t="s">
        <v>1010</v>
      </c>
      <c r="B15" s="2350" t="s">
        <v>467</v>
      </c>
      <c r="C15" s="2350" t="s">
        <v>1020</v>
      </c>
      <c r="D15" s="2351">
        <v>739901</v>
      </c>
      <c r="E15" s="2351">
        <v>750143</v>
      </c>
      <c r="F15" s="2351">
        <v>758765</v>
      </c>
      <c r="G15" s="2351">
        <v>766132</v>
      </c>
      <c r="H15" s="2351">
        <v>777335</v>
      </c>
      <c r="I15" s="2351">
        <v>786401</v>
      </c>
      <c r="J15" s="2351">
        <v>797946</v>
      </c>
      <c r="K15" s="2351">
        <v>809196</v>
      </c>
      <c r="L15" s="2351">
        <v>818091</v>
      </c>
      <c r="M15" s="2351">
        <v>825433</v>
      </c>
      <c r="N15" s="2351">
        <v>831698</v>
      </c>
      <c r="O15" s="2351">
        <v>838551</v>
      </c>
      <c r="P15" s="2351">
        <v>852268</v>
      </c>
      <c r="Q15" s="2351">
        <v>876629</v>
      </c>
      <c r="R15" s="2352">
        <v>918638</v>
      </c>
      <c r="S15" s="2352">
        <v>974443</v>
      </c>
      <c r="T15" s="2352">
        <v>1032933</v>
      </c>
    </row>
    <row r="16" spans="1:20" x14ac:dyDescent="0.25">
      <c r="A16" s="2350" t="s">
        <v>1010</v>
      </c>
      <c r="B16" s="2350" t="s">
        <v>467</v>
      </c>
      <c r="C16" s="2350" t="s">
        <v>1021</v>
      </c>
      <c r="D16" s="2351">
        <v>555350</v>
      </c>
      <c r="E16" s="2351">
        <v>575261</v>
      </c>
      <c r="F16" s="2351">
        <v>593300</v>
      </c>
      <c r="G16" s="2351">
        <v>608194</v>
      </c>
      <c r="H16" s="2351">
        <v>621288</v>
      </c>
      <c r="I16" s="2351">
        <v>631896</v>
      </c>
      <c r="J16" s="2351">
        <v>641726</v>
      </c>
      <c r="K16" s="2351">
        <v>652647</v>
      </c>
      <c r="L16" s="2351">
        <v>664314</v>
      </c>
      <c r="M16" s="2351">
        <v>677468</v>
      </c>
      <c r="N16" s="2351">
        <v>690947</v>
      </c>
      <c r="O16" s="2351">
        <v>705751</v>
      </c>
      <c r="P16" s="2351">
        <v>718885</v>
      </c>
      <c r="Q16" s="2351">
        <v>729952</v>
      </c>
      <c r="R16" s="2352">
        <v>738202</v>
      </c>
      <c r="S16" s="2352">
        <v>745713</v>
      </c>
      <c r="T16" s="2352">
        <v>753749</v>
      </c>
    </row>
    <row r="17" spans="1:20" x14ac:dyDescent="0.25">
      <c r="A17" s="2350" t="s">
        <v>1010</v>
      </c>
      <c r="B17" s="2350" t="s">
        <v>467</v>
      </c>
      <c r="C17" s="2350" t="s">
        <v>1022</v>
      </c>
      <c r="D17" s="2351">
        <v>393256</v>
      </c>
      <c r="E17" s="2351">
        <v>405455</v>
      </c>
      <c r="F17" s="2351">
        <v>419076</v>
      </c>
      <c r="G17" s="2351">
        <v>433806</v>
      </c>
      <c r="H17" s="2351">
        <v>449453</v>
      </c>
      <c r="I17" s="2351">
        <v>467207</v>
      </c>
      <c r="J17" s="2351">
        <v>484513</v>
      </c>
      <c r="K17" s="2351">
        <v>501204</v>
      </c>
      <c r="L17" s="2351">
        <v>518116</v>
      </c>
      <c r="M17" s="2351">
        <v>533329</v>
      </c>
      <c r="N17" s="2351">
        <v>546927</v>
      </c>
      <c r="O17" s="2351">
        <v>559199</v>
      </c>
      <c r="P17" s="2351">
        <v>570887</v>
      </c>
      <c r="Q17" s="2351">
        <v>582785</v>
      </c>
      <c r="R17" s="2352">
        <v>595156</v>
      </c>
      <c r="S17" s="2352">
        <v>607753</v>
      </c>
      <c r="T17" s="2352">
        <v>621476</v>
      </c>
    </row>
    <row r="18" spans="1:20" x14ac:dyDescent="0.25">
      <c r="A18" s="2350" t="s">
        <v>1010</v>
      </c>
      <c r="B18" s="2350" t="s">
        <v>467</v>
      </c>
      <c r="C18" s="2350" t="s">
        <v>1023</v>
      </c>
      <c r="D18" s="2351">
        <v>302961</v>
      </c>
      <c r="E18" s="2351">
        <v>303114</v>
      </c>
      <c r="F18" s="2351">
        <v>304182</v>
      </c>
      <c r="G18" s="2351">
        <v>307253</v>
      </c>
      <c r="H18" s="2351">
        <v>311554</v>
      </c>
      <c r="I18" s="2351">
        <v>318367</v>
      </c>
      <c r="J18" s="2351">
        <v>328619</v>
      </c>
      <c r="K18" s="2351">
        <v>340112</v>
      </c>
      <c r="L18" s="2351">
        <v>355043</v>
      </c>
      <c r="M18" s="2351">
        <v>371188</v>
      </c>
      <c r="N18" s="2351">
        <v>388948</v>
      </c>
      <c r="O18" s="2351">
        <v>406288</v>
      </c>
      <c r="P18" s="2351">
        <v>422746</v>
      </c>
      <c r="Q18" s="2351">
        <v>437707</v>
      </c>
      <c r="R18" s="2352">
        <v>451098</v>
      </c>
      <c r="S18" s="2352">
        <v>462952</v>
      </c>
      <c r="T18" s="2352">
        <v>473809</v>
      </c>
    </row>
    <row r="19" spans="1:20" x14ac:dyDescent="0.25">
      <c r="A19" s="2350" t="s">
        <v>1010</v>
      </c>
      <c r="B19" s="2350" t="s">
        <v>467</v>
      </c>
      <c r="C19" s="2350" t="s">
        <v>1024</v>
      </c>
      <c r="D19" s="2351">
        <v>208390</v>
      </c>
      <c r="E19" s="2351">
        <v>213829</v>
      </c>
      <c r="F19" s="2351">
        <v>220063</v>
      </c>
      <c r="G19" s="2351">
        <v>224414</v>
      </c>
      <c r="H19" s="2351">
        <v>226073</v>
      </c>
      <c r="I19" s="2351">
        <v>227085</v>
      </c>
      <c r="J19" s="2351">
        <v>227403</v>
      </c>
      <c r="K19" s="2351">
        <v>228137</v>
      </c>
      <c r="L19" s="2351">
        <v>232639</v>
      </c>
      <c r="M19" s="2351">
        <v>238456</v>
      </c>
      <c r="N19" s="2351">
        <v>245880</v>
      </c>
      <c r="O19" s="2351">
        <v>256127</v>
      </c>
      <c r="P19" s="2351">
        <v>267499</v>
      </c>
      <c r="Q19" s="2351">
        <v>279806</v>
      </c>
      <c r="R19" s="2352">
        <v>293287</v>
      </c>
      <c r="S19" s="2352">
        <v>307760</v>
      </c>
      <c r="T19" s="2352">
        <v>322088</v>
      </c>
    </row>
    <row r="20" spans="1:20" x14ac:dyDescent="0.25">
      <c r="A20" s="2350" t="s">
        <v>1010</v>
      </c>
      <c r="B20" s="2350" t="s">
        <v>467</v>
      </c>
      <c r="C20" s="2350" t="s">
        <v>1025</v>
      </c>
      <c r="D20" s="2351">
        <v>139535</v>
      </c>
      <c r="E20" s="2351">
        <v>138383</v>
      </c>
      <c r="F20" s="2351">
        <v>136537</v>
      </c>
      <c r="G20" s="2351">
        <v>136478</v>
      </c>
      <c r="H20" s="2351">
        <v>137573</v>
      </c>
      <c r="I20" s="2351">
        <v>140651</v>
      </c>
      <c r="J20" s="2351">
        <v>144546</v>
      </c>
      <c r="K20" s="2351">
        <v>148484</v>
      </c>
      <c r="L20" s="2351">
        <v>152870</v>
      </c>
      <c r="M20" s="2351">
        <v>155658</v>
      </c>
      <c r="N20" s="2351">
        <v>157866</v>
      </c>
      <c r="O20" s="2351">
        <v>159841</v>
      </c>
      <c r="P20" s="2351">
        <v>162411</v>
      </c>
      <c r="Q20" s="2351">
        <v>166054</v>
      </c>
      <c r="R20" s="2352">
        <v>170918</v>
      </c>
      <c r="S20" s="2352">
        <v>176713</v>
      </c>
      <c r="T20" s="2352">
        <v>184722</v>
      </c>
    </row>
    <row r="21" spans="1:20" x14ac:dyDescent="0.25">
      <c r="A21" s="2350" t="s">
        <v>1010</v>
      </c>
      <c r="B21" s="2350" t="s">
        <v>467</v>
      </c>
      <c r="C21" s="2350" t="s">
        <v>1026</v>
      </c>
      <c r="D21" s="2351">
        <v>83026</v>
      </c>
      <c r="E21" s="2351">
        <v>83176</v>
      </c>
      <c r="F21" s="2351">
        <v>83330</v>
      </c>
      <c r="G21" s="2351">
        <v>83222</v>
      </c>
      <c r="H21" s="2351">
        <v>82310</v>
      </c>
      <c r="I21" s="2351">
        <v>81497</v>
      </c>
      <c r="J21" s="2351">
        <v>80915</v>
      </c>
      <c r="K21" s="2351">
        <v>79674</v>
      </c>
      <c r="L21" s="2351">
        <v>80570</v>
      </c>
      <c r="M21" s="2351">
        <v>82319</v>
      </c>
      <c r="N21" s="2351">
        <v>85153</v>
      </c>
      <c r="O21" s="2351">
        <v>88660</v>
      </c>
      <c r="P21" s="2351">
        <v>92404</v>
      </c>
      <c r="Q21" s="2351">
        <v>95313</v>
      </c>
      <c r="R21" s="2352">
        <v>97470</v>
      </c>
      <c r="S21" s="2352">
        <v>99148</v>
      </c>
      <c r="T21" s="2352">
        <v>100835</v>
      </c>
    </row>
    <row r="22" spans="1:20" x14ac:dyDescent="0.25">
      <c r="A22" s="2350" t="s">
        <v>1010</v>
      </c>
      <c r="B22" s="2350" t="s">
        <v>467</v>
      </c>
      <c r="C22" s="2350" t="s">
        <v>1027</v>
      </c>
      <c r="D22" s="2351">
        <v>60975</v>
      </c>
      <c r="E22" s="2351">
        <v>61338</v>
      </c>
      <c r="F22" s="2351">
        <v>61394</v>
      </c>
      <c r="G22" s="2351">
        <v>61318</v>
      </c>
      <c r="H22" s="2351">
        <v>61452</v>
      </c>
      <c r="I22" s="2351">
        <v>61632</v>
      </c>
      <c r="J22" s="2351">
        <v>61821</v>
      </c>
      <c r="K22" s="2351">
        <v>61755</v>
      </c>
      <c r="L22" s="2351">
        <v>62136</v>
      </c>
      <c r="M22" s="2351">
        <v>62401</v>
      </c>
      <c r="N22" s="2351">
        <v>62643</v>
      </c>
      <c r="O22" s="2351">
        <v>63146</v>
      </c>
      <c r="P22" s="2351">
        <v>63436</v>
      </c>
      <c r="Q22" s="2351">
        <v>64239</v>
      </c>
      <c r="R22" s="2352">
        <v>65627</v>
      </c>
      <c r="S22" s="2352">
        <v>67430</v>
      </c>
      <c r="T22" s="2352">
        <v>69691</v>
      </c>
    </row>
    <row r="23" spans="1:20" x14ac:dyDescent="0.25">
      <c r="A23" s="2350" t="s">
        <v>1010</v>
      </c>
      <c r="B23" s="2350" t="s">
        <v>468</v>
      </c>
      <c r="C23" s="2350" t="s">
        <v>1011</v>
      </c>
      <c r="D23" s="2351">
        <v>1994107.9094999998</v>
      </c>
      <c r="E23" s="2351">
        <v>1998515.9775</v>
      </c>
      <c r="F23" s="2351">
        <v>2014011.4364999998</v>
      </c>
      <c r="G23" s="2351">
        <v>2043118.1295</v>
      </c>
      <c r="H23" s="2351">
        <v>2091939.9270000001</v>
      </c>
      <c r="I23" s="2351">
        <v>2165809.6950000003</v>
      </c>
      <c r="J23" s="2351">
        <v>2246291.5649999999</v>
      </c>
      <c r="K23" s="2351">
        <v>2321315.2935000001</v>
      </c>
      <c r="L23" s="2351">
        <v>2383616.9384999997</v>
      </c>
      <c r="M23" s="2351">
        <v>2434124.3534999997</v>
      </c>
      <c r="N23" s="2351">
        <v>2475681.1905</v>
      </c>
      <c r="O23" s="2351">
        <v>2506098.693</v>
      </c>
      <c r="P23" s="2351">
        <v>2525330.0099999998</v>
      </c>
      <c r="Q23" s="2351">
        <v>2539518.7334999996</v>
      </c>
      <c r="R23" s="2352">
        <v>2548070.0594999995</v>
      </c>
      <c r="S23" s="2352">
        <v>2567125.176</v>
      </c>
      <c r="T23" s="2352">
        <v>2565831.6809999999</v>
      </c>
    </row>
    <row r="24" spans="1:20" x14ac:dyDescent="0.25">
      <c r="A24" s="2350" t="s">
        <v>1010</v>
      </c>
      <c r="B24" s="2350" t="s">
        <v>468</v>
      </c>
      <c r="C24" s="2350" t="s">
        <v>1012</v>
      </c>
      <c r="D24" s="2351">
        <v>2108538.4214999997</v>
      </c>
      <c r="E24" s="2351">
        <v>2069201.9144999997</v>
      </c>
      <c r="F24" s="2351">
        <v>2036937.8714999999</v>
      </c>
      <c r="G24" s="2351">
        <v>2006754.6239999998</v>
      </c>
      <c r="H24" s="2351">
        <v>1989527.7150000001</v>
      </c>
      <c r="I24" s="2351">
        <v>1982584.6004999999</v>
      </c>
      <c r="J24" s="2351">
        <v>1988236.257</v>
      </c>
      <c r="K24" s="2351">
        <v>2004140.1344999999</v>
      </c>
      <c r="L24" s="2351">
        <v>2035181.9774999998</v>
      </c>
      <c r="M24" s="2351">
        <v>2083742.0204999999</v>
      </c>
      <c r="N24" s="2351">
        <v>2158281.9614999997</v>
      </c>
      <c r="O24" s="2351">
        <v>2239032.7154999999</v>
      </c>
      <c r="P24" s="2351">
        <v>2317529.5289999996</v>
      </c>
      <c r="Q24" s="2351">
        <v>2384802.4724999997</v>
      </c>
      <c r="R24" s="2352">
        <v>2438740.1954999999</v>
      </c>
      <c r="S24" s="2352">
        <v>2484561.4920000001</v>
      </c>
      <c r="T24" s="2352">
        <v>2518446.9869999997</v>
      </c>
    </row>
    <row r="25" spans="1:20" x14ac:dyDescent="0.25">
      <c r="A25" s="2350" t="s">
        <v>1010</v>
      </c>
      <c r="B25" s="2350" t="s">
        <v>468</v>
      </c>
      <c r="C25" s="2350" t="s">
        <v>1013</v>
      </c>
      <c r="D25" s="2351">
        <v>2211873.3944999999</v>
      </c>
      <c r="E25" s="2351">
        <v>2195668.0409999997</v>
      </c>
      <c r="F25" s="2351">
        <v>2177383.929</v>
      </c>
      <c r="G25" s="2351">
        <v>2163922.4145</v>
      </c>
      <c r="H25" s="2351">
        <v>2146501.9904999998</v>
      </c>
      <c r="I25" s="2351">
        <v>2110340.148</v>
      </c>
      <c r="J25" s="2351">
        <v>2071848.9959999998</v>
      </c>
      <c r="K25" s="2351">
        <v>2040109.4804999998</v>
      </c>
      <c r="L25" s="2351">
        <v>2010436.5014999998</v>
      </c>
      <c r="M25" s="2351">
        <v>1993456.0694999998</v>
      </c>
      <c r="N25" s="2351">
        <v>1987160.7209999999</v>
      </c>
      <c r="O25" s="2351">
        <v>1993228.9440000001</v>
      </c>
      <c r="P25" s="2351">
        <v>2009683.8299999998</v>
      </c>
      <c r="Q25" s="2351">
        <v>2041292.9774999998</v>
      </c>
      <c r="R25" s="2352">
        <v>2089905.9824999999</v>
      </c>
      <c r="S25" s="2352">
        <v>2166739.5855</v>
      </c>
      <c r="T25" s="2352">
        <v>2247085.9950000001</v>
      </c>
    </row>
    <row r="26" spans="1:20" x14ac:dyDescent="0.25">
      <c r="A26" s="2350" t="s">
        <v>1010</v>
      </c>
      <c r="B26" s="2350" t="s">
        <v>468</v>
      </c>
      <c r="C26" s="2350" t="s">
        <v>1014</v>
      </c>
      <c r="D26" s="2351">
        <v>2088304.9005</v>
      </c>
      <c r="E26" s="2351">
        <v>2140062.0149999997</v>
      </c>
      <c r="F26" s="2351">
        <v>2183978.7165000001</v>
      </c>
      <c r="G26" s="2351">
        <v>2212125.9824999999</v>
      </c>
      <c r="H26" s="2351">
        <v>2220568.3289999999</v>
      </c>
      <c r="I26" s="2351">
        <v>2216992.3755000001</v>
      </c>
      <c r="J26" s="2351">
        <v>2202230.2364999996</v>
      </c>
      <c r="K26" s="2351">
        <v>2185028.79</v>
      </c>
      <c r="L26" s="2351">
        <v>2172850.5854999996</v>
      </c>
      <c r="M26" s="2351">
        <v>2155488.216</v>
      </c>
      <c r="N26" s="2351">
        <v>2119988.3984999997</v>
      </c>
      <c r="O26" s="2351">
        <v>2082357.8789999997</v>
      </c>
      <c r="P26" s="2351">
        <v>2051751.9539999999</v>
      </c>
      <c r="Q26" s="2351">
        <v>2023177.9364999998</v>
      </c>
      <c r="R26" s="2352">
        <v>2007200.727</v>
      </c>
      <c r="S26" s="2352">
        <v>2002099.0604999999</v>
      </c>
      <c r="T26" s="2352">
        <v>2009256.0599999998</v>
      </c>
    </row>
    <row r="27" spans="1:20" x14ac:dyDescent="0.25">
      <c r="A27" s="2350" t="s">
        <v>1010</v>
      </c>
      <c r="B27" s="2350" t="s">
        <v>468</v>
      </c>
      <c r="C27" s="2350" t="s">
        <v>1015</v>
      </c>
      <c r="D27" s="2351">
        <v>1753728.669</v>
      </c>
      <c r="E27" s="2351">
        <v>1831826.2305000001</v>
      </c>
      <c r="F27" s="2351">
        <v>1908597.7050000001</v>
      </c>
      <c r="G27" s="2351">
        <v>1984731.5984999998</v>
      </c>
      <c r="H27" s="2351">
        <v>2047734.9899999998</v>
      </c>
      <c r="I27" s="2351">
        <v>2104973.6715000002</v>
      </c>
      <c r="J27" s="2351">
        <v>2161314.0359999998</v>
      </c>
      <c r="K27" s="2351">
        <v>2209640.8424999998</v>
      </c>
      <c r="L27" s="2351">
        <v>2242182.9359999998</v>
      </c>
      <c r="M27" s="2351">
        <v>2254077.9975000001</v>
      </c>
      <c r="N27" s="2351">
        <v>2254481.3234999999</v>
      </c>
      <c r="O27" s="2351">
        <v>2243725.9635000001</v>
      </c>
      <c r="P27" s="2351">
        <v>2230531.2960000001</v>
      </c>
      <c r="Q27" s="2351">
        <v>2221798.6770000001</v>
      </c>
      <c r="R27" s="2352">
        <v>2207668.0079999999</v>
      </c>
      <c r="S27" s="2352">
        <v>2175016.9350000001</v>
      </c>
      <c r="T27" s="2352">
        <v>2140452.1005000002</v>
      </c>
    </row>
    <row r="28" spans="1:20" x14ac:dyDescent="0.25">
      <c r="A28" s="2350" t="s">
        <v>1010</v>
      </c>
      <c r="B28" s="2350" t="s">
        <v>468</v>
      </c>
      <c r="C28" s="2350" t="s">
        <v>1016</v>
      </c>
      <c r="D28" s="2351">
        <v>1499441.8110000002</v>
      </c>
      <c r="E28" s="2351">
        <v>1522320.3764999998</v>
      </c>
      <c r="F28" s="2351">
        <v>1552044.2804999999</v>
      </c>
      <c r="G28" s="2351">
        <v>1597166.8860000002</v>
      </c>
      <c r="H28" s="2351">
        <v>1660968.7814999998</v>
      </c>
      <c r="I28" s="2351">
        <v>1741625.8334999999</v>
      </c>
      <c r="J28" s="2351">
        <v>1827710.4720000001</v>
      </c>
      <c r="K28" s="2351">
        <v>1912880.4975000001</v>
      </c>
      <c r="L28" s="2351">
        <v>1994637.5294999999</v>
      </c>
      <c r="M28" s="2351">
        <v>2066636.3130000001</v>
      </c>
      <c r="N28" s="2351">
        <v>2133648.5205000001</v>
      </c>
      <c r="O28" s="2351">
        <v>2199376.3994999998</v>
      </c>
      <c r="P28" s="2351">
        <v>2256887.0205000001</v>
      </c>
      <c r="Q28" s="2351">
        <v>2297854.1459999997</v>
      </c>
      <c r="R28" s="2352">
        <v>2318130.4440000001</v>
      </c>
      <c r="S28" s="2352">
        <v>2326185.7604999999</v>
      </c>
      <c r="T28" s="2352">
        <v>2323406.2740000002</v>
      </c>
    </row>
    <row r="29" spans="1:20" x14ac:dyDescent="0.25">
      <c r="A29" s="2350" t="s">
        <v>1010</v>
      </c>
      <c r="B29" s="2350" t="s">
        <v>468</v>
      </c>
      <c r="C29" s="2350" t="s">
        <v>1017</v>
      </c>
      <c r="D29" s="2351">
        <v>1366193.4929999998</v>
      </c>
      <c r="E29" s="2351">
        <v>1371348.1215000001</v>
      </c>
      <c r="F29" s="2351">
        <v>1380406.6605</v>
      </c>
      <c r="G29" s="2351">
        <v>1392818.1015000001</v>
      </c>
      <c r="H29" s="2351">
        <v>1406788.8659999999</v>
      </c>
      <c r="I29" s="2351">
        <v>1428464.5829999999</v>
      </c>
      <c r="J29" s="2351">
        <v>1460118.5445000001</v>
      </c>
      <c r="K29" s="2351">
        <v>1501506.3105000001</v>
      </c>
      <c r="L29" s="2351">
        <v>1554894.0434999997</v>
      </c>
      <c r="M29" s="2351">
        <v>1632573.0014999998</v>
      </c>
      <c r="N29" s="2351">
        <v>1723093.2075</v>
      </c>
      <c r="O29" s="2351">
        <v>1815633.0989999997</v>
      </c>
      <c r="P29" s="2351">
        <v>1906792.923</v>
      </c>
      <c r="Q29" s="2351">
        <v>1996602.2159999998</v>
      </c>
      <c r="R29" s="2352">
        <v>2077457.8755000001</v>
      </c>
      <c r="S29" s="2352">
        <v>2148349.5494999997</v>
      </c>
      <c r="T29" s="2352">
        <v>2221520.6264999998</v>
      </c>
    </row>
    <row r="30" spans="1:20" x14ac:dyDescent="0.25">
      <c r="A30" s="2350" t="s">
        <v>1010</v>
      </c>
      <c r="B30" s="2350" t="s">
        <v>468</v>
      </c>
      <c r="C30" s="2350" t="s">
        <v>1018</v>
      </c>
      <c r="D30" s="2351">
        <v>1253385.4515</v>
      </c>
      <c r="E30" s="2351">
        <v>1254766.5374999999</v>
      </c>
      <c r="F30" s="2351">
        <v>1250635.5015</v>
      </c>
      <c r="G30" s="2351">
        <v>1244214.8774999999</v>
      </c>
      <c r="H30" s="2351">
        <v>1237400.094</v>
      </c>
      <c r="I30" s="2351">
        <v>1237135.284</v>
      </c>
      <c r="J30" s="2351">
        <v>1247290.7475000001</v>
      </c>
      <c r="K30" s="2351">
        <v>1267470.2879999999</v>
      </c>
      <c r="L30" s="2351">
        <v>1294579.7024999999</v>
      </c>
      <c r="M30" s="2351">
        <v>1327419.1979999999</v>
      </c>
      <c r="N30" s="2351">
        <v>1364868.4245000002</v>
      </c>
      <c r="O30" s="2351">
        <v>1407117.8415000001</v>
      </c>
      <c r="P30" s="2351">
        <v>1455974.2679999999</v>
      </c>
      <c r="Q30" s="2351">
        <v>1515553.4624999999</v>
      </c>
      <c r="R30" s="2352">
        <v>1597383.8265</v>
      </c>
      <c r="S30" s="2352">
        <v>1675489.5359999998</v>
      </c>
      <c r="T30" s="2352">
        <v>1770139.7595000002</v>
      </c>
    </row>
    <row r="31" spans="1:20" x14ac:dyDescent="0.25">
      <c r="A31" s="2350" t="s">
        <v>1010</v>
      </c>
      <c r="B31" s="2350" t="s">
        <v>468</v>
      </c>
      <c r="C31" s="2350" t="s">
        <v>1019</v>
      </c>
      <c r="D31" s="2351">
        <v>1029903.126</v>
      </c>
      <c r="E31" s="2351">
        <v>1052558.6400000001</v>
      </c>
      <c r="F31" s="2351">
        <v>1072785.0315</v>
      </c>
      <c r="G31" s="2351">
        <v>1089596.3925000001</v>
      </c>
      <c r="H31" s="2351">
        <v>1103928.7245</v>
      </c>
      <c r="I31" s="2351">
        <v>1110706.8419999999</v>
      </c>
      <c r="J31" s="2351">
        <v>1113670.6770000001</v>
      </c>
      <c r="K31" s="2351">
        <v>1116870.804</v>
      </c>
      <c r="L31" s="2351">
        <v>1124467.7955</v>
      </c>
      <c r="M31" s="2351">
        <v>1133440.7804999999</v>
      </c>
      <c r="N31" s="2351">
        <v>1149056.4224999999</v>
      </c>
      <c r="O31" s="2351">
        <v>1171791.3794999998</v>
      </c>
      <c r="P31" s="2351">
        <v>1201283.0655</v>
      </c>
      <c r="Q31" s="2351">
        <v>1233941.2679999999</v>
      </c>
      <c r="R31" s="2352">
        <v>1270665.3225</v>
      </c>
      <c r="S31" s="2352">
        <v>1299482.7614999998</v>
      </c>
      <c r="T31" s="2352">
        <v>1340514.0525</v>
      </c>
    </row>
    <row r="32" spans="1:20" x14ac:dyDescent="0.25">
      <c r="A32" s="2350" t="s">
        <v>1010</v>
      </c>
      <c r="B32" s="2350" t="s">
        <v>468</v>
      </c>
      <c r="C32" s="2350" t="s">
        <v>1020</v>
      </c>
      <c r="D32" s="2351">
        <v>851413.03800000006</v>
      </c>
      <c r="E32" s="2351">
        <v>870634.16999999993</v>
      </c>
      <c r="F32" s="2351">
        <v>881671.65450000006</v>
      </c>
      <c r="G32" s="2351">
        <v>891078.52049999998</v>
      </c>
      <c r="H32" s="2351">
        <v>899525.9595</v>
      </c>
      <c r="I32" s="2351">
        <v>915937.05</v>
      </c>
      <c r="J32" s="2351">
        <v>937542.49049999984</v>
      </c>
      <c r="K32" s="2351">
        <v>960621.70050000004</v>
      </c>
      <c r="L32" s="2351">
        <v>984265.15949999983</v>
      </c>
      <c r="M32" s="2351">
        <v>1007143.7250000001</v>
      </c>
      <c r="N32" s="2351">
        <v>1024065.0839999998</v>
      </c>
      <c r="O32" s="2351">
        <v>1035608.7629999999</v>
      </c>
      <c r="P32" s="2351">
        <v>1046557.6379999999</v>
      </c>
      <c r="Q32" s="2351">
        <v>1058845.8404999999</v>
      </c>
      <c r="R32" s="2352">
        <v>1071249.1335</v>
      </c>
      <c r="S32" s="2352">
        <v>1084518.1514999999</v>
      </c>
      <c r="T32" s="2352">
        <v>1106084.889</v>
      </c>
    </row>
    <row r="33" spans="1:20" x14ac:dyDescent="0.25">
      <c r="A33" s="2350" t="s">
        <v>1010</v>
      </c>
      <c r="B33" s="2350" t="s">
        <v>468</v>
      </c>
      <c r="C33" s="2350" t="s">
        <v>1021</v>
      </c>
      <c r="D33" s="2351">
        <v>648078.67949999997</v>
      </c>
      <c r="E33" s="2351">
        <v>667917.02249999996</v>
      </c>
      <c r="F33" s="2351">
        <v>690929.01149999991</v>
      </c>
      <c r="G33" s="2351">
        <v>711462.99</v>
      </c>
      <c r="H33" s="2351">
        <v>731715.86250000005</v>
      </c>
      <c r="I33" s="2351">
        <v>750951.25350000011</v>
      </c>
      <c r="J33" s="2351">
        <v>770049.147</v>
      </c>
      <c r="K33" s="2351">
        <v>784935.54299999995</v>
      </c>
      <c r="L33" s="2351">
        <v>800985.06599999988</v>
      </c>
      <c r="M33" s="2351">
        <v>817212.82649999997</v>
      </c>
      <c r="N33" s="2351">
        <v>840600.64199999999</v>
      </c>
      <c r="O33" s="2351">
        <v>867268.02749999997</v>
      </c>
      <c r="P33" s="2351">
        <v>894219.5745000001</v>
      </c>
      <c r="Q33" s="2351">
        <v>920083.36349999998</v>
      </c>
      <c r="R33" s="2352">
        <v>944616.9915</v>
      </c>
      <c r="S33" s="2352">
        <v>960661.4219999999</v>
      </c>
      <c r="T33" s="2352">
        <v>972011.58600000001</v>
      </c>
    </row>
    <row r="34" spans="1:20" x14ac:dyDescent="0.25">
      <c r="A34" s="2350" t="s">
        <v>1010</v>
      </c>
      <c r="B34" s="2350" t="s">
        <v>468</v>
      </c>
      <c r="C34" s="2350" t="s">
        <v>1022</v>
      </c>
      <c r="D34" s="2351">
        <v>476942.16149999999</v>
      </c>
      <c r="E34" s="2351">
        <v>495312.84599999996</v>
      </c>
      <c r="F34" s="2351">
        <v>513991.11749999993</v>
      </c>
      <c r="G34" s="2351">
        <v>531649.87050000008</v>
      </c>
      <c r="H34" s="2351">
        <v>550797.67050000001</v>
      </c>
      <c r="I34" s="2351">
        <v>570036.11699999997</v>
      </c>
      <c r="J34" s="2351">
        <v>589651.40850000002</v>
      </c>
      <c r="K34" s="2351">
        <v>613815.321</v>
      </c>
      <c r="L34" s="2351">
        <v>638121.82349999994</v>
      </c>
      <c r="M34" s="2351">
        <v>661545.28649999993</v>
      </c>
      <c r="N34" s="2351">
        <v>684791.53050000011</v>
      </c>
      <c r="O34" s="2351">
        <v>707090.56949999998</v>
      </c>
      <c r="P34" s="2351">
        <v>724600.62150000001</v>
      </c>
      <c r="Q34" s="2351">
        <v>741999.65700000012</v>
      </c>
      <c r="R34" s="2352">
        <v>759193.97399999993</v>
      </c>
      <c r="S34" s="2352">
        <v>781683.47249999992</v>
      </c>
      <c r="T34" s="2352">
        <v>807003.38249999983</v>
      </c>
    </row>
    <row r="35" spans="1:20" x14ac:dyDescent="0.25">
      <c r="A35" s="2350" t="s">
        <v>1010</v>
      </c>
      <c r="B35" s="2350" t="s">
        <v>468</v>
      </c>
      <c r="C35" s="2350" t="s">
        <v>1023</v>
      </c>
      <c r="D35" s="2351">
        <v>377909.33250000002</v>
      </c>
      <c r="E35" s="2351">
        <v>378869.77799999999</v>
      </c>
      <c r="F35" s="2351">
        <v>381982.31399999995</v>
      </c>
      <c r="G35" s="2351">
        <v>388307.19900000002</v>
      </c>
      <c r="H35" s="2351">
        <v>399765.32399999996</v>
      </c>
      <c r="I35" s="2351">
        <v>414485.70449999999</v>
      </c>
      <c r="J35" s="2351">
        <v>431878.62899999996</v>
      </c>
      <c r="K35" s="2351">
        <v>450581.34450000001</v>
      </c>
      <c r="L35" s="2351">
        <v>470333.11499999999</v>
      </c>
      <c r="M35" s="2351">
        <v>490150.06949999998</v>
      </c>
      <c r="N35" s="2351">
        <v>511105.70699999994</v>
      </c>
      <c r="O35" s="2351">
        <v>532143.84299999999</v>
      </c>
      <c r="P35" s="2351">
        <v>556904.59649999999</v>
      </c>
      <c r="Q35" s="2351">
        <v>580802.68050000002</v>
      </c>
      <c r="R35" s="2352">
        <v>603703.65300000005</v>
      </c>
      <c r="S35" s="2352">
        <v>626493.60899999994</v>
      </c>
      <c r="T35" s="2352">
        <v>647434.98749999993</v>
      </c>
    </row>
    <row r="36" spans="1:20" x14ac:dyDescent="0.25">
      <c r="A36" s="2350" t="s">
        <v>1010</v>
      </c>
      <c r="B36" s="2350" t="s">
        <v>468</v>
      </c>
      <c r="C36" s="2350" t="s">
        <v>1024</v>
      </c>
      <c r="D36" s="2351">
        <v>319941.40499999997</v>
      </c>
      <c r="E36" s="2351">
        <v>319449.46950000001</v>
      </c>
      <c r="F36" s="2351">
        <v>319265.12099999998</v>
      </c>
      <c r="G36" s="2351">
        <v>318687.63150000002</v>
      </c>
      <c r="H36" s="2351">
        <v>318413.65500000003</v>
      </c>
      <c r="I36" s="2351">
        <v>319145.95650000003</v>
      </c>
      <c r="J36" s="2351">
        <v>320702.22450000001</v>
      </c>
      <c r="K36" s="2351">
        <v>324615.3015</v>
      </c>
      <c r="L36" s="2351">
        <v>332543.30550000002</v>
      </c>
      <c r="M36" s="2351">
        <v>344047.26299999998</v>
      </c>
      <c r="N36" s="2351">
        <v>359204.57999999996</v>
      </c>
      <c r="O36" s="2351">
        <v>376676.94750000001</v>
      </c>
      <c r="P36" s="2351">
        <v>395201.42550000001</v>
      </c>
      <c r="Q36" s="2351">
        <v>413911.27049999998</v>
      </c>
      <c r="R36" s="2352">
        <v>432660.837</v>
      </c>
      <c r="S36" s="2352">
        <v>453744.80550000002</v>
      </c>
      <c r="T36" s="2352">
        <v>473362.13399999996</v>
      </c>
    </row>
    <row r="37" spans="1:20" x14ac:dyDescent="0.25">
      <c r="A37" s="2350" t="s">
        <v>1010</v>
      </c>
      <c r="B37" s="2350" t="s">
        <v>468</v>
      </c>
      <c r="C37" s="2350" t="s">
        <v>1025</v>
      </c>
      <c r="D37" s="2351">
        <v>257933.08799999999</v>
      </c>
      <c r="E37" s="2351">
        <v>257539.94699999999</v>
      </c>
      <c r="F37" s="2351">
        <v>257194.67549999998</v>
      </c>
      <c r="G37" s="2351">
        <v>256766.90549999999</v>
      </c>
      <c r="H37" s="2351">
        <v>256674.22200000001</v>
      </c>
      <c r="I37" s="2351">
        <v>256066.17749999996</v>
      </c>
      <c r="J37" s="2351">
        <v>256170.06449999998</v>
      </c>
      <c r="K37" s="2351">
        <v>256714.962</v>
      </c>
      <c r="L37" s="2351">
        <v>257800.68300000002</v>
      </c>
      <c r="M37" s="2351">
        <v>258641.96400000001</v>
      </c>
      <c r="N37" s="2351">
        <v>260899.97850000003</v>
      </c>
      <c r="O37" s="2351">
        <v>263862.79499999998</v>
      </c>
      <c r="P37" s="2351">
        <v>268746.5025</v>
      </c>
      <c r="Q37" s="2351">
        <v>276408.67800000001</v>
      </c>
      <c r="R37" s="2352">
        <v>287043.85499999998</v>
      </c>
      <c r="S37" s="2352">
        <v>302548.48050000001</v>
      </c>
      <c r="T37" s="2352">
        <v>318378.00750000001</v>
      </c>
    </row>
    <row r="38" spans="1:20" x14ac:dyDescent="0.25">
      <c r="A38" s="2350" t="s">
        <v>1010</v>
      </c>
      <c r="B38" s="2350" t="s">
        <v>468</v>
      </c>
      <c r="C38" s="2350" t="s">
        <v>1026</v>
      </c>
      <c r="D38" s="2351">
        <v>189332.02049999998</v>
      </c>
      <c r="E38" s="2351">
        <v>189210.81899999999</v>
      </c>
      <c r="F38" s="2351">
        <v>188822.77049999996</v>
      </c>
      <c r="G38" s="2351">
        <v>188129.17199999999</v>
      </c>
      <c r="H38" s="2351">
        <v>188875.73249999998</v>
      </c>
      <c r="I38" s="2351">
        <v>189082.48799999998</v>
      </c>
      <c r="J38" s="2351">
        <v>189371.742</v>
      </c>
      <c r="K38" s="2351">
        <v>189672.19949999999</v>
      </c>
      <c r="L38" s="2351">
        <v>190552.18349999998</v>
      </c>
      <c r="M38" s="2351">
        <v>191298.74400000001</v>
      </c>
      <c r="N38" s="2351">
        <v>192191.96849999996</v>
      </c>
      <c r="O38" s="2351">
        <v>193666.75649999999</v>
      </c>
      <c r="P38" s="2351">
        <v>195425.70600000001</v>
      </c>
      <c r="Q38" s="2351">
        <v>197107.24950000001</v>
      </c>
      <c r="R38" s="2352">
        <v>198592.22249999997</v>
      </c>
      <c r="S38" s="2352">
        <v>202919.82899999997</v>
      </c>
      <c r="T38" s="2352">
        <v>206357.26649999997</v>
      </c>
    </row>
    <row r="39" spans="1:20" x14ac:dyDescent="0.25">
      <c r="A39" s="2350" t="s">
        <v>1010</v>
      </c>
      <c r="B39" s="2350" t="s">
        <v>468</v>
      </c>
      <c r="C39" s="2350" t="s">
        <v>1027</v>
      </c>
      <c r="D39" s="2351">
        <v>193948.88099999999</v>
      </c>
      <c r="E39" s="2351">
        <v>196334.20799999998</v>
      </c>
      <c r="F39" s="2351">
        <v>198270.37649999998</v>
      </c>
      <c r="G39" s="2351">
        <v>200001.8265</v>
      </c>
      <c r="H39" s="2351">
        <v>201630.408</v>
      </c>
      <c r="I39" s="2351">
        <v>203321.11799999999</v>
      </c>
      <c r="J39" s="2351">
        <v>204922.19999999998</v>
      </c>
      <c r="K39" s="2351">
        <v>206081.253</v>
      </c>
      <c r="L39" s="2351">
        <v>207614.0955</v>
      </c>
      <c r="M39" s="2351">
        <v>209443.32149999999</v>
      </c>
      <c r="N39" s="2351">
        <v>211615.78199999998</v>
      </c>
      <c r="O39" s="2351">
        <v>213965.4615</v>
      </c>
      <c r="P39" s="2351">
        <v>216125.69999999998</v>
      </c>
      <c r="Q39" s="2351">
        <v>218305.28999999998</v>
      </c>
      <c r="R39" s="2352">
        <v>220666.17299999998</v>
      </c>
      <c r="S39" s="2352">
        <v>225664.97099999999</v>
      </c>
      <c r="T39" s="2352">
        <v>229370.274</v>
      </c>
    </row>
    <row r="40" spans="1:20" x14ac:dyDescent="0.25">
      <c r="A40" s="2350" t="s">
        <v>683</v>
      </c>
      <c r="B40" s="2350" t="s">
        <v>467</v>
      </c>
      <c r="C40" s="2350" t="s">
        <v>1011</v>
      </c>
      <c r="D40" s="2351">
        <v>211857.03000000003</v>
      </c>
      <c r="E40" s="2351">
        <v>209680.02</v>
      </c>
      <c r="F40" s="2351">
        <v>209502.81</v>
      </c>
      <c r="G40" s="2351">
        <v>210735.35999999999</v>
      </c>
      <c r="H40" s="2351">
        <v>213764.75999999998</v>
      </c>
      <c r="I40" s="2351">
        <v>218471.22</v>
      </c>
      <c r="J40" s="2351">
        <v>223614.27000000002</v>
      </c>
      <c r="K40" s="2351">
        <v>228326.67</v>
      </c>
      <c r="L40" s="2351">
        <v>233045.00999999998</v>
      </c>
      <c r="M40" s="2351">
        <v>237000.05999999997</v>
      </c>
      <c r="N40" s="2351">
        <v>239738.4</v>
      </c>
      <c r="O40" s="2351">
        <v>241635.24</v>
      </c>
      <c r="P40" s="2351">
        <v>242707.41</v>
      </c>
      <c r="Q40" s="2351">
        <v>242814.33</v>
      </c>
      <c r="R40" s="2352">
        <v>242518.31999999998</v>
      </c>
      <c r="S40" s="2352">
        <v>242178.75</v>
      </c>
      <c r="T40" s="2352">
        <v>241768.88999999998</v>
      </c>
    </row>
    <row r="41" spans="1:20" x14ac:dyDescent="0.25">
      <c r="A41" s="2350" t="s">
        <v>683</v>
      </c>
      <c r="B41" s="2350" t="s">
        <v>467</v>
      </c>
      <c r="C41" s="2350" t="s">
        <v>1012</v>
      </c>
      <c r="D41" s="2351">
        <v>218352.41999999998</v>
      </c>
      <c r="E41" s="2351">
        <v>217329.75</v>
      </c>
      <c r="F41" s="2351">
        <v>215903.15999999997</v>
      </c>
      <c r="G41" s="2351">
        <v>214275.6</v>
      </c>
      <c r="H41" s="2351">
        <v>212324.31</v>
      </c>
      <c r="I41" s="2351">
        <v>209832.48</v>
      </c>
      <c r="J41" s="2351">
        <v>207783.18</v>
      </c>
      <c r="K41" s="2351">
        <v>207699.03</v>
      </c>
      <c r="L41" s="2351">
        <v>209029.59000000003</v>
      </c>
      <c r="M41" s="2351">
        <v>212123.34</v>
      </c>
      <c r="N41" s="2351">
        <v>216913.95</v>
      </c>
      <c r="O41" s="2351">
        <v>222120.36000000002</v>
      </c>
      <c r="P41" s="2351">
        <v>226888.19999999998</v>
      </c>
      <c r="Q41" s="2351">
        <v>231653.07</v>
      </c>
      <c r="R41" s="2352">
        <v>235647.72000000003</v>
      </c>
      <c r="S41" s="2352">
        <v>238425.65999999997</v>
      </c>
      <c r="T41" s="2352">
        <v>240351.21</v>
      </c>
    </row>
    <row r="42" spans="1:20" x14ac:dyDescent="0.25">
      <c r="A42" s="2350" t="s">
        <v>683</v>
      </c>
      <c r="B42" s="2350" t="s">
        <v>467</v>
      </c>
      <c r="C42" s="2350" t="s">
        <v>1013</v>
      </c>
      <c r="D42" s="2351">
        <v>221382.81</v>
      </c>
      <c r="E42" s="2351">
        <v>221629.32</v>
      </c>
      <c r="F42" s="2351">
        <v>221211.54</v>
      </c>
      <c r="G42" s="2351">
        <v>220025.52</v>
      </c>
      <c r="H42" s="2351">
        <v>218660.31000000003</v>
      </c>
      <c r="I42" s="2351">
        <v>217466.37</v>
      </c>
      <c r="J42" s="2351">
        <v>216493.2</v>
      </c>
      <c r="K42" s="2351">
        <v>215110.16999999998</v>
      </c>
      <c r="L42" s="2351">
        <v>213524.19</v>
      </c>
      <c r="M42" s="2351">
        <v>211616.46</v>
      </c>
      <c r="N42" s="2351">
        <v>209169.18</v>
      </c>
      <c r="O42" s="2351">
        <v>207157.5</v>
      </c>
      <c r="P42" s="2351">
        <v>207102.06</v>
      </c>
      <c r="Q42" s="2351">
        <v>208447.47000000003</v>
      </c>
      <c r="R42" s="2352">
        <v>211551.12</v>
      </c>
      <c r="S42" s="2352">
        <v>216342.72000000003</v>
      </c>
      <c r="T42" s="2352">
        <v>221550.11999999997</v>
      </c>
    </row>
    <row r="43" spans="1:20" x14ac:dyDescent="0.25">
      <c r="A43" s="2350" t="s">
        <v>683</v>
      </c>
      <c r="B43" s="2350" t="s">
        <v>467</v>
      </c>
      <c r="C43" s="2350" t="s">
        <v>1014</v>
      </c>
      <c r="D43" s="2351">
        <v>204848.82</v>
      </c>
      <c r="E43" s="2351">
        <v>209258.28</v>
      </c>
      <c r="F43" s="2351">
        <v>213582.59999999998</v>
      </c>
      <c r="G43" s="2351">
        <v>218052.44999999998</v>
      </c>
      <c r="H43" s="2351">
        <v>219426.57</v>
      </c>
      <c r="I43" s="2351">
        <v>220283.91000000003</v>
      </c>
      <c r="J43" s="2351">
        <v>220580.90999999997</v>
      </c>
      <c r="K43" s="2351">
        <v>220209.66</v>
      </c>
      <c r="L43" s="2351">
        <v>219072.15000000002</v>
      </c>
      <c r="M43" s="2351">
        <v>217747.53</v>
      </c>
      <c r="N43" s="2351">
        <v>216593.19</v>
      </c>
      <c r="O43" s="2351">
        <v>215652.69</v>
      </c>
      <c r="P43" s="2351">
        <v>214305.3</v>
      </c>
      <c r="Q43" s="2351">
        <v>212753.96999999997</v>
      </c>
      <c r="R43" s="2352">
        <v>210871.97999999998</v>
      </c>
      <c r="S43" s="2352">
        <v>208448.46</v>
      </c>
      <c r="T43" s="2352">
        <v>206456.57999999996</v>
      </c>
    </row>
    <row r="44" spans="1:20" x14ac:dyDescent="0.25">
      <c r="A44" s="2350" t="s">
        <v>683</v>
      </c>
      <c r="B44" s="2350" t="s">
        <v>467</v>
      </c>
      <c r="C44" s="2350" t="s">
        <v>1015</v>
      </c>
      <c r="D44" s="2351">
        <v>173051.99999999997</v>
      </c>
      <c r="E44" s="2351">
        <v>179439.47999999998</v>
      </c>
      <c r="F44" s="2351">
        <v>185884.38</v>
      </c>
      <c r="G44" s="2351">
        <v>191901.6</v>
      </c>
      <c r="H44" s="2351">
        <v>197506.97999999998</v>
      </c>
      <c r="I44" s="2351">
        <v>203174.72999999998</v>
      </c>
      <c r="J44" s="2351">
        <v>207626.76</v>
      </c>
      <c r="K44" s="2351">
        <v>211983.75</v>
      </c>
      <c r="L44" s="2351">
        <v>216484.28999999998</v>
      </c>
      <c r="M44" s="2351">
        <v>217903.95</v>
      </c>
      <c r="N44" s="2351">
        <v>218815.74</v>
      </c>
      <c r="O44" s="2351">
        <v>219162.23999999996</v>
      </c>
      <c r="P44" s="2351">
        <v>218845.44</v>
      </c>
      <c r="Q44" s="2351">
        <v>217760.4</v>
      </c>
      <c r="R44" s="2352">
        <v>216478.35</v>
      </c>
      <c r="S44" s="2352">
        <v>215362.62</v>
      </c>
      <c r="T44" s="2352">
        <v>214449.84</v>
      </c>
    </row>
    <row r="45" spans="1:20" x14ac:dyDescent="0.25">
      <c r="A45" s="2350" t="s">
        <v>683</v>
      </c>
      <c r="B45" s="2350" t="s">
        <v>467</v>
      </c>
      <c r="C45" s="2350" t="s">
        <v>1016</v>
      </c>
      <c r="D45" s="2351">
        <v>165248.82</v>
      </c>
      <c r="E45" s="2351">
        <v>163808.37</v>
      </c>
      <c r="F45" s="2351">
        <v>163070.81999999998</v>
      </c>
      <c r="G45" s="2351">
        <v>163383.66</v>
      </c>
      <c r="H45" s="2351">
        <v>167197.13999999998</v>
      </c>
      <c r="I45" s="2351">
        <v>170780.93999999997</v>
      </c>
      <c r="J45" s="2351">
        <v>177192.18</v>
      </c>
      <c r="K45" s="2351">
        <v>183663.81</v>
      </c>
      <c r="L45" s="2351">
        <v>189716.66999999998</v>
      </c>
      <c r="M45" s="2351">
        <v>195358.68</v>
      </c>
      <c r="N45" s="2351">
        <v>201059.09999999998</v>
      </c>
      <c r="O45" s="2351">
        <v>205559.64</v>
      </c>
      <c r="P45" s="2351">
        <v>209990.88</v>
      </c>
      <c r="Q45" s="2351">
        <v>214547.85</v>
      </c>
      <c r="R45" s="2352">
        <v>216035.82</v>
      </c>
      <c r="S45" s="2352">
        <v>217010.97</v>
      </c>
      <c r="T45" s="2352">
        <v>217408.94999999998</v>
      </c>
    </row>
    <row r="46" spans="1:20" x14ac:dyDescent="0.25">
      <c r="A46" s="2350" t="s">
        <v>683</v>
      </c>
      <c r="B46" s="2350" t="s">
        <v>467</v>
      </c>
      <c r="C46" s="2350" t="s">
        <v>1017</v>
      </c>
      <c r="D46" s="2351">
        <v>161374.94999999998</v>
      </c>
      <c r="E46" s="2351">
        <v>162163.98000000001</v>
      </c>
      <c r="F46" s="2351">
        <v>162489.69</v>
      </c>
      <c r="G46" s="2351">
        <v>162354.06</v>
      </c>
      <c r="H46" s="2351">
        <v>161814.50999999998</v>
      </c>
      <c r="I46" s="2351">
        <v>161740.26</v>
      </c>
      <c r="J46" s="2351">
        <v>160454.25</v>
      </c>
      <c r="K46" s="2351">
        <v>159883.01999999999</v>
      </c>
      <c r="L46" s="2351">
        <v>160376.04</v>
      </c>
      <c r="M46" s="2351">
        <v>164298.42000000001</v>
      </c>
      <c r="N46" s="2351">
        <v>167984.19</v>
      </c>
      <c r="O46" s="2351">
        <v>174458.79</v>
      </c>
      <c r="P46" s="2351">
        <v>181032.38999999998</v>
      </c>
      <c r="Q46" s="2351">
        <v>187175.34000000003</v>
      </c>
      <c r="R46" s="2352">
        <v>192907.44</v>
      </c>
      <c r="S46" s="2352">
        <v>198696.95999999999</v>
      </c>
      <c r="T46" s="2352">
        <v>203274.72</v>
      </c>
    </row>
    <row r="47" spans="1:20" x14ac:dyDescent="0.25">
      <c r="A47" s="2350" t="s">
        <v>683</v>
      </c>
      <c r="B47" s="2350" t="s">
        <v>467</v>
      </c>
      <c r="C47" s="2350" t="s">
        <v>1018</v>
      </c>
      <c r="D47" s="2351">
        <v>150210.72</v>
      </c>
      <c r="E47" s="2351">
        <v>151828.38</v>
      </c>
      <c r="F47" s="2351">
        <v>153086.66999999998</v>
      </c>
      <c r="G47" s="2351">
        <v>154159.82999999999</v>
      </c>
      <c r="H47" s="2351">
        <v>155162.69999999998</v>
      </c>
      <c r="I47" s="2351">
        <v>156105.18</v>
      </c>
      <c r="J47" s="2351">
        <v>156980.34</v>
      </c>
      <c r="K47" s="2351">
        <v>157475.34</v>
      </c>
      <c r="L47" s="2351">
        <v>157607.01</v>
      </c>
      <c r="M47" s="2351">
        <v>157332.78</v>
      </c>
      <c r="N47" s="2351">
        <v>157505.04</v>
      </c>
      <c r="O47" s="2351">
        <v>156513.06</v>
      </c>
      <c r="P47" s="2351">
        <v>156290.31</v>
      </c>
      <c r="Q47" s="2351">
        <v>157050.63</v>
      </c>
      <c r="R47" s="2352">
        <v>161143.28999999998</v>
      </c>
      <c r="S47" s="2352">
        <v>165022.11000000002</v>
      </c>
      <c r="T47" s="2352">
        <v>171584.81999999998</v>
      </c>
    </row>
    <row r="48" spans="1:20" x14ac:dyDescent="0.25">
      <c r="A48" s="2350" t="s">
        <v>683</v>
      </c>
      <c r="B48" s="2350" t="s">
        <v>467</v>
      </c>
      <c r="C48" s="2350" t="s">
        <v>1019</v>
      </c>
      <c r="D48" s="2351">
        <v>133234.19999999998</v>
      </c>
      <c r="E48" s="2351">
        <v>136569.51</v>
      </c>
      <c r="F48" s="2351">
        <v>139445.46000000002</v>
      </c>
      <c r="G48" s="2351">
        <v>141502.68</v>
      </c>
      <c r="H48" s="2351">
        <v>142649.09999999998</v>
      </c>
      <c r="I48" s="2351">
        <v>143646.03</v>
      </c>
      <c r="J48" s="2351">
        <v>145273.59</v>
      </c>
      <c r="K48" s="2351">
        <v>146635.82999999999</v>
      </c>
      <c r="L48" s="2351">
        <v>147932.73000000001</v>
      </c>
      <c r="M48" s="2351">
        <v>149172.21</v>
      </c>
      <c r="N48" s="2351">
        <v>150356.25</v>
      </c>
      <c r="O48" s="2351">
        <v>151511.57999999999</v>
      </c>
      <c r="P48" s="2351">
        <v>152386.74</v>
      </c>
      <c r="Q48" s="2351">
        <v>152844.12</v>
      </c>
      <c r="R48" s="2352">
        <v>152887.68000000002</v>
      </c>
      <c r="S48" s="2352">
        <v>153387.63</v>
      </c>
      <c r="T48" s="2352">
        <v>152676.81</v>
      </c>
    </row>
    <row r="49" spans="1:20" x14ac:dyDescent="0.25">
      <c r="A49" s="2350" t="s">
        <v>683</v>
      </c>
      <c r="B49" s="2350" t="s">
        <v>467</v>
      </c>
      <c r="C49" s="2350" t="s">
        <v>1020</v>
      </c>
      <c r="D49" s="2351">
        <v>103159.98</v>
      </c>
      <c r="E49" s="2351">
        <v>107021.97</v>
      </c>
      <c r="F49" s="2351">
        <v>111242.34</v>
      </c>
      <c r="G49" s="2351">
        <v>115934.93999999999</v>
      </c>
      <c r="H49" s="2351">
        <v>121176</v>
      </c>
      <c r="I49" s="2351">
        <v>126196.29000000001</v>
      </c>
      <c r="J49" s="2351">
        <v>129447.44999999998</v>
      </c>
      <c r="K49" s="2351">
        <v>132326.37</v>
      </c>
      <c r="L49" s="2351">
        <v>134518.23000000001</v>
      </c>
      <c r="M49" s="2351">
        <v>135864.63</v>
      </c>
      <c r="N49" s="2351">
        <v>137074.41</v>
      </c>
      <c r="O49" s="2351">
        <v>138910.85999999999</v>
      </c>
      <c r="P49" s="2351">
        <v>140567.13</v>
      </c>
      <c r="Q49" s="2351">
        <v>142106.57999999999</v>
      </c>
      <c r="R49" s="2352">
        <v>143576.72999999998</v>
      </c>
      <c r="S49" s="2352">
        <v>145015.20000000001</v>
      </c>
      <c r="T49" s="2352">
        <v>146366.54999999999</v>
      </c>
    </row>
    <row r="50" spans="1:20" x14ac:dyDescent="0.25">
      <c r="A50" s="2350" t="s">
        <v>683</v>
      </c>
      <c r="B50" s="2350" t="s">
        <v>467</v>
      </c>
      <c r="C50" s="2350" t="s">
        <v>1021</v>
      </c>
      <c r="D50" s="2351">
        <v>81236.430000000008</v>
      </c>
      <c r="E50" s="2351">
        <v>84080.700000000012</v>
      </c>
      <c r="F50" s="2351">
        <v>86986.349999999991</v>
      </c>
      <c r="G50" s="2351">
        <v>89943.48000000001</v>
      </c>
      <c r="H50" s="2351">
        <v>92892.689999999988</v>
      </c>
      <c r="I50" s="2351">
        <v>95838.93</v>
      </c>
      <c r="J50" s="2351">
        <v>99559.35</v>
      </c>
      <c r="K50" s="2351">
        <v>103661.91</v>
      </c>
      <c r="L50" s="2351">
        <v>108280.26000000001</v>
      </c>
      <c r="M50" s="2351">
        <v>113436.18000000001</v>
      </c>
      <c r="N50" s="2351">
        <v>118396.07999999999</v>
      </c>
      <c r="O50" s="2351">
        <v>121717.53</v>
      </c>
      <c r="P50" s="2351">
        <v>124746.93</v>
      </c>
      <c r="Q50" s="2351">
        <v>127080.36</v>
      </c>
      <c r="R50" s="2352">
        <v>128611.89</v>
      </c>
      <c r="S50" s="2352">
        <v>130026.6</v>
      </c>
      <c r="T50" s="2352">
        <v>131971.95000000001</v>
      </c>
    </row>
    <row r="51" spans="1:20" x14ac:dyDescent="0.25">
      <c r="A51" s="2350" t="s">
        <v>683</v>
      </c>
      <c r="B51" s="2350" t="s">
        <v>467</v>
      </c>
      <c r="C51" s="2350" t="s">
        <v>1022</v>
      </c>
      <c r="D51" s="2351">
        <v>58526.82</v>
      </c>
      <c r="E51" s="2351">
        <v>61357.229999999996</v>
      </c>
      <c r="F51" s="2351">
        <v>64298.52</v>
      </c>
      <c r="G51" s="2351">
        <v>67306.14</v>
      </c>
      <c r="H51" s="2351">
        <v>70387.02</v>
      </c>
      <c r="I51" s="2351">
        <v>73536.210000000006</v>
      </c>
      <c r="J51" s="2351">
        <v>76256.73000000001</v>
      </c>
      <c r="K51" s="2351">
        <v>79061.399999999994</v>
      </c>
      <c r="L51" s="2351">
        <v>81952.2</v>
      </c>
      <c r="M51" s="2351">
        <v>84849.93</v>
      </c>
      <c r="N51" s="2351">
        <v>87762.510000000009</v>
      </c>
      <c r="O51" s="2351">
        <v>91409.669999999984</v>
      </c>
      <c r="P51" s="2351">
        <v>95440.950000000012</v>
      </c>
      <c r="Q51" s="2351">
        <v>99913.77</v>
      </c>
      <c r="R51" s="2352">
        <v>104872.68</v>
      </c>
      <c r="S51" s="2352">
        <v>109647.45</v>
      </c>
      <c r="T51" s="2352">
        <v>112863.96</v>
      </c>
    </row>
    <row r="52" spans="1:20" x14ac:dyDescent="0.25">
      <c r="A52" s="2350" t="s">
        <v>683</v>
      </c>
      <c r="B52" s="2350" t="s">
        <v>467</v>
      </c>
      <c r="C52" s="2350" t="s">
        <v>1023</v>
      </c>
      <c r="D52" s="2351">
        <v>40787.01</v>
      </c>
      <c r="E52" s="2351">
        <v>42469.020000000004</v>
      </c>
      <c r="F52" s="2351">
        <v>44306.46</v>
      </c>
      <c r="G52" s="2351">
        <v>46309.229999999996</v>
      </c>
      <c r="H52" s="2351">
        <v>48501.090000000004</v>
      </c>
      <c r="I52" s="2351">
        <v>50600.880000000005</v>
      </c>
      <c r="J52" s="2351">
        <v>53202.6</v>
      </c>
      <c r="K52" s="2351">
        <v>55912.23</v>
      </c>
      <c r="L52" s="2351">
        <v>58698.09</v>
      </c>
      <c r="M52" s="2351">
        <v>61556.219999999994</v>
      </c>
      <c r="N52" s="2351">
        <v>64493.549999999996</v>
      </c>
      <c r="O52" s="2351">
        <v>67080.42</v>
      </c>
      <c r="P52" s="2351">
        <v>69761.34</v>
      </c>
      <c r="Q52" s="2351">
        <v>72492.75</v>
      </c>
      <c r="R52" s="2352">
        <v>75212.28</v>
      </c>
      <c r="S52" s="2352">
        <v>77938.739999999991</v>
      </c>
      <c r="T52" s="2352">
        <v>81299.790000000008</v>
      </c>
    </row>
    <row r="53" spans="1:20" x14ac:dyDescent="0.25">
      <c r="A53" s="2350" t="s">
        <v>683</v>
      </c>
      <c r="B53" s="2350" t="s">
        <v>467</v>
      </c>
      <c r="C53" s="2350" t="s">
        <v>1024</v>
      </c>
      <c r="D53" s="2351">
        <v>28789.200000000001</v>
      </c>
      <c r="E53" s="2351">
        <v>29339.64</v>
      </c>
      <c r="F53" s="2351">
        <v>29933.640000000003</v>
      </c>
      <c r="G53" s="2351">
        <v>30645.450000000004</v>
      </c>
      <c r="H53" s="2351">
        <v>31489.919999999998</v>
      </c>
      <c r="I53" s="2351">
        <v>32686.83</v>
      </c>
      <c r="J53" s="2351">
        <v>34174.800000000003</v>
      </c>
      <c r="K53" s="2351">
        <v>35790.479999999996</v>
      </c>
      <c r="L53" s="2351">
        <v>37552.68</v>
      </c>
      <c r="M53" s="2351">
        <v>39469.319999999992</v>
      </c>
      <c r="N53" s="2351">
        <v>41338.44</v>
      </c>
      <c r="O53" s="2351">
        <v>43643.159999999996</v>
      </c>
      <c r="P53" s="2351">
        <v>46052.82</v>
      </c>
      <c r="Q53" s="2351">
        <v>48505.05</v>
      </c>
      <c r="R53" s="2352">
        <v>50995.89</v>
      </c>
      <c r="S53" s="2352">
        <v>53538.209999999992</v>
      </c>
      <c r="T53" s="2352">
        <v>55780.56</v>
      </c>
    </row>
    <row r="54" spans="1:20" x14ac:dyDescent="0.25">
      <c r="A54" s="2350" t="s">
        <v>683</v>
      </c>
      <c r="B54" s="2350" t="s">
        <v>467</v>
      </c>
      <c r="C54" s="2350" t="s">
        <v>1025</v>
      </c>
      <c r="D54" s="2351">
        <v>18010.080000000002</v>
      </c>
      <c r="E54" s="2351">
        <v>18740.699999999997</v>
      </c>
      <c r="F54" s="2351">
        <v>19433.699999999997</v>
      </c>
      <c r="G54" s="2351">
        <v>19988.099999999999</v>
      </c>
      <c r="H54" s="2351">
        <v>20393.009999999998</v>
      </c>
      <c r="I54" s="2351">
        <v>20842.469999999998</v>
      </c>
      <c r="J54" s="2351">
        <v>21348.36</v>
      </c>
      <c r="K54" s="2351">
        <v>21888.899999999998</v>
      </c>
      <c r="L54" s="2351">
        <v>22526.46</v>
      </c>
      <c r="M54" s="2351">
        <v>23259.059999999998</v>
      </c>
      <c r="N54" s="2351">
        <v>24277.77</v>
      </c>
      <c r="O54" s="2351">
        <v>25520.219999999998</v>
      </c>
      <c r="P54" s="2351">
        <v>26866.620000000003</v>
      </c>
      <c r="Q54" s="2351">
        <v>28308.06</v>
      </c>
      <c r="R54" s="2352">
        <v>29850.48</v>
      </c>
      <c r="S54" s="2352">
        <v>31350.329999999998</v>
      </c>
      <c r="T54" s="2352">
        <v>33185.79</v>
      </c>
    </row>
    <row r="55" spans="1:20" x14ac:dyDescent="0.25">
      <c r="A55" s="2350" t="s">
        <v>683</v>
      </c>
      <c r="B55" s="2350" t="s">
        <v>467</v>
      </c>
      <c r="C55" s="2350" t="s">
        <v>1026</v>
      </c>
      <c r="D55" s="2351">
        <v>9796.0499999999993</v>
      </c>
      <c r="E55" s="2351">
        <v>9812.8799999999992</v>
      </c>
      <c r="F55" s="2351">
        <v>9969.3000000000011</v>
      </c>
      <c r="G55" s="2351">
        <v>10318.77</v>
      </c>
      <c r="H55" s="2351">
        <v>10868.22</v>
      </c>
      <c r="I55" s="2351">
        <v>11416.68</v>
      </c>
      <c r="J55" s="2351">
        <v>11944.35</v>
      </c>
      <c r="K55" s="2351">
        <v>12452.220000000001</v>
      </c>
      <c r="L55" s="2351">
        <v>12877.92</v>
      </c>
      <c r="M55" s="2351">
        <v>13219.469999999998</v>
      </c>
      <c r="N55" s="2351">
        <v>13594.68</v>
      </c>
      <c r="O55" s="2351">
        <v>14013.45</v>
      </c>
      <c r="P55" s="2351">
        <v>14462.91</v>
      </c>
      <c r="Q55" s="2351">
        <v>14965.830000000002</v>
      </c>
      <c r="R55" s="2352">
        <v>15524.19</v>
      </c>
      <c r="S55" s="2352">
        <v>16269.659999999998</v>
      </c>
      <c r="T55" s="2352">
        <v>17158.68</v>
      </c>
    </row>
    <row r="56" spans="1:20" x14ac:dyDescent="0.25">
      <c r="A56" s="2350" t="s">
        <v>683</v>
      </c>
      <c r="B56" s="2350" t="s">
        <v>467</v>
      </c>
      <c r="C56" s="2350" t="s">
        <v>1027</v>
      </c>
      <c r="D56" s="2351">
        <v>7107.21</v>
      </c>
      <c r="E56" s="2351">
        <v>7246.8</v>
      </c>
      <c r="F56" s="2351">
        <v>7374.51</v>
      </c>
      <c r="G56" s="2351">
        <v>7480.44</v>
      </c>
      <c r="H56" s="2351">
        <v>7565.58</v>
      </c>
      <c r="I56" s="2351">
        <v>7647.75</v>
      </c>
      <c r="J56" s="2351">
        <v>7764.57</v>
      </c>
      <c r="K56" s="2351">
        <v>7955.64</v>
      </c>
      <c r="L56" s="2351">
        <v>8241.75</v>
      </c>
      <c r="M56" s="2351">
        <v>8621.91</v>
      </c>
      <c r="N56" s="2351">
        <v>8989.2000000000007</v>
      </c>
      <c r="O56" s="2351">
        <v>9356.49</v>
      </c>
      <c r="P56" s="2351">
        <v>9751.5</v>
      </c>
      <c r="Q56" s="2351">
        <v>10141.56</v>
      </c>
      <c r="R56" s="2352">
        <v>10525.68</v>
      </c>
      <c r="S56" s="2352">
        <v>10917.72</v>
      </c>
      <c r="T56" s="2352">
        <v>11323.62</v>
      </c>
    </row>
    <row r="57" spans="1:20" x14ac:dyDescent="0.25">
      <c r="A57" s="2350" t="s">
        <v>683</v>
      </c>
      <c r="B57" s="2350" t="s">
        <v>468</v>
      </c>
      <c r="C57" s="2350" t="s">
        <v>1011</v>
      </c>
      <c r="D57" s="2351">
        <v>206370.36</v>
      </c>
      <c r="E57" s="2351">
        <v>204122.23999999999</v>
      </c>
      <c r="F57" s="2351">
        <v>203770.41999999998</v>
      </c>
      <c r="G57" s="2351">
        <v>204770.02</v>
      </c>
      <c r="H57" s="2351">
        <v>207487.56</v>
      </c>
      <c r="I57" s="2351">
        <v>211847.58</v>
      </c>
      <c r="J57" s="2351">
        <v>216657.41999999998</v>
      </c>
      <c r="K57" s="2351">
        <v>221079.18</v>
      </c>
      <c r="L57" s="2351">
        <v>225546.02</v>
      </c>
      <c r="M57" s="2351">
        <v>229307.26</v>
      </c>
      <c r="N57" s="2351">
        <v>231911.12000000002</v>
      </c>
      <c r="O57" s="2351">
        <v>233715.30000000002</v>
      </c>
      <c r="P57" s="2351">
        <v>234722.74</v>
      </c>
      <c r="Q57" s="2351">
        <v>234830.54</v>
      </c>
      <c r="R57" s="2352">
        <v>234571.82</v>
      </c>
      <c r="S57" s="2352">
        <v>234294.47999999998</v>
      </c>
      <c r="T57" s="2352">
        <v>233940.7</v>
      </c>
    </row>
    <row r="58" spans="1:20" x14ac:dyDescent="0.25">
      <c r="A58" s="2350" t="s">
        <v>683</v>
      </c>
      <c r="B58" s="2350" t="s">
        <v>468</v>
      </c>
      <c r="C58" s="2350" t="s">
        <v>1012</v>
      </c>
      <c r="D58" s="2351">
        <v>213913.41999999998</v>
      </c>
      <c r="E58" s="2351">
        <v>212863.83999999997</v>
      </c>
      <c r="F58" s="2351">
        <v>211398.74</v>
      </c>
      <c r="G58" s="2351">
        <v>209717.06</v>
      </c>
      <c r="H58" s="2351">
        <v>207696.3</v>
      </c>
      <c r="I58" s="2351">
        <v>205116.94</v>
      </c>
      <c r="J58" s="2351">
        <v>202916.84</v>
      </c>
      <c r="K58" s="2351">
        <v>202599.31999999998</v>
      </c>
      <c r="L58" s="2351">
        <v>203640.08</v>
      </c>
      <c r="M58" s="2351">
        <v>206392.89999999997</v>
      </c>
      <c r="N58" s="2351">
        <v>210810.74</v>
      </c>
      <c r="O58" s="2351">
        <v>215677.41999999998</v>
      </c>
      <c r="P58" s="2351">
        <v>220153.08000000002</v>
      </c>
      <c r="Q58" s="2351">
        <v>224666.95999999996</v>
      </c>
      <c r="R58" s="2352">
        <v>228470.33999999997</v>
      </c>
      <c r="S58" s="2352">
        <v>231115.36</v>
      </c>
      <c r="T58" s="2352">
        <v>232951.88</v>
      </c>
    </row>
    <row r="59" spans="1:20" x14ac:dyDescent="0.25">
      <c r="A59" s="2350" t="s">
        <v>683</v>
      </c>
      <c r="B59" s="2350" t="s">
        <v>468</v>
      </c>
      <c r="C59" s="2350" t="s">
        <v>1013</v>
      </c>
      <c r="D59" s="2351">
        <v>217725.62</v>
      </c>
      <c r="E59" s="2351">
        <v>217888.3</v>
      </c>
      <c r="F59" s="2351">
        <v>217400.26</v>
      </c>
      <c r="G59" s="2351">
        <v>216161.53999999998</v>
      </c>
      <c r="H59" s="2351">
        <v>214744.46</v>
      </c>
      <c r="I59" s="2351">
        <v>213498.88</v>
      </c>
      <c r="J59" s="2351">
        <v>212461.06</v>
      </c>
      <c r="K59" s="2351">
        <v>211010.65999999997</v>
      </c>
      <c r="L59" s="2351">
        <v>209345.63999999998</v>
      </c>
      <c r="M59" s="2351">
        <v>207349.38</v>
      </c>
      <c r="N59" s="2351">
        <v>204795.5</v>
      </c>
      <c r="O59" s="2351">
        <v>202618.91999999998</v>
      </c>
      <c r="P59" s="2351">
        <v>202319.04000000004</v>
      </c>
      <c r="Q59" s="2351">
        <v>203374.5</v>
      </c>
      <c r="R59" s="2352">
        <v>206134.18</v>
      </c>
      <c r="S59" s="2352">
        <v>210559.86</v>
      </c>
      <c r="T59" s="2352">
        <v>215428.5</v>
      </c>
    </row>
    <row r="60" spans="1:20" x14ac:dyDescent="0.25">
      <c r="A60" s="2350" t="s">
        <v>683</v>
      </c>
      <c r="B60" s="2350" t="s">
        <v>468</v>
      </c>
      <c r="C60" s="2350" t="s">
        <v>1014</v>
      </c>
      <c r="D60" s="2351">
        <v>204166.34</v>
      </c>
      <c r="E60" s="2351">
        <v>207928.56</v>
      </c>
      <c r="F60" s="2351">
        <v>211640.8</v>
      </c>
      <c r="G60" s="2351">
        <v>215213.88</v>
      </c>
      <c r="H60" s="2351">
        <v>216457.5</v>
      </c>
      <c r="I60" s="2351">
        <v>217193.48</v>
      </c>
      <c r="J60" s="2351">
        <v>217370.86</v>
      </c>
      <c r="K60" s="2351">
        <v>216900.46</v>
      </c>
      <c r="L60" s="2351">
        <v>215686.24</v>
      </c>
      <c r="M60" s="2351">
        <v>214292.68000000002</v>
      </c>
      <c r="N60" s="2351">
        <v>213067.68</v>
      </c>
      <c r="O60" s="2351">
        <v>212053.38</v>
      </c>
      <c r="P60" s="2351">
        <v>210626.5</v>
      </c>
      <c r="Q60" s="2351">
        <v>208988.92</v>
      </c>
      <c r="R60" s="2352">
        <v>207012.26</v>
      </c>
      <c r="S60" s="2352">
        <v>204476.02</v>
      </c>
      <c r="T60" s="2352">
        <v>202313.16</v>
      </c>
    </row>
    <row r="61" spans="1:20" x14ac:dyDescent="0.25">
      <c r="A61" s="2350" t="s">
        <v>683</v>
      </c>
      <c r="B61" s="2350" t="s">
        <v>468</v>
      </c>
      <c r="C61" s="2350" t="s">
        <v>1015</v>
      </c>
      <c r="D61" s="2351">
        <v>178284.54</v>
      </c>
      <c r="E61" s="2351">
        <v>184432.08000000002</v>
      </c>
      <c r="F61" s="2351">
        <v>190654.09999999998</v>
      </c>
      <c r="G61" s="2351">
        <v>196702.66</v>
      </c>
      <c r="H61" s="2351">
        <v>199749.48</v>
      </c>
      <c r="I61" s="2351">
        <v>203188.3</v>
      </c>
      <c r="J61" s="2351">
        <v>206966.2</v>
      </c>
      <c r="K61" s="2351">
        <v>210696.08</v>
      </c>
      <c r="L61" s="2351">
        <v>214289.74</v>
      </c>
      <c r="M61" s="2351">
        <v>215568.64000000001</v>
      </c>
      <c r="N61" s="2351">
        <v>216343.82</v>
      </c>
      <c r="O61" s="2351">
        <v>216563.33999999997</v>
      </c>
      <c r="P61" s="2351">
        <v>216141.94</v>
      </c>
      <c r="Q61" s="2351">
        <v>214973.77999999997</v>
      </c>
      <c r="R61" s="2352">
        <v>213621.38</v>
      </c>
      <c r="S61" s="2352">
        <v>212435.58</v>
      </c>
      <c r="T61" s="2352">
        <v>211449.7</v>
      </c>
    </row>
    <row r="62" spans="1:20" x14ac:dyDescent="0.25">
      <c r="A62" s="2350" t="s">
        <v>683</v>
      </c>
      <c r="B62" s="2350" t="s">
        <v>468</v>
      </c>
      <c r="C62" s="2350" t="s">
        <v>1016</v>
      </c>
      <c r="D62" s="2351">
        <v>168138.59999999998</v>
      </c>
      <c r="E62" s="2351">
        <v>165974.76</v>
      </c>
      <c r="F62" s="2351">
        <v>164787.97999999998</v>
      </c>
      <c r="G62" s="2351">
        <v>164909.5</v>
      </c>
      <c r="H62" s="2351">
        <v>170513.13999999998</v>
      </c>
      <c r="I62" s="2351">
        <v>176405.88</v>
      </c>
      <c r="J62" s="2351">
        <v>182585.76</v>
      </c>
      <c r="K62" s="2351">
        <v>188846.97999999998</v>
      </c>
      <c r="L62" s="2351">
        <v>194934.74000000002</v>
      </c>
      <c r="M62" s="2351">
        <v>198069.76000000001</v>
      </c>
      <c r="N62" s="2351">
        <v>201579.13999999998</v>
      </c>
      <c r="O62" s="2351">
        <v>205431.52</v>
      </c>
      <c r="P62" s="2351">
        <v>209235.87999999998</v>
      </c>
      <c r="Q62" s="2351">
        <v>212901.08000000002</v>
      </c>
      <c r="R62" s="2352">
        <v>214254.46</v>
      </c>
      <c r="S62" s="2352">
        <v>215116.86000000002</v>
      </c>
      <c r="T62" s="2352">
        <v>215405.96</v>
      </c>
    </row>
    <row r="63" spans="1:20" x14ac:dyDescent="0.25">
      <c r="A63" s="2350" t="s">
        <v>683</v>
      </c>
      <c r="B63" s="2350" t="s">
        <v>468</v>
      </c>
      <c r="C63" s="2350" t="s">
        <v>1017</v>
      </c>
      <c r="D63" s="2351">
        <v>177916.06</v>
      </c>
      <c r="E63" s="2351">
        <v>175497.42</v>
      </c>
      <c r="F63" s="2351">
        <v>172652.47999999998</v>
      </c>
      <c r="G63" s="2351">
        <v>169781.08000000002</v>
      </c>
      <c r="H63" s="2351">
        <v>167042.96</v>
      </c>
      <c r="I63" s="2351">
        <v>164783.08000000002</v>
      </c>
      <c r="J63" s="2351">
        <v>162831.9</v>
      </c>
      <c r="K63" s="2351">
        <v>161866.59999999998</v>
      </c>
      <c r="L63" s="2351">
        <v>162197.84</v>
      </c>
      <c r="M63" s="2351">
        <v>167942.60000000003</v>
      </c>
      <c r="N63" s="2351">
        <v>173920.6</v>
      </c>
      <c r="O63" s="2351">
        <v>180194.56</v>
      </c>
      <c r="P63" s="2351">
        <v>186543.98</v>
      </c>
      <c r="Q63" s="2351">
        <v>192720.91999999998</v>
      </c>
      <c r="R63" s="2352">
        <v>195967.65999999997</v>
      </c>
      <c r="S63" s="2352">
        <v>199613.26</v>
      </c>
      <c r="T63" s="2352">
        <v>203567.56</v>
      </c>
    </row>
    <row r="64" spans="1:20" x14ac:dyDescent="0.25">
      <c r="A64" s="2350" t="s">
        <v>683</v>
      </c>
      <c r="B64" s="2350" t="s">
        <v>468</v>
      </c>
      <c r="C64" s="2350" t="s">
        <v>1018</v>
      </c>
      <c r="D64" s="2351">
        <v>170478.84000000003</v>
      </c>
      <c r="E64" s="2351">
        <v>173133.66000000003</v>
      </c>
      <c r="F64" s="2351">
        <v>175065.24</v>
      </c>
      <c r="G64" s="2351">
        <v>175504.28</v>
      </c>
      <c r="H64" s="2351">
        <v>174667.36</v>
      </c>
      <c r="I64" s="2351">
        <v>172772.04</v>
      </c>
      <c r="J64" s="2351">
        <v>170607.21999999997</v>
      </c>
      <c r="K64" s="2351">
        <v>168094.5</v>
      </c>
      <c r="L64" s="2351">
        <v>165580.79999999999</v>
      </c>
      <c r="M64" s="2351">
        <v>163220.96000000002</v>
      </c>
      <c r="N64" s="2351">
        <v>161232.53999999998</v>
      </c>
      <c r="O64" s="2351">
        <v>159565.56</v>
      </c>
      <c r="P64" s="2351">
        <v>158840.36000000002</v>
      </c>
      <c r="Q64" s="2351">
        <v>159376.41999999998</v>
      </c>
      <c r="R64" s="2352">
        <v>165208.4</v>
      </c>
      <c r="S64" s="2352">
        <v>171331.44</v>
      </c>
      <c r="T64" s="2352">
        <v>177692.62</v>
      </c>
    </row>
    <row r="65" spans="1:20" x14ac:dyDescent="0.25">
      <c r="A65" s="2350" t="s">
        <v>683</v>
      </c>
      <c r="B65" s="2350" t="s">
        <v>468</v>
      </c>
      <c r="C65" s="2350" t="s">
        <v>1019</v>
      </c>
      <c r="D65" s="2351">
        <v>146465.9</v>
      </c>
      <c r="E65" s="2351">
        <v>150387.85999999999</v>
      </c>
      <c r="F65" s="2351">
        <v>154025.62</v>
      </c>
      <c r="G65" s="2351">
        <v>157737.85999999999</v>
      </c>
      <c r="H65" s="2351">
        <v>161296.24</v>
      </c>
      <c r="I65" s="2351">
        <v>164729.18</v>
      </c>
      <c r="J65" s="2351">
        <v>167435.93999999997</v>
      </c>
      <c r="K65" s="2351">
        <v>169524.32</v>
      </c>
      <c r="L65" s="2351">
        <v>170221.09999999998</v>
      </c>
      <c r="M65" s="2351">
        <v>169741.87999999998</v>
      </c>
      <c r="N65" s="2351">
        <v>168124.88</v>
      </c>
      <c r="O65" s="2351">
        <v>166279.54</v>
      </c>
      <c r="P65" s="2351">
        <v>164061.79999999999</v>
      </c>
      <c r="Q65" s="2351">
        <v>161826.41999999998</v>
      </c>
      <c r="R65" s="2352">
        <v>159694.91999999998</v>
      </c>
      <c r="S65" s="2352">
        <v>157993.63999999998</v>
      </c>
      <c r="T65" s="2352">
        <v>156540.29999999999</v>
      </c>
    </row>
    <row r="66" spans="1:20" x14ac:dyDescent="0.25">
      <c r="A66" s="2350" t="s">
        <v>683</v>
      </c>
      <c r="B66" s="2350" t="s">
        <v>468</v>
      </c>
      <c r="C66" s="2350" t="s">
        <v>1020</v>
      </c>
      <c r="D66" s="2351">
        <v>120486.09999999999</v>
      </c>
      <c r="E66" s="2351">
        <v>124366.9</v>
      </c>
      <c r="F66" s="2351">
        <v>128341.78</v>
      </c>
      <c r="G66" s="2351">
        <v>132495.02000000002</v>
      </c>
      <c r="H66" s="2351">
        <v>136777.62</v>
      </c>
      <c r="I66" s="2351">
        <v>141188.6</v>
      </c>
      <c r="J66" s="2351">
        <v>145100.76</v>
      </c>
      <c r="K66" s="2351">
        <v>148791.44</v>
      </c>
      <c r="L66" s="2351">
        <v>152596.78</v>
      </c>
      <c r="M66" s="2351">
        <v>156313.91999999998</v>
      </c>
      <c r="N66" s="2351">
        <v>159835.06</v>
      </c>
      <c r="O66" s="2351">
        <v>162683.92000000001</v>
      </c>
      <c r="P66" s="2351">
        <v>164910.47999999998</v>
      </c>
      <c r="Q66" s="2351">
        <v>165778.76</v>
      </c>
      <c r="R66" s="2352">
        <v>165462.21999999997</v>
      </c>
      <c r="S66" s="2352">
        <v>164094.14000000001</v>
      </c>
      <c r="T66" s="2352">
        <v>162442.84</v>
      </c>
    </row>
    <row r="67" spans="1:20" x14ac:dyDescent="0.25">
      <c r="A67" s="2350" t="s">
        <v>683</v>
      </c>
      <c r="B67" s="2350" t="s">
        <v>468</v>
      </c>
      <c r="C67" s="2350" t="s">
        <v>1021</v>
      </c>
      <c r="D67" s="2351">
        <v>96192.87999999999</v>
      </c>
      <c r="E67" s="2351">
        <v>100096.21999999999</v>
      </c>
      <c r="F67" s="2351">
        <v>104030.92</v>
      </c>
      <c r="G67" s="2351">
        <v>107880.36</v>
      </c>
      <c r="H67" s="2351">
        <v>111574.95999999999</v>
      </c>
      <c r="I67" s="2351">
        <v>115185.28000000001</v>
      </c>
      <c r="J67" s="2351">
        <v>119052.35999999999</v>
      </c>
      <c r="K67" s="2351">
        <v>123049.78</v>
      </c>
      <c r="L67" s="2351">
        <v>127251.04</v>
      </c>
      <c r="M67" s="2351">
        <v>131622.82</v>
      </c>
      <c r="N67" s="2351">
        <v>136063.20000000001</v>
      </c>
      <c r="O67" s="2351">
        <v>140046.9</v>
      </c>
      <c r="P67" s="2351">
        <v>143802.26</v>
      </c>
      <c r="Q67" s="2351">
        <v>147668.35999999999</v>
      </c>
      <c r="R67" s="2352">
        <v>151423.72</v>
      </c>
      <c r="S67" s="2352">
        <v>155037.96</v>
      </c>
      <c r="T67" s="2352">
        <v>157946.6</v>
      </c>
    </row>
    <row r="68" spans="1:20" x14ac:dyDescent="0.25">
      <c r="A68" s="2350" t="s">
        <v>683</v>
      </c>
      <c r="B68" s="2350" t="s">
        <v>468</v>
      </c>
      <c r="C68" s="2350" t="s">
        <v>1022</v>
      </c>
      <c r="D68" s="2351">
        <v>68828.34</v>
      </c>
      <c r="E68" s="2351">
        <v>72704.239999999991</v>
      </c>
      <c r="F68" s="2351">
        <v>76836.900000000009</v>
      </c>
      <c r="G68" s="2351">
        <v>81231.22</v>
      </c>
      <c r="H68" s="2351">
        <v>85902.87999999999</v>
      </c>
      <c r="I68" s="2351">
        <v>90849.919999999998</v>
      </c>
      <c r="J68" s="2351">
        <v>94687.6</v>
      </c>
      <c r="K68" s="2351">
        <v>98580.160000000003</v>
      </c>
      <c r="L68" s="2351">
        <v>102419.80000000002</v>
      </c>
      <c r="M68" s="2351">
        <v>106144.78</v>
      </c>
      <c r="N68" s="2351">
        <v>109767.84000000001</v>
      </c>
      <c r="O68" s="2351">
        <v>113652.56</v>
      </c>
      <c r="P68" s="2351">
        <v>117658.79999999999</v>
      </c>
      <c r="Q68" s="2351">
        <v>121862.01999999999</v>
      </c>
      <c r="R68" s="2352">
        <v>126216.16</v>
      </c>
      <c r="S68" s="2352">
        <v>130670.25999999998</v>
      </c>
      <c r="T68" s="2352">
        <v>134642.20000000001</v>
      </c>
    </row>
    <row r="69" spans="1:20" x14ac:dyDescent="0.25">
      <c r="A69" s="2350" t="s">
        <v>683</v>
      </c>
      <c r="B69" s="2350" t="s">
        <v>468</v>
      </c>
      <c r="C69" s="2350" t="s">
        <v>1023</v>
      </c>
      <c r="D69" s="2351">
        <v>54777.100000000006</v>
      </c>
      <c r="E69" s="2351">
        <v>56160.86</v>
      </c>
      <c r="F69" s="2351">
        <v>57700.439999999995</v>
      </c>
      <c r="G69" s="2351">
        <v>59449.739999999991</v>
      </c>
      <c r="H69" s="2351">
        <v>61424.439999999988</v>
      </c>
      <c r="I69" s="2351">
        <v>63629.440000000002</v>
      </c>
      <c r="J69" s="2351">
        <v>67356.37999999999</v>
      </c>
      <c r="K69" s="2351">
        <v>71343.01999999999</v>
      </c>
      <c r="L69" s="2351">
        <v>75588.38</v>
      </c>
      <c r="M69" s="2351">
        <v>80119.899999999994</v>
      </c>
      <c r="N69" s="2351">
        <v>84902.299999999988</v>
      </c>
      <c r="O69" s="2351">
        <v>88686.079999999987</v>
      </c>
      <c r="P69" s="2351">
        <v>92524.74</v>
      </c>
      <c r="Q69" s="2351">
        <v>96317.34</v>
      </c>
      <c r="R69" s="2352">
        <v>100003.12000000001</v>
      </c>
      <c r="S69" s="2352">
        <v>103615.40000000001</v>
      </c>
      <c r="T69" s="2352">
        <v>107443.28</v>
      </c>
    </row>
    <row r="70" spans="1:20" x14ac:dyDescent="0.25">
      <c r="A70" s="2350" t="s">
        <v>683</v>
      </c>
      <c r="B70" s="2350" t="s">
        <v>468</v>
      </c>
      <c r="C70" s="2350" t="s">
        <v>1024</v>
      </c>
      <c r="D70" s="2351">
        <v>42482.999999999993</v>
      </c>
      <c r="E70" s="2351">
        <v>43799.14</v>
      </c>
      <c r="F70" s="2351">
        <v>45023.16</v>
      </c>
      <c r="G70" s="2351">
        <v>46269.72</v>
      </c>
      <c r="H70" s="2351">
        <v>47543.72</v>
      </c>
      <c r="I70" s="2351">
        <v>48823.599999999991</v>
      </c>
      <c r="J70" s="2351">
        <v>50180.899999999994</v>
      </c>
      <c r="K70" s="2351">
        <v>51692.060000000005</v>
      </c>
      <c r="L70" s="2351">
        <v>53407.06</v>
      </c>
      <c r="M70" s="2351">
        <v>55342.559999999998</v>
      </c>
      <c r="N70" s="2351">
        <v>57495.62</v>
      </c>
      <c r="O70" s="2351">
        <v>61060.86</v>
      </c>
      <c r="P70" s="2351">
        <v>64864.24</v>
      </c>
      <c r="Q70" s="2351">
        <v>68916.539999999994</v>
      </c>
      <c r="R70" s="2352">
        <v>73230.5</v>
      </c>
      <c r="S70" s="2352">
        <v>77794.36</v>
      </c>
      <c r="T70" s="2352">
        <v>81433.099999999991</v>
      </c>
    </row>
    <row r="71" spans="1:20" x14ac:dyDescent="0.25">
      <c r="A71" s="2350" t="s">
        <v>683</v>
      </c>
      <c r="B71" s="2350" t="s">
        <v>468</v>
      </c>
      <c r="C71" s="2350" t="s">
        <v>1025</v>
      </c>
      <c r="D71" s="2351">
        <v>28069.16</v>
      </c>
      <c r="E71" s="2351">
        <v>29977.219999999998</v>
      </c>
      <c r="F71" s="2351">
        <v>31859.800000000003</v>
      </c>
      <c r="G71" s="2351">
        <v>33437.599999999999</v>
      </c>
      <c r="H71" s="2351">
        <v>34661.620000000003</v>
      </c>
      <c r="I71" s="2351">
        <v>35720.019999999997</v>
      </c>
      <c r="J71" s="2351">
        <v>36942.080000000002</v>
      </c>
      <c r="K71" s="2351">
        <v>38101.42</v>
      </c>
      <c r="L71" s="2351">
        <v>39291.14</v>
      </c>
      <c r="M71" s="2351">
        <v>40520.06</v>
      </c>
      <c r="N71" s="2351">
        <v>41769.56</v>
      </c>
      <c r="O71" s="2351">
        <v>43099.42</v>
      </c>
      <c r="P71" s="2351">
        <v>44568.439999999995</v>
      </c>
      <c r="Q71" s="2351">
        <v>46225.62</v>
      </c>
      <c r="R71" s="2352">
        <v>48084.68</v>
      </c>
      <c r="S71" s="2352">
        <v>50147.579999999994</v>
      </c>
      <c r="T71" s="2352">
        <v>53443.320000000007</v>
      </c>
    </row>
    <row r="72" spans="1:20" x14ac:dyDescent="0.25">
      <c r="A72" s="2350" t="s">
        <v>683</v>
      </c>
      <c r="B72" s="2350" t="s">
        <v>468</v>
      </c>
      <c r="C72" s="2350" t="s">
        <v>1026</v>
      </c>
      <c r="D72" s="2351">
        <v>18862.059999999998</v>
      </c>
      <c r="E72" s="2351">
        <v>18446.539999999997</v>
      </c>
      <c r="F72" s="2351">
        <v>18391.66</v>
      </c>
      <c r="G72" s="2351">
        <v>18938.5</v>
      </c>
      <c r="H72" s="2351">
        <v>20141.940000000002</v>
      </c>
      <c r="I72" s="2351">
        <v>21759.920000000002</v>
      </c>
      <c r="J72" s="2351">
        <v>23324.98</v>
      </c>
      <c r="K72" s="2351">
        <v>24881.22</v>
      </c>
      <c r="L72" s="2351">
        <v>26219.9</v>
      </c>
      <c r="M72" s="2351">
        <v>27306.720000000001</v>
      </c>
      <c r="N72" s="2351">
        <v>28287.7</v>
      </c>
      <c r="O72" s="2351">
        <v>29406.86</v>
      </c>
      <c r="P72" s="2351">
        <v>30488.78</v>
      </c>
      <c r="Q72" s="2351">
        <v>31605.98</v>
      </c>
      <c r="R72" s="2352">
        <v>32760.42</v>
      </c>
      <c r="S72" s="2352">
        <v>33950.14</v>
      </c>
      <c r="T72" s="2352">
        <v>35182</v>
      </c>
    </row>
    <row r="73" spans="1:20" x14ac:dyDescent="0.25">
      <c r="A73" s="2350" t="s">
        <v>683</v>
      </c>
      <c r="B73" s="2350" t="s">
        <v>468</v>
      </c>
      <c r="C73" s="2350" t="s">
        <v>1027</v>
      </c>
      <c r="D73" s="2351">
        <v>17333.259999999998</v>
      </c>
      <c r="E73" s="2351">
        <v>18179.98</v>
      </c>
      <c r="F73" s="2351">
        <v>18909.099999999999</v>
      </c>
      <c r="G73" s="2351">
        <v>19458.88</v>
      </c>
      <c r="H73" s="2351">
        <v>19820.5</v>
      </c>
      <c r="I73" s="2351">
        <v>20066.48</v>
      </c>
      <c r="J73" s="2351">
        <v>20353.62</v>
      </c>
      <c r="K73" s="2351">
        <v>20856.36</v>
      </c>
      <c r="L73" s="2351">
        <v>21677.599999999999</v>
      </c>
      <c r="M73" s="2351">
        <v>22826.16</v>
      </c>
      <c r="N73" s="2351">
        <v>24170.720000000001</v>
      </c>
      <c r="O73" s="2351">
        <v>25455.5</v>
      </c>
      <c r="P73" s="2351">
        <v>26856.899999999998</v>
      </c>
      <c r="Q73" s="2351">
        <v>28307.3</v>
      </c>
      <c r="R73" s="2352">
        <v>29811.599999999999</v>
      </c>
      <c r="S73" s="2352">
        <v>31398.22</v>
      </c>
      <c r="T73" s="2352">
        <v>33016.199999999997</v>
      </c>
    </row>
    <row r="74" spans="1:20" x14ac:dyDescent="0.25">
      <c r="A74" s="2350" t="s">
        <v>470</v>
      </c>
      <c r="B74" s="2350" t="s">
        <v>467</v>
      </c>
      <c r="C74" s="2350" t="s">
        <v>1011</v>
      </c>
      <c r="D74" s="2351">
        <v>43536.939999999995</v>
      </c>
      <c r="E74" s="2351">
        <v>42903.9</v>
      </c>
      <c r="F74" s="2351">
        <v>42634.665000000001</v>
      </c>
      <c r="G74" s="2351">
        <v>42577.729999999996</v>
      </c>
      <c r="H74" s="2351">
        <v>42812.224999999999</v>
      </c>
      <c r="I74" s="2351">
        <v>43368.065000000002</v>
      </c>
      <c r="J74" s="2351">
        <v>44171.91</v>
      </c>
      <c r="K74" s="2351">
        <v>45042.34</v>
      </c>
      <c r="L74" s="2351">
        <v>45951.369999999995</v>
      </c>
      <c r="M74" s="2351">
        <v>46763.899999999994</v>
      </c>
      <c r="N74" s="2351">
        <v>47438.435000000005</v>
      </c>
      <c r="O74" s="2351">
        <v>47928.654999999999</v>
      </c>
      <c r="P74" s="2351">
        <v>48319.479999999996</v>
      </c>
      <c r="Q74" s="2351">
        <v>48627.315000000002</v>
      </c>
      <c r="R74" s="2352">
        <v>48856.985000000001</v>
      </c>
      <c r="S74" s="2352">
        <v>48985.329999999994</v>
      </c>
      <c r="T74" s="2352">
        <v>49000.77</v>
      </c>
    </row>
    <row r="75" spans="1:20" x14ac:dyDescent="0.25">
      <c r="A75" s="2350" t="s">
        <v>470</v>
      </c>
      <c r="B75" s="2350" t="s">
        <v>467</v>
      </c>
      <c r="C75" s="2350" t="s">
        <v>1012</v>
      </c>
      <c r="D75" s="2351">
        <v>50565.999999999993</v>
      </c>
      <c r="E75" s="2351">
        <v>49111.744999999995</v>
      </c>
      <c r="F75" s="2351">
        <v>47609.239999999991</v>
      </c>
      <c r="G75" s="2351">
        <v>46147.264999999999</v>
      </c>
      <c r="H75" s="2351">
        <v>44745.119999999995</v>
      </c>
      <c r="I75" s="2351">
        <v>43697.130000000005</v>
      </c>
      <c r="J75" s="2351">
        <v>43122.954999999994</v>
      </c>
      <c r="K75" s="2351">
        <v>42918.375</v>
      </c>
      <c r="L75" s="2351">
        <v>42923.199999999997</v>
      </c>
      <c r="M75" s="2351">
        <v>43219.455000000002</v>
      </c>
      <c r="N75" s="2351">
        <v>43822.579999999994</v>
      </c>
      <c r="O75" s="2351">
        <v>44664.05999999999</v>
      </c>
      <c r="P75" s="2351">
        <v>45568.264999999999</v>
      </c>
      <c r="Q75" s="2351">
        <v>46499.49</v>
      </c>
      <c r="R75" s="2352">
        <v>47326.494999999995</v>
      </c>
      <c r="S75" s="2352">
        <v>48013.574999999997</v>
      </c>
      <c r="T75" s="2352">
        <v>48518.27</v>
      </c>
    </row>
    <row r="76" spans="1:20" x14ac:dyDescent="0.25">
      <c r="A76" s="2350" t="s">
        <v>470</v>
      </c>
      <c r="B76" s="2350" t="s">
        <v>467</v>
      </c>
      <c r="C76" s="2350" t="s">
        <v>1013</v>
      </c>
      <c r="D76" s="2351">
        <v>54232.034999999996</v>
      </c>
      <c r="E76" s="2351">
        <v>53885.599999999999</v>
      </c>
      <c r="F76" s="2351">
        <v>53348.095000000001</v>
      </c>
      <c r="G76" s="2351">
        <v>52663.91</v>
      </c>
      <c r="H76" s="2351">
        <v>51919.894999999997</v>
      </c>
      <c r="I76" s="2351">
        <v>50857.43</v>
      </c>
      <c r="J76" s="2351">
        <v>49464.934999999998</v>
      </c>
      <c r="K76" s="2351">
        <v>48029.014999999999</v>
      </c>
      <c r="L76" s="2351">
        <v>46632.659999999996</v>
      </c>
      <c r="M76" s="2351">
        <v>45294.204999999994</v>
      </c>
      <c r="N76" s="2351">
        <v>44296.394999999997</v>
      </c>
      <c r="O76" s="2351">
        <v>43764.68</v>
      </c>
      <c r="P76" s="2351">
        <v>43589.05</v>
      </c>
      <c r="Q76" s="2351">
        <v>43614.14</v>
      </c>
      <c r="R76" s="2352">
        <v>43923.904999999992</v>
      </c>
      <c r="S76" s="2352">
        <v>44541.504999999997</v>
      </c>
      <c r="T76" s="2352">
        <v>45396.494999999995</v>
      </c>
    </row>
    <row r="77" spans="1:20" x14ac:dyDescent="0.25">
      <c r="A77" s="2350" t="s">
        <v>470</v>
      </c>
      <c r="B77" s="2350" t="s">
        <v>467</v>
      </c>
      <c r="C77" s="2350" t="s">
        <v>1014</v>
      </c>
      <c r="D77" s="2351">
        <v>56414.864999999991</v>
      </c>
      <c r="E77" s="2351">
        <v>56086.764999999999</v>
      </c>
      <c r="F77" s="2351">
        <v>55704.625</v>
      </c>
      <c r="G77" s="2351">
        <v>55196.070000000007</v>
      </c>
      <c r="H77" s="2351">
        <v>54837.09</v>
      </c>
      <c r="I77" s="2351">
        <v>54499.34</v>
      </c>
      <c r="J77" s="2351">
        <v>54216.595000000001</v>
      </c>
      <c r="K77" s="2351">
        <v>53746.64</v>
      </c>
      <c r="L77" s="2351">
        <v>53126.144999999997</v>
      </c>
      <c r="M77" s="2351">
        <v>52447.75</v>
      </c>
      <c r="N77" s="2351">
        <v>51439.324999999997</v>
      </c>
      <c r="O77" s="2351">
        <v>50088.325000000004</v>
      </c>
      <c r="P77" s="2351">
        <v>48686.18</v>
      </c>
      <c r="Q77" s="2351">
        <v>47314.915000000001</v>
      </c>
      <c r="R77" s="2352">
        <v>45994.794999999998</v>
      </c>
      <c r="S77" s="2352">
        <v>45012.424999999996</v>
      </c>
      <c r="T77" s="2352">
        <v>44494.22</v>
      </c>
    </row>
    <row r="78" spans="1:20" x14ac:dyDescent="0.25">
      <c r="A78" s="2350" t="s">
        <v>470</v>
      </c>
      <c r="B78" s="2350" t="s">
        <v>467</v>
      </c>
      <c r="C78" s="2350" t="s">
        <v>1015</v>
      </c>
      <c r="D78" s="2351">
        <v>53273.79</v>
      </c>
      <c r="E78" s="2351">
        <v>55039.739999999991</v>
      </c>
      <c r="F78" s="2351">
        <v>56631.989999999991</v>
      </c>
      <c r="G78" s="2351">
        <v>58129.67</v>
      </c>
      <c r="H78" s="2351">
        <v>58357.409999999989</v>
      </c>
      <c r="I78" s="2351">
        <v>58473.209999999992</v>
      </c>
      <c r="J78" s="2351">
        <v>58477.07</v>
      </c>
      <c r="K78" s="2351">
        <v>58435.574999999997</v>
      </c>
      <c r="L78" s="2351">
        <v>58261.875</v>
      </c>
      <c r="M78" s="2351">
        <v>58225.205000000002</v>
      </c>
      <c r="N78" s="2351">
        <v>58129.67</v>
      </c>
      <c r="O78" s="2351">
        <v>58016.764999999999</v>
      </c>
      <c r="P78" s="2351">
        <v>57667.434999999998</v>
      </c>
      <c r="Q78" s="2351">
        <v>57135.72</v>
      </c>
      <c r="R78" s="2352">
        <v>56523.91</v>
      </c>
      <c r="S78" s="2352">
        <v>55580.139999999992</v>
      </c>
      <c r="T78" s="2352">
        <v>54295.724999999999</v>
      </c>
    </row>
    <row r="79" spans="1:20" x14ac:dyDescent="0.25">
      <c r="A79" s="2350" t="s">
        <v>470</v>
      </c>
      <c r="B79" s="2350" t="s">
        <v>467</v>
      </c>
      <c r="C79" s="2350" t="s">
        <v>1016</v>
      </c>
      <c r="D79" s="2351">
        <v>50955.86</v>
      </c>
      <c r="E79" s="2351">
        <v>51266.59</v>
      </c>
      <c r="F79" s="2351">
        <v>51802.165000000001</v>
      </c>
      <c r="G79" s="2351">
        <v>52830.854999999996</v>
      </c>
      <c r="H79" s="2351">
        <v>55141.064999999995</v>
      </c>
      <c r="I79" s="2351">
        <v>57574.794999999998</v>
      </c>
      <c r="J79" s="2351">
        <v>59990.19</v>
      </c>
      <c r="K79" s="2351">
        <v>62304.260000000009</v>
      </c>
      <c r="L79" s="2351">
        <v>64511.214999999997</v>
      </c>
      <c r="M79" s="2351">
        <v>65441.474999999999</v>
      </c>
      <c r="N79" s="2351">
        <v>66133.38</v>
      </c>
      <c r="O79" s="2351">
        <v>66585</v>
      </c>
      <c r="P79" s="2351">
        <v>66877.39499999999</v>
      </c>
      <c r="Q79" s="2351">
        <v>66936.259999999995</v>
      </c>
      <c r="R79" s="2352">
        <v>67037.584999999992</v>
      </c>
      <c r="S79" s="2352">
        <v>67077.149999999994</v>
      </c>
      <c r="T79" s="2352">
        <v>67101.274999999994</v>
      </c>
    </row>
    <row r="80" spans="1:20" x14ac:dyDescent="0.25">
      <c r="A80" s="2350" t="s">
        <v>470</v>
      </c>
      <c r="B80" s="2350" t="s">
        <v>467</v>
      </c>
      <c r="C80" s="2350" t="s">
        <v>1017</v>
      </c>
      <c r="D80" s="2351">
        <v>47590.905000000006</v>
      </c>
      <c r="E80" s="2351">
        <v>49137.799999999996</v>
      </c>
      <c r="F80" s="2351">
        <v>50586.264999999999</v>
      </c>
      <c r="G80" s="2351">
        <v>51923.754999999997</v>
      </c>
      <c r="H80" s="2351">
        <v>53242.909999999996</v>
      </c>
      <c r="I80" s="2351">
        <v>54495.48</v>
      </c>
      <c r="J80" s="2351">
        <v>55371.7</v>
      </c>
      <c r="K80" s="2351">
        <v>56568.299999999996</v>
      </c>
      <c r="L80" s="2351">
        <v>58246.434999999998</v>
      </c>
      <c r="M80" s="2351">
        <v>61185.824999999997</v>
      </c>
      <c r="N80" s="2351">
        <v>64163.814999999995</v>
      </c>
      <c r="O80" s="2351">
        <v>67023.11</v>
      </c>
      <c r="P80" s="2351">
        <v>69675.895000000004</v>
      </c>
      <c r="Q80" s="2351">
        <v>72117.345000000001</v>
      </c>
      <c r="R80" s="2352">
        <v>73174.985000000001</v>
      </c>
      <c r="S80" s="2352">
        <v>73993.304999999993</v>
      </c>
      <c r="T80" s="2352">
        <v>74569.409999999989</v>
      </c>
    </row>
    <row r="81" spans="1:20" x14ac:dyDescent="0.25">
      <c r="A81" s="2350" t="s">
        <v>470</v>
      </c>
      <c r="B81" s="2350" t="s">
        <v>467</v>
      </c>
      <c r="C81" s="2350" t="s">
        <v>1018</v>
      </c>
      <c r="D81" s="2351">
        <v>43403.770000000004</v>
      </c>
      <c r="E81" s="2351">
        <v>44444.039999999994</v>
      </c>
      <c r="F81" s="2351">
        <v>45539.314999999995</v>
      </c>
      <c r="G81" s="2351">
        <v>46761.004999999997</v>
      </c>
      <c r="H81" s="2351">
        <v>48045.42</v>
      </c>
      <c r="I81" s="2351">
        <v>49507.395000000004</v>
      </c>
      <c r="J81" s="2351">
        <v>51393.004999999997</v>
      </c>
      <c r="K81" s="2351">
        <v>53250.63</v>
      </c>
      <c r="L81" s="2351">
        <v>54993.42</v>
      </c>
      <c r="M81" s="2351">
        <v>56717.875</v>
      </c>
      <c r="N81" s="2351">
        <v>58321.705000000002</v>
      </c>
      <c r="O81" s="2351">
        <v>59492.250000000007</v>
      </c>
      <c r="P81" s="2351">
        <v>60915.625</v>
      </c>
      <c r="Q81" s="2351">
        <v>62747.195</v>
      </c>
      <c r="R81" s="2352">
        <v>65763.785000000003</v>
      </c>
      <c r="S81" s="2352">
        <v>68809.324999999997</v>
      </c>
      <c r="T81" s="2352">
        <v>71738.099999999991</v>
      </c>
    </row>
    <row r="82" spans="1:20" x14ac:dyDescent="0.25">
      <c r="A82" s="2350" t="s">
        <v>470</v>
      </c>
      <c r="B82" s="2350" t="s">
        <v>467</v>
      </c>
      <c r="C82" s="2350" t="s">
        <v>1019</v>
      </c>
      <c r="D82" s="2351">
        <v>39221.46</v>
      </c>
      <c r="E82" s="2351">
        <v>40190.32</v>
      </c>
      <c r="F82" s="2351">
        <v>41173.654999999999</v>
      </c>
      <c r="G82" s="2351">
        <v>42173.395000000004</v>
      </c>
      <c r="H82" s="2351">
        <v>43184.715000000004</v>
      </c>
      <c r="I82" s="2351">
        <v>44219.195</v>
      </c>
      <c r="J82" s="2351">
        <v>45474.66</v>
      </c>
      <c r="K82" s="2351">
        <v>46831.45</v>
      </c>
      <c r="L82" s="2351">
        <v>48314.654999999999</v>
      </c>
      <c r="M82" s="2351">
        <v>49861.549999999996</v>
      </c>
      <c r="N82" s="2351">
        <v>51558.01999999999</v>
      </c>
      <c r="O82" s="2351">
        <v>53635.664999999994</v>
      </c>
      <c r="P82" s="2351">
        <v>55640.934999999998</v>
      </c>
      <c r="Q82" s="2351">
        <v>57490.84</v>
      </c>
      <c r="R82" s="2352">
        <v>59269.334999999992</v>
      </c>
      <c r="S82" s="2352">
        <v>60925.274999999994</v>
      </c>
      <c r="T82" s="2352">
        <v>62149.86</v>
      </c>
    </row>
    <row r="83" spans="1:20" x14ac:dyDescent="0.25">
      <c r="A83" s="2350" t="s">
        <v>470</v>
      </c>
      <c r="B83" s="2350" t="s">
        <v>467</v>
      </c>
      <c r="C83" s="2350" t="s">
        <v>1020</v>
      </c>
      <c r="D83" s="2351">
        <v>34958.089999999997</v>
      </c>
      <c r="E83" s="2351">
        <v>35637.449999999997</v>
      </c>
      <c r="F83" s="2351">
        <v>36351.550000000003</v>
      </c>
      <c r="G83" s="2351">
        <v>37159.254999999997</v>
      </c>
      <c r="H83" s="2351">
        <v>38074.074999999997</v>
      </c>
      <c r="I83" s="2351">
        <v>39080.57</v>
      </c>
      <c r="J83" s="2351">
        <v>40162.335000000006</v>
      </c>
      <c r="K83" s="2351">
        <v>41285.595000000001</v>
      </c>
      <c r="L83" s="2351">
        <v>42428.154999999999</v>
      </c>
      <c r="M83" s="2351">
        <v>43582.294999999998</v>
      </c>
      <c r="N83" s="2351">
        <v>44746.084999999992</v>
      </c>
      <c r="O83" s="2351">
        <v>46108.665000000001</v>
      </c>
      <c r="P83" s="2351">
        <v>47547.479999999996</v>
      </c>
      <c r="Q83" s="2351">
        <v>49090.514999999999</v>
      </c>
      <c r="R83" s="2352">
        <v>50665.394999999997</v>
      </c>
      <c r="S83" s="2352">
        <v>52383.094999999994</v>
      </c>
      <c r="T83" s="2352">
        <v>54474.25</v>
      </c>
    </row>
    <row r="84" spans="1:20" x14ac:dyDescent="0.25">
      <c r="A84" s="2350" t="s">
        <v>470</v>
      </c>
      <c r="B84" s="2350" t="s">
        <v>467</v>
      </c>
      <c r="C84" s="2350" t="s">
        <v>1021</v>
      </c>
      <c r="D84" s="2351">
        <v>29648.659999999996</v>
      </c>
      <c r="E84" s="2351">
        <v>30679.279999999999</v>
      </c>
      <c r="F84" s="2351">
        <v>31638.489999999998</v>
      </c>
      <c r="G84" s="2351">
        <v>32514.710000000003</v>
      </c>
      <c r="H84" s="2351">
        <v>33306.01</v>
      </c>
      <c r="I84" s="2351">
        <v>34027.83</v>
      </c>
      <c r="J84" s="2351">
        <v>34773.774999999994</v>
      </c>
      <c r="K84" s="2351">
        <v>35570.864999999998</v>
      </c>
      <c r="L84" s="2351">
        <v>36457.699999999997</v>
      </c>
      <c r="M84" s="2351">
        <v>37452.614999999998</v>
      </c>
      <c r="N84" s="2351">
        <v>38530.519999999997</v>
      </c>
      <c r="O84" s="2351">
        <v>39671.15</v>
      </c>
      <c r="P84" s="2351">
        <v>40839.764999999999</v>
      </c>
      <c r="Q84" s="2351">
        <v>42016.099999999991</v>
      </c>
      <c r="R84" s="2352">
        <v>43189.539999999994</v>
      </c>
      <c r="S84" s="2352">
        <v>44366.84</v>
      </c>
      <c r="T84" s="2352">
        <v>45736.175000000003</v>
      </c>
    </row>
    <row r="85" spans="1:20" x14ac:dyDescent="0.25">
      <c r="A85" s="2350" t="s">
        <v>470</v>
      </c>
      <c r="B85" s="2350" t="s">
        <v>467</v>
      </c>
      <c r="C85" s="2350" t="s">
        <v>1022</v>
      </c>
      <c r="D85" s="2351">
        <v>22916.819999999996</v>
      </c>
      <c r="E85" s="2351">
        <v>23927.175000000003</v>
      </c>
      <c r="F85" s="2351">
        <v>24959.724999999999</v>
      </c>
      <c r="G85" s="2351">
        <v>25993.239999999998</v>
      </c>
      <c r="H85" s="2351">
        <v>27025.789999999997</v>
      </c>
      <c r="I85" s="2351">
        <v>28058.34</v>
      </c>
      <c r="J85" s="2351">
        <v>29098.61</v>
      </c>
      <c r="K85" s="2351">
        <v>30079.05</v>
      </c>
      <c r="L85" s="2351">
        <v>30984.22</v>
      </c>
      <c r="M85" s="2351">
        <v>31805.434999999998</v>
      </c>
      <c r="N85" s="2351">
        <v>32565.855000000003</v>
      </c>
      <c r="O85" s="2351">
        <v>33345.575000000004</v>
      </c>
      <c r="P85" s="2351">
        <v>34169.684999999998</v>
      </c>
      <c r="Q85" s="2351">
        <v>35078.714999999997</v>
      </c>
      <c r="R85" s="2352">
        <v>36081.35</v>
      </c>
      <c r="S85" s="2352">
        <v>37156.359999999993</v>
      </c>
      <c r="T85" s="2352">
        <v>38289.269999999997</v>
      </c>
    </row>
    <row r="86" spans="1:20" x14ac:dyDescent="0.25">
      <c r="A86" s="2350" t="s">
        <v>470</v>
      </c>
      <c r="B86" s="2350" t="s">
        <v>467</v>
      </c>
      <c r="C86" s="2350" t="s">
        <v>1023</v>
      </c>
      <c r="D86" s="2351">
        <v>16732.134999999998</v>
      </c>
      <c r="E86" s="2351">
        <v>17395.089999999997</v>
      </c>
      <c r="F86" s="2351">
        <v>18111.12</v>
      </c>
      <c r="G86" s="2351">
        <v>18914.965</v>
      </c>
      <c r="H86" s="2351">
        <v>19812.415000000001</v>
      </c>
      <c r="I86" s="2351">
        <v>20788.030000000002</v>
      </c>
      <c r="J86" s="2351">
        <v>21754.959999999999</v>
      </c>
      <c r="K86" s="2351">
        <v>22751.805</v>
      </c>
      <c r="L86" s="2351">
        <v>23747.684999999998</v>
      </c>
      <c r="M86" s="2351">
        <v>24748.390000000003</v>
      </c>
      <c r="N86" s="2351">
        <v>25753.919999999998</v>
      </c>
      <c r="O86" s="2351">
        <v>26765.24</v>
      </c>
      <c r="P86" s="2351">
        <v>27727.344999999998</v>
      </c>
      <c r="Q86" s="2351">
        <v>28621.9</v>
      </c>
      <c r="R86" s="2352">
        <v>29438.29</v>
      </c>
      <c r="S86" s="2352">
        <v>30194.849999999995</v>
      </c>
      <c r="T86" s="2352">
        <v>30966.850000000002</v>
      </c>
    </row>
    <row r="87" spans="1:20" x14ac:dyDescent="0.25">
      <c r="A87" s="2350" t="s">
        <v>470</v>
      </c>
      <c r="B87" s="2350" t="s">
        <v>467</v>
      </c>
      <c r="C87" s="2350" t="s">
        <v>1024</v>
      </c>
      <c r="D87" s="2351">
        <v>11071.445</v>
      </c>
      <c r="E87" s="2351">
        <v>11722.819999999998</v>
      </c>
      <c r="F87" s="2351">
        <v>12379.984999999999</v>
      </c>
      <c r="G87" s="2351">
        <v>13017.849999999999</v>
      </c>
      <c r="H87" s="2351">
        <v>13629.66</v>
      </c>
      <c r="I87" s="2351">
        <v>14226.994999999997</v>
      </c>
      <c r="J87" s="2351">
        <v>14838.805</v>
      </c>
      <c r="K87" s="2351">
        <v>15500.795</v>
      </c>
      <c r="L87" s="2351">
        <v>16239.984999999999</v>
      </c>
      <c r="M87" s="2351">
        <v>17060.235000000001</v>
      </c>
      <c r="N87" s="2351">
        <v>17954.79</v>
      </c>
      <c r="O87" s="2351">
        <v>18845.485000000001</v>
      </c>
      <c r="P87" s="2351">
        <v>19766.094999999998</v>
      </c>
      <c r="Q87" s="2351">
        <v>20698.284999999996</v>
      </c>
      <c r="R87" s="2352">
        <v>21635.3</v>
      </c>
      <c r="S87" s="2352">
        <v>22573.279999999999</v>
      </c>
      <c r="T87" s="2352">
        <v>23517.05</v>
      </c>
    </row>
    <row r="88" spans="1:20" x14ac:dyDescent="0.25">
      <c r="A88" s="2350" t="s">
        <v>470</v>
      </c>
      <c r="B88" s="2350" t="s">
        <v>467</v>
      </c>
      <c r="C88" s="2350" t="s">
        <v>1025</v>
      </c>
      <c r="D88" s="2351">
        <v>6577.44</v>
      </c>
      <c r="E88" s="2351">
        <v>6897.82</v>
      </c>
      <c r="F88" s="2351">
        <v>7259.6949999999997</v>
      </c>
      <c r="G88" s="2351">
        <v>7670.7849999999999</v>
      </c>
      <c r="H88" s="2351">
        <v>8136.88</v>
      </c>
      <c r="I88" s="2351">
        <v>8653.1550000000007</v>
      </c>
      <c r="J88" s="2351">
        <v>9199.3450000000012</v>
      </c>
      <c r="K88" s="2351">
        <v>9752.2900000000009</v>
      </c>
      <c r="L88" s="2351">
        <v>10294.620000000001</v>
      </c>
      <c r="M88" s="2351">
        <v>10817.65</v>
      </c>
      <c r="N88" s="2351">
        <v>11332.96</v>
      </c>
      <c r="O88" s="2351">
        <v>11869.5</v>
      </c>
      <c r="P88" s="2351">
        <v>12455.255000000001</v>
      </c>
      <c r="Q88" s="2351">
        <v>13109.525</v>
      </c>
      <c r="R88" s="2352">
        <v>13832.310000000001</v>
      </c>
      <c r="S88" s="2352">
        <v>14612.029999999999</v>
      </c>
      <c r="T88" s="2352">
        <v>15388.855000000001</v>
      </c>
    </row>
    <row r="89" spans="1:20" x14ac:dyDescent="0.25">
      <c r="A89" s="2350" t="s">
        <v>470</v>
      </c>
      <c r="B89" s="2350" t="s">
        <v>467</v>
      </c>
      <c r="C89" s="2350" t="s">
        <v>1026</v>
      </c>
      <c r="D89" s="2351">
        <v>3602.3450000000003</v>
      </c>
      <c r="E89" s="2351">
        <v>3765.4299999999994</v>
      </c>
      <c r="F89" s="2351">
        <v>3940.0950000000003</v>
      </c>
      <c r="G89" s="2351">
        <v>4135.0249999999996</v>
      </c>
      <c r="H89" s="2351">
        <v>4345.3949999999995</v>
      </c>
      <c r="I89" s="2351">
        <v>4571.2049999999999</v>
      </c>
      <c r="J89" s="2351">
        <v>4821.1400000000003</v>
      </c>
      <c r="K89" s="2351">
        <v>5100.99</v>
      </c>
      <c r="L89" s="2351">
        <v>5418.4749999999995</v>
      </c>
      <c r="M89" s="2351">
        <v>5776.49</v>
      </c>
      <c r="N89" s="2351">
        <v>6175.0349999999999</v>
      </c>
      <c r="O89" s="2351">
        <v>6599.6350000000002</v>
      </c>
      <c r="P89" s="2351">
        <v>7034.8499999999995</v>
      </c>
      <c r="Q89" s="2351">
        <v>7468.1350000000002</v>
      </c>
      <c r="R89" s="2352">
        <v>7888.8749999999991</v>
      </c>
      <c r="S89" s="2352">
        <v>8307.6849999999995</v>
      </c>
      <c r="T89" s="2352">
        <v>8742.9</v>
      </c>
    </row>
    <row r="90" spans="1:20" x14ac:dyDescent="0.25">
      <c r="A90" s="2350" t="s">
        <v>470</v>
      </c>
      <c r="B90" s="2350" t="s">
        <v>467</v>
      </c>
      <c r="C90" s="2350" t="s">
        <v>1027</v>
      </c>
      <c r="D90" s="2351">
        <v>2243.625</v>
      </c>
      <c r="E90" s="2351">
        <v>2375.83</v>
      </c>
      <c r="F90" s="2351">
        <v>2514.79</v>
      </c>
      <c r="G90" s="2351">
        <v>2656.645</v>
      </c>
      <c r="H90" s="2351">
        <v>2804.29</v>
      </c>
      <c r="I90" s="2351">
        <v>2960.62</v>
      </c>
      <c r="J90" s="2351">
        <v>3126.6</v>
      </c>
      <c r="K90" s="2351">
        <v>3305.125</v>
      </c>
      <c r="L90" s="2351">
        <v>3497.16</v>
      </c>
      <c r="M90" s="2351">
        <v>3701.74</v>
      </c>
      <c r="N90" s="2351">
        <v>3922.7249999999999</v>
      </c>
      <c r="O90" s="2351">
        <v>4165.9049999999997</v>
      </c>
      <c r="P90" s="2351">
        <v>4439</v>
      </c>
      <c r="Q90" s="2351">
        <v>4742.9749999999995</v>
      </c>
      <c r="R90" s="2352">
        <v>5080.7249999999995</v>
      </c>
      <c r="S90" s="2352">
        <v>5448.3899999999994</v>
      </c>
      <c r="T90" s="2352">
        <v>5842.11</v>
      </c>
    </row>
    <row r="91" spans="1:20" x14ac:dyDescent="0.25">
      <c r="A91" s="2350" t="s">
        <v>470</v>
      </c>
      <c r="B91" s="2350" t="s">
        <v>468</v>
      </c>
      <c r="C91" s="2350" t="s">
        <v>1011</v>
      </c>
      <c r="D91" s="2351">
        <v>41977.919999999998</v>
      </c>
      <c r="E91" s="2351">
        <v>41369.279999999999</v>
      </c>
      <c r="F91" s="2351">
        <v>41110.080000000002</v>
      </c>
      <c r="G91" s="2351">
        <v>41049.599999999999</v>
      </c>
      <c r="H91" s="2351">
        <v>41266.559999999998</v>
      </c>
      <c r="I91" s="2351">
        <v>41787.839999999997</v>
      </c>
      <c r="J91" s="2351">
        <v>42540.480000000003</v>
      </c>
      <c r="K91" s="2351">
        <v>43364.160000000003</v>
      </c>
      <c r="L91" s="2351">
        <v>44227.19999999999</v>
      </c>
      <c r="M91" s="2351">
        <v>45001.919999999998</v>
      </c>
      <c r="N91" s="2351">
        <v>45651.839999999997</v>
      </c>
      <c r="O91" s="2351">
        <v>46125.119999999995</v>
      </c>
      <c r="P91" s="2351">
        <v>46498.559999999998</v>
      </c>
      <c r="Q91" s="2351">
        <v>46789.440000000002</v>
      </c>
      <c r="R91" s="2352">
        <v>47000.639999999999</v>
      </c>
      <c r="S91" s="2352">
        <v>47114.880000000005</v>
      </c>
      <c r="T91" s="2352">
        <v>47119.680000000008</v>
      </c>
    </row>
    <row r="92" spans="1:20" x14ac:dyDescent="0.25">
      <c r="A92" s="2350" t="s">
        <v>470</v>
      </c>
      <c r="B92" s="2350" t="s">
        <v>468</v>
      </c>
      <c r="C92" s="2350" t="s">
        <v>1012</v>
      </c>
      <c r="D92" s="2351">
        <v>48671.999999999993</v>
      </c>
      <c r="E92" s="2351">
        <v>47266.559999999998</v>
      </c>
      <c r="F92" s="2351">
        <v>45812.159999999996</v>
      </c>
      <c r="G92" s="2351">
        <v>44391.360000000001</v>
      </c>
      <c r="H92" s="2351">
        <v>43021.439999999995</v>
      </c>
      <c r="I92" s="2351">
        <v>41982.720000000001</v>
      </c>
      <c r="J92" s="2351">
        <v>41399.040000000001</v>
      </c>
      <c r="K92" s="2351">
        <v>41163.839999999997</v>
      </c>
      <c r="L92" s="2351">
        <v>41127.359999999993</v>
      </c>
      <c r="M92" s="2351">
        <v>41365.439999999995</v>
      </c>
      <c r="N92" s="2351">
        <v>41905.919999999998</v>
      </c>
      <c r="O92" s="2351">
        <v>42683.519999999997</v>
      </c>
      <c r="P92" s="2351">
        <v>43526.400000000001</v>
      </c>
      <c r="Q92" s="2351">
        <v>44408.639999999999</v>
      </c>
      <c r="R92" s="2352">
        <v>45199.68</v>
      </c>
      <c r="S92" s="2352">
        <v>45864</v>
      </c>
      <c r="T92" s="2352">
        <v>46350.720000000001</v>
      </c>
    </row>
    <row r="93" spans="1:20" x14ac:dyDescent="0.25">
      <c r="A93" s="2350" t="s">
        <v>470</v>
      </c>
      <c r="B93" s="2350" t="s">
        <v>468</v>
      </c>
      <c r="C93" s="2350" t="s">
        <v>1013</v>
      </c>
      <c r="D93" s="2351">
        <v>52211.520000000004</v>
      </c>
      <c r="E93" s="2351">
        <v>51848.639999999999</v>
      </c>
      <c r="F93" s="2351">
        <v>51302.400000000001</v>
      </c>
      <c r="G93" s="2351">
        <v>50614.079999999994</v>
      </c>
      <c r="H93" s="2351">
        <v>49864.32</v>
      </c>
      <c r="I93" s="2351">
        <v>48803.520000000004</v>
      </c>
      <c r="J93" s="2351">
        <v>47419.199999999997</v>
      </c>
      <c r="K93" s="2351">
        <v>45985.919999999998</v>
      </c>
      <c r="L93" s="2351">
        <v>44584.320000000007</v>
      </c>
      <c r="M93" s="2351">
        <v>43236.479999999996</v>
      </c>
      <c r="N93" s="2351">
        <v>42220.800000000003</v>
      </c>
      <c r="O93" s="2351">
        <v>41657.279999999999</v>
      </c>
      <c r="P93" s="2351">
        <v>41442.239999999998</v>
      </c>
      <c r="Q93" s="2351">
        <v>41422.079999999994</v>
      </c>
      <c r="R93" s="2352">
        <v>41677.439999999995</v>
      </c>
      <c r="S93" s="2352">
        <v>42231.360000000001</v>
      </c>
      <c r="T93" s="2352">
        <v>43019.520000000004</v>
      </c>
    </row>
    <row r="94" spans="1:20" x14ac:dyDescent="0.25">
      <c r="A94" s="2350" t="s">
        <v>470</v>
      </c>
      <c r="B94" s="2350" t="s">
        <v>468</v>
      </c>
      <c r="C94" s="2350" t="s">
        <v>1014</v>
      </c>
      <c r="D94" s="2351">
        <v>53988.479999999996</v>
      </c>
      <c r="E94" s="2351">
        <v>53711.039999999994</v>
      </c>
      <c r="F94" s="2351">
        <v>53384.639999999999</v>
      </c>
      <c r="G94" s="2351">
        <v>53150.400000000001</v>
      </c>
      <c r="H94" s="2351">
        <v>52738.559999999998</v>
      </c>
      <c r="I94" s="2351">
        <v>52349.760000000002</v>
      </c>
      <c r="J94" s="2351">
        <v>52009.919999999998</v>
      </c>
      <c r="K94" s="2351">
        <v>51487.680000000008</v>
      </c>
      <c r="L94" s="2351">
        <v>50821.440000000002</v>
      </c>
      <c r="M94" s="2351">
        <v>50095.679999999993</v>
      </c>
      <c r="N94" s="2351">
        <v>49061.759999999995</v>
      </c>
      <c r="O94" s="2351">
        <v>47700.479999999996</v>
      </c>
      <c r="P94" s="2351">
        <v>46289.279999999999</v>
      </c>
      <c r="Q94" s="2351">
        <v>44908.800000000003</v>
      </c>
      <c r="R94" s="2352">
        <v>43580.160000000003</v>
      </c>
      <c r="S94" s="2352">
        <v>42581.760000000002</v>
      </c>
      <c r="T94" s="2352">
        <v>42032.639999999999</v>
      </c>
    </row>
    <row r="95" spans="1:20" x14ac:dyDescent="0.25">
      <c r="A95" s="2350" t="s">
        <v>470</v>
      </c>
      <c r="B95" s="2350" t="s">
        <v>468</v>
      </c>
      <c r="C95" s="2350" t="s">
        <v>1015</v>
      </c>
      <c r="D95" s="2351">
        <v>49160.639999999999</v>
      </c>
      <c r="E95" s="2351">
        <v>51097.919999999998</v>
      </c>
      <c r="F95" s="2351">
        <v>52859.520000000004</v>
      </c>
      <c r="G95" s="2351">
        <v>54264.959999999992</v>
      </c>
      <c r="H95" s="2351">
        <v>54605.759999999995</v>
      </c>
      <c r="I95" s="2351">
        <v>54752.639999999992</v>
      </c>
      <c r="J95" s="2351">
        <v>54567.360000000001</v>
      </c>
      <c r="K95" s="2351">
        <v>54332.159999999996</v>
      </c>
      <c r="L95" s="2351">
        <v>54190.079999999994</v>
      </c>
      <c r="M95" s="2351">
        <v>53874.239999999998</v>
      </c>
      <c r="N95" s="2351">
        <v>53577.599999999991</v>
      </c>
      <c r="O95" s="2351">
        <v>53329.919999999998</v>
      </c>
      <c r="P95" s="2351">
        <v>52890.239999999998</v>
      </c>
      <c r="Q95" s="2351">
        <v>52296.959999999999</v>
      </c>
      <c r="R95" s="2352">
        <v>51638.400000000009</v>
      </c>
      <c r="S95" s="2352">
        <v>50667.839999999997</v>
      </c>
      <c r="T95" s="2352">
        <v>49366.080000000002</v>
      </c>
    </row>
    <row r="96" spans="1:20" x14ac:dyDescent="0.25">
      <c r="A96" s="2350" t="s">
        <v>470</v>
      </c>
      <c r="B96" s="2350" t="s">
        <v>468</v>
      </c>
      <c r="C96" s="2350" t="s">
        <v>1016</v>
      </c>
      <c r="D96" s="2351">
        <v>47452.799999999996</v>
      </c>
      <c r="E96" s="2351">
        <v>47496</v>
      </c>
      <c r="F96" s="2351">
        <v>47612.160000000003</v>
      </c>
      <c r="G96" s="2351">
        <v>48024.959999999999</v>
      </c>
      <c r="H96" s="2351">
        <v>49599.360000000001</v>
      </c>
      <c r="I96" s="2351">
        <v>51183.359999999993</v>
      </c>
      <c r="J96" s="2351">
        <v>53323.199999999997</v>
      </c>
      <c r="K96" s="2351">
        <v>55303.679999999993</v>
      </c>
      <c r="L96" s="2351">
        <v>56934.720000000001</v>
      </c>
      <c r="M96" s="2351">
        <v>57513.599999999991</v>
      </c>
      <c r="N96" s="2351">
        <v>57906.239999999998</v>
      </c>
      <c r="O96" s="2351">
        <v>57956.159999999996</v>
      </c>
      <c r="P96" s="2351">
        <v>57937.919999999998</v>
      </c>
      <c r="Q96" s="2351">
        <v>57989.759999999995</v>
      </c>
      <c r="R96" s="2352">
        <v>57851.51999999999</v>
      </c>
      <c r="S96" s="2352">
        <v>57719.039999999994</v>
      </c>
      <c r="T96" s="2352">
        <v>57621.120000000003</v>
      </c>
    </row>
    <row r="97" spans="1:20" x14ac:dyDescent="0.25">
      <c r="A97" s="2350" t="s">
        <v>470</v>
      </c>
      <c r="B97" s="2350" t="s">
        <v>468</v>
      </c>
      <c r="C97" s="2350" t="s">
        <v>1017</v>
      </c>
      <c r="D97" s="2351">
        <v>45956.160000000003</v>
      </c>
      <c r="E97" s="2351">
        <v>46571.51999999999</v>
      </c>
      <c r="F97" s="2351">
        <v>47288.639999999992</v>
      </c>
      <c r="G97" s="2351">
        <v>47959.679999999993</v>
      </c>
      <c r="H97" s="2351">
        <v>48573.119999999995</v>
      </c>
      <c r="I97" s="2351">
        <v>49170.239999999998</v>
      </c>
      <c r="J97" s="2351">
        <v>49409.279999999999</v>
      </c>
      <c r="K97" s="2351">
        <v>49742.400000000001</v>
      </c>
      <c r="L97" s="2351">
        <v>50382.719999999994</v>
      </c>
      <c r="M97" s="2351">
        <v>52192.32</v>
      </c>
      <c r="N97" s="2351">
        <v>54025.919999999998</v>
      </c>
      <c r="O97" s="2351">
        <v>56400</v>
      </c>
      <c r="P97" s="2351">
        <v>58593.599999999999</v>
      </c>
      <c r="Q97" s="2351">
        <v>60424.319999999992</v>
      </c>
      <c r="R97" s="2352">
        <v>61193.279999999999</v>
      </c>
      <c r="S97" s="2352">
        <v>61754.87999999999</v>
      </c>
      <c r="T97" s="2352">
        <v>61953.599999999999</v>
      </c>
    </row>
    <row r="98" spans="1:20" x14ac:dyDescent="0.25">
      <c r="A98" s="2350" t="s">
        <v>470</v>
      </c>
      <c r="B98" s="2350" t="s">
        <v>468</v>
      </c>
      <c r="C98" s="2350" t="s">
        <v>1018</v>
      </c>
      <c r="D98" s="2351">
        <v>45204.479999999996</v>
      </c>
      <c r="E98" s="2351">
        <v>45443.520000000004</v>
      </c>
      <c r="F98" s="2351">
        <v>45675.839999999997</v>
      </c>
      <c r="G98" s="2351">
        <v>45936</v>
      </c>
      <c r="H98" s="2351">
        <v>46252.799999999996</v>
      </c>
      <c r="I98" s="2351">
        <v>46632</v>
      </c>
      <c r="J98" s="2351">
        <v>47348.160000000003</v>
      </c>
      <c r="K98" s="2351">
        <v>48190.079999999994</v>
      </c>
      <c r="L98" s="2351">
        <v>48995.519999999997</v>
      </c>
      <c r="M98" s="2351">
        <v>49758.720000000001</v>
      </c>
      <c r="N98" s="2351">
        <v>50522.87999999999</v>
      </c>
      <c r="O98" s="2351">
        <v>50924.159999999996</v>
      </c>
      <c r="P98" s="2351">
        <v>51399.360000000001</v>
      </c>
      <c r="Q98" s="2351">
        <v>52169.279999999999</v>
      </c>
      <c r="R98" s="2352">
        <v>54084.479999999996</v>
      </c>
      <c r="S98" s="2352">
        <v>56013.12000000001</v>
      </c>
      <c r="T98" s="2352">
        <v>58462.079999999994</v>
      </c>
    </row>
    <row r="99" spans="1:20" x14ac:dyDescent="0.25">
      <c r="A99" s="2350" t="s">
        <v>470</v>
      </c>
      <c r="B99" s="2350" t="s">
        <v>468</v>
      </c>
      <c r="C99" s="2350" t="s">
        <v>1019</v>
      </c>
      <c r="D99" s="2351">
        <v>41533.439999999995</v>
      </c>
      <c r="E99" s="2351">
        <v>42408</v>
      </c>
      <c r="F99" s="2351">
        <v>43248.959999999992</v>
      </c>
      <c r="G99" s="2351">
        <v>44017.919999999998</v>
      </c>
      <c r="H99" s="2351">
        <v>44706.240000000005</v>
      </c>
      <c r="I99" s="2351">
        <v>45330.239999999998</v>
      </c>
      <c r="J99" s="2351">
        <v>45636.479999999996</v>
      </c>
      <c r="K99" s="2351">
        <v>45955.199999999997</v>
      </c>
      <c r="L99" s="2351">
        <v>46309.440000000002</v>
      </c>
      <c r="M99" s="2351">
        <v>46736.639999999999</v>
      </c>
      <c r="N99" s="2351">
        <v>47239.679999999993</v>
      </c>
      <c r="O99" s="2351">
        <v>48071.999999999993</v>
      </c>
      <c r="P99" s="2351">
        <v>49009.919999999998</v>
      </c>
      <c r="Q99" s="2351">
        <v>49907.519999999997</v>
      </c>
      <c r="R99" s="2352">
        <v>50751.360000000001</v>
      </c>
      <c r="S99" s="2352">
        <v>51583.68</v>
      </c>
      <c r="T99" s="2352">
        <v>52043.51999999999</v>
      </c>
    </row>
    <row r="100" spans="1:20" x14ac:dyDescent="0.25">
      <c r="A100" s="2350" t="s">
        <v>470</v>
      </c>
      <c r="B100" s="2350" t="s">
        <v>468</v>
      </c>
      <c r="C100" s="2350" t="s">
        <v>1020</v>
      </c>
      <c r="D100" s="2351">
        <v>37535.039999999994</v>
      </c>
      <c r="E100" s="2351">
        <v>38136</v>
      </c>
      <c r="F100" s="2351">
        <v>38780.159999999996</v>
      </c>
      <c r="G100" s="2351">
        <v>39498.239999999998</v>
      </c>
      <c r="H100" s="2351">
        <v>40305.599999999999</v>
      </c>
      <c r="I100" s="2351">
        <v>41180.159999999996</v>
      </c>
      <c r="J100" s="2351">
        <v>42087.360000000001</v>
      </c>
      <c r="K100" s="2351">
        <v>42976.319999999992</v>
      </c>
      <c r="L100" s="2351">
        <v>43800</v>
      </c>
      <c r="M100" s="2351">
        <v>44553.599999999999</v>
      </c>
      <c r="N100" s="2351">
        <v>45253.439999999995</v>
      </c>
      <c r="O100" s="2351">
        <v>45639.360000000001</v>
      </c>
      <c r="P100" s="2351">
        <v>46023.360000000001</v>
      </c>
      <c r="Q100" s="2351">
        <v>46436.160000000003</v>
      </c>
      <c r="R100" s="2352">
        <v>46915.199999999997</v>
      </c>
      <c r="S100" s="2352">
        <v>47457.600000000006</v>
      </c>
      <c r="T100" s="2352">
        <v>48315.839999999997</v>
      </c>
    </row>
    <row r="101" spans="1:20" x14ac:dyDescent="0.25">
      <c r="A101" s="2350" t="s">
        <v>470</v>
      </c>
      <c r="B101" s="2350" t="s">
        <v>468</v>
      </c>
      <c r="C101" s="2350" t="s">
        <v>1021</v>
      </c>
      <c r="D101" s="2351">
        <v>33041.279999999999</v>
      </c>
      <c r="E101" s="2351">
        <v>33910.080000000002</v>
      </c>
      <c r="F101" s="2351">
        <v>34710.719999999994</v>
      </c>
      <c r="G101" s="2351">
        <v>35459.519999999997</v>
      </c>
      <c r="H101" s="2351">
        <v>36145.919999999998</v>
      </c>
      <c r="I101" s="2351">
        <v>36779.519999999997</v>
      </c>
      <c r="J101" s="2351">
        <v>37410.239999999998</v>
      </c>
      <c r="K101" s="2351">
        <v>38089.919999999998</v>
      </c>
      <c r="L101" s="2351">
        <v>38850.239999999998</v>
      </c>
      <c r="M101" s="2351">
        <v>39703.68</v>
      </c>
      <c r="N101" s="2351">
        <v>40631.039999999994</v>
      </c>
      <c r="O101" s="2351">
        <v>41588.159999999996</v>
      </c>
      <c r="P101" s="2351">
        <v>42514.559999999998</v>
      </c>
      <c r="Q101" s="2351">
        <v>43373.759999999995</v>
      </c>
      <c r="R101" s="2352">
        <v>44154.239999999998</v>
      </c>
      <c r="S101" s="2352">
        <v>44876.159999999989</v>
      </c>
      <c r="T101" s="2352">
        <v>45284.160000000003</v>
      </c>
    </row>
    <row r="102" spans="1:20" x14ac:dyDescent="0.25">
      <c r="A102" s="2350" t="s">
        <v>470</v>
      </c>
      <c r="B102" s="2350" t="s">
        <v>468</v>
      </c>
      <c r="C102" s="2350" t="s">
        <v>1022</v>
      </c>
      <c r="D102" s="2351">
        <v>26516.160000000003</v>
      </c>
      <c r="E102" s="2351">
        <v>27696</v>
      </c>
      <c r="F102" s="2351">
        <v>28861.440000000002</v>
      </c>
      <c r="G102" s="2351">
        <v>29956.800000000003</v>
      </c>
      <c r="H102" s="2351">
        <v>30973.439999999999</v>
      </c>
      <c r="I102" s="2351">
        <v>31920</v>
      </c>
      <c r="J102" s="2351">
        <v>32802.240000000005</v>
      </c>
      <c r="K102" s="2351">
        <v>33627.839999999997</v>
      </c>
      <c r="L102" s="2351">
        <v>34404.479999999996</v>
      </c>
      <c r="M102" s="2351">
        <v>35128.319999999992</v>
      </c>
      <c r="N102" s="2351">
        <v>35808</v>
      </c>
      <c r="O102" s="2351">
        <v>36478.079999999994</v>
      </c>
      <c r="P102" s="2351">
        <v>37189.440000000002</v>
      </c>
      <c r="Q102" s="2351">
        <v>37970.880000000005</v>
      </c>
      <c r="R102" s="2352">
        <v>38838.720000000001</v>
      </c>
      <c r="S102" s="2352">
        <v>39771.839999999997</v>
      </c>
      <c r="T102" s="2352">
        <v>40730.879999999997</v>
      </c>
    </row>
    <row r="103" spans="1:20" x14ac:dyDescent="0.25">
      <c r="A103" s="2350" t="s">
        <v>470</v>
      </c>
      <c r="B103" s="2350" t="s">
        <v>468</v>
      </c>
      <c r="C103" s="2350" t="s">
        <v>1023</v>
      </c>
      <c r="D103" s="2351">
        <v>20614.079999999998</v>
      </c>
      <c r="E103" s="2351">
        <v>21320.639999999999</v>
      </c>
      <c r="F103" s="2351">
        <v>22096.32</v>
      </c>
      <c r="G103" s="2351">
        <v>22984.319999999996</v>
      </c>
      <c r="H103" s="2351">
        <v>23998.079999999998</v>
      </c>
      <c r="I103" s="2351">
        <v>25107.839999999997</v>
      </c>
      <c r="J103" s="2351">
        <v>26274.239999999998</v>
      </c>
      <c r="K103" s="2351">
        <v>27432</v>
      </c>
      <c r="L103" s="2351">
        <v>28528.32</v>
      </c>
      <c r="M103" s="2351">
        <v>29555.52</v>
      </c>
      <c r="N103" s="2351">
        <v>30524.159999999996</v>
      </c>
      <c r="O103" s="2351">
        <v>31425.599999999999</v>
      </c>
      <c r="P103" s="2351">
        <v>32266.560000000001</v>
      </c>
      <c r="Q103" s="2351">
        <v>33054.720000000001</v>
      </c>
      <c r="R103" s="2352">
        <v>33785.279999999999</v>
      </c>
      <c r="S103" s="2352">
        <v>34468.799999999996</v>
      </c>
      <c r="T103" s="2352">
        <v>35142.720000000001</v>
      </c>
    </row>
    <row r="104" spans="1:20" x14ac:dyDescent="0.25">
      <c r="A104" s="2350" t="s">
        <v>470</v>
      </c>
      <c r="B104" s="2350" t="s">
        <v>468</v>
      </c>
      <c r="C104" s="2350" t="s">
        <v>1024</v>
      </c>
      <c r="D104" s="2351">
        <v>15147.84</v>
      </c>
      <c r="E104" s="2351">
        <v>15937.919999999998</v>
      </c>
      <c r="F104" s="2351">
        <v>16729.919999999998</v>
      </c>
      <c r="G104" s="2351">
        <v>17490.239999999998</v>
      </c>
      <c r="H104" s="2351">
        <v>18211.2</v>
      </c>
      <c r="I104" s="2351">
        <v>18898.559999999998</v>
      </c>
      <c r="J104" s="2351">
        <v>19600.32</v>
      </c>
      <c r="K104" s="2351">
        <v>20372.16</v>
      </c>
      <c r="L104" s="2351">
        <v>21250.559999999998</v>
      </c>
      <c r="M104" s="2351">
        <v>22252.799999999996</v>
      </c>
      <c r="N104" s="2351">
        <v>23350.080000000002</v>
      </c>
      <c r="O104" s="2351">
        <v>24497.279999999999</v>
      </c>
      <c r="P104" s="2351">
        <v>25628.16</v>
      </c>
      <c r="Q104" s="2351">
        <v>26699.52</v>
      </c>
      <c r="R104" s="2352">
        <v>27699.839999999997</v>
      </c>
      <c r="S104" s="2352">
        <v>28641.599999999999</v>
      </c>
      <c r="T104" s="2352">
        <v>29521.919999999998</v>
      </c>
    </row>
    <row r="105" spans="1:20" x14ac:dyDescent="0.25">
      <c r="A105" s="2350" t="s">
        <v>470</v>
      </c>
      <c r="B105" s="2350" t="s">
        <v>468</v>
      </c>
      <c r="C105" s="2350" t="s">
        <v>1025</v>
      </c>
      <c r="D105" s="2351">
        <v>10354.56</v>
      </c>
      <c r="E105" s="2351">
        <v>10796.16</v>
      </c>
      <c r="F105" s="2351">
        <v>11295.36</v>
      </c>
      <c r="G105" s="2351">
        <v>11856.96</v>
      </c>
      <c r="H105" s="2351">
        <v>12495.36</v>
      </c>
      <c r="I105" s="2351">
        <v>13199.04</v>
      </c>
      <c r="J105" s="2351">
        <v>13944</v>
      </c>
      <c r="K105" s="2351">
        <v>14692.799999999997</v>
      </c>
      <c r="L105" s="2351">
        <v>15423.36</v>
      </c>
      <c r="M105" s="2351">
        <v>16119.359999999999</v>
      </c>
      <c r="N105" s="2351">
        <v>16797.12</v>
      </c>
      <c r="O105" s="2351">
        <v>17483.519999999997</v>
      </c>
      <c r="P105" s="2351">
        <v>18227.519999999997</v>
      </c>
      <c r="Q105" s="2351">
        <v>19066.560000000001</v>
      </c>
      <c r="R105" s="2352">
        <v>20010.240000000002</v>
      </c>
      <c r="S105" s="2352">
        <v>21035.519999999997</v>
      </c>
      <c r="T105" s="2352">
        <v>22104.959999999999</v>
      </c>
    </row>
    <row r="106" spans="1:20" x14ac:dyDescent="0.25">
      <c r="A106" s="2350" t="s">
        <v>470</v>
      </c>
      <c r="B106" s="2350" t="s">
        <v>468</v>
      </c>
      <c r="C106" s="2350" t="s">
        <v>1026</v>
      </c>
      <c r="D106" s="2351">
        <v>6711.36</v>
      </c>
      <c r="E106" s="2351">
        <v>7010.88</v>
      </c>
      <c r="F106" s="2351">
        <v>7326.7199999999993</v>
      </c>
      <c r="G106" s="2351">
        <v>7662.7199999999993</v>
      </c>
      <c r="H106" s="2351">
        <v>8015.9999999999991</v>
      </c>
      <c r="I106" s="2351">
        <v>8391.36</v>
      </c>
      <c r="J106" s="2351">
        <v>8800.32</v>
      </c>
      <c r="K106" s="2351">
        <v>9258.24</v>
      </c>
      <c r="L106" s="2351">
        <v>9777.5999999999985</v>
      </c>
      <c r="M106" s="2351">
        <v>10362.24</v>
      </c>
      <c r="N106" s="2351">
        <v>11008.319999999998</v>
      </c>
      <c r="O106" s="2351">
        <v>11687.039999999999</v>
      </c>
      <c r="P106" s="2351">
        <v>12365.76</v>
      </c>
      <c r="Q106" s="2351">
        <v>13026.239999999998</v>
      </c>
      <c r="R106" s="2352">
        <v>13654.08</v>
      </c>
      <c r="S106" s="2352">
        <v>14262.72</v>
      </c>
      <c r="T106" s="2352">
        <v>14881.919999999998</v>
      </c>
    </row>
    <row r="107" spans="1:20" x14ac:dyDescent="0.25">
      <c r="A107" s="2350" t="s">
        <v>470</v>
      </c>
      <c r="B107" s="2350" t="s">
        <v>468</v>
      </c>
      <c r="C107" s="2350" t="s">
        <v>1027</v>
      </c>
      <c r="D107" s="2351">
        <v>5842.5599999999995</v>
      </c>
      <c r="E107" s="2351">
        <v>6121.92</v>
      </c>
      <c r="F107" s="2351">
        <v>6423.36</v>
      </c>
      <c r="G107" s="2351">
        <v>6744.96</v>
      </c>
      <c r="H107" s="2351">
        <v>7091.5199999999995</v>
      </c>
      <c r="I107" s="2351">
        <v>7466.88</v>
      </c>
      <c r="J107" s="2351">
        <v>7872.96</v>
      </c>
      <c r="K107" s="2351">
        <v>8309.76</v>
      </c>
      <c r="L107" s="2351">
        <v>8780.16</v>
      </c>
      <c r="M107" s="2351">
        <v>9284.16</v>
      </c>
      <c r="N107" s="2351">
        <v>9826.56</v>
      </c>
      <c r="O107" s="2351">
        <v>10408.32</v>
      </c>
      <c r="P107" s="2351">
        <v>11040.96</v>
      </c>
      <c r="Q107" s="2351">
        <v>11731.199999999999</v>
      </c>
      <c r="R107" s="2352">
        <v>12483.84</v>
      </c>
      <c r="S107" s="2352">
        <v>13294.08</v>
      </c>
      <c r="T107" s="2352">
        <v>14151.359999999999</v>
      </c>
    </row>
    <row r="108" spans="1:20" x14ac:dyDescent="0.25">
      <c r="A108" s="2350" t="s">
        <v>471</v>
      </c>
      <c r="B108" s="2350" t="s">
        <v>467</v>
      </c>
      <c r="C108" s="2350" t="s">
        <v>1011</v>
      </c>
      <c r="D108" s="2351">
        <v>133507.96199999997</v>
      </c>
      <c r="E108" s="2351">
        <v>130617.69</v>
      </c>
      <c r="F108" s="2351">
        <v>128416.17599999999</v>
      </c>
      <c r="G108" s="2351">
        <v>126929.50199999999</v>
      </c>
      <c r="H108" s="2351">
        <v>127409.60399999999</v>
      </c>
      <c r="I108" s="2351">
        <v>129708.68399999998</v>
      </c>
      <c r="J108" s="2351">
        <v>131872.524</v>
      </c>
      <c r="K108" s="2351">
        <v>133655.76</v>
      </c>
      <c r="L108" s="2351">
        <v>134567.66400000002</v>
      </c>
      <c r="M108" s="2351">
        <v>133700.196</v>
      </c>
      <c r="N108" s="2351">
        <v>131949.804</v>
      </c>
      <c r="O108" s="2351">
        <v>129679.704</v>
      </c>
      <c r="P108" s="2351">
        <v>126933.36600000001</v>
      </c>
      <c r="Q108" s="2351">
        <v>124212.144</v>
      </c>
      <c r="R108" s="2352">
        <v>121423.302</v>
      </c>
      <c r="S108" s="2352">
        <v>118591.95600000001</v>
      </c>
      <c r="T108" s="2352">
        <v>115703.61600000001</v>
      </c>
    </row>
    <row r="109" spans="1:20" x14ac:dyDescent="0.25">
      <c r="A109" s="2350" t="s">
        <v>471</v>
      </c>
      <c r="B109" s="2350" t="s">
        <v>467</v>
      </c>
      <c r="C109" s="2350" t="s">
        <v>1012</v>
      </c>
      <c r="D109" s="2351">
        <v>148421.06999999998</v>
      </c>
      <c r="E109" s="2351">
        <v>144638.21400000001</v>
      </c>
      <c r="F109" s="2351">
        <v>141214.71000000002</v>
      </c>
      <c r="G109" s="2351">
        <v>137995.99799999999</v>
      </c>
      <c r="H109" s="2351">
        <v>135154.02599999998</v>
      </c>
      <c r="I109" s="2351">
        <v>131394.35399999999</v>
      </c>
      <c r="J109" s="2351">
        <v>128501.18399999998</v>
      </c>
      <c r="K109" s="2351">
        <v>126286.14599999999</v>
      </c>
      <c r="L109" s="2351">
        <v>124783.04999999999</v>
      </c>
      <c r="M109" s="2351">
        <v>125238.03599999999</v>
      </c>
      <c r="N109" s="2351">
        <v>127527.45600000001</v>
      </c>
      <c r="O109" s="2351">
        <v>129683.568</v>
      </c>
      <c r="P109" s="2351">
        <v>131467.76999999999</v>
      </c>
      <c r="Q109" s="2351">
        <v>132381.60599999997</v>
      </c>
      <c r="R109" s="2352">
        <v>131511.24</v>
      </c>
      <c r="S109" s="2352">
        <v>129759.88199999998</v>
      </c>
      <c r="T109" s="2352">
        <v>127489.78199999998</v>
      </c>
    </row>
    <row r="110" spans="1:20" x14ac:dyDescent="0.25">
      <c r="A110" s="2350" t="s">
        <v>471</v>
      </c>
      <c r="B110" s="2350" t="s">
        <v>467</v>
      </c>
      <c r="C110" s="2350" t="s">
        <v>1013</v>
      </c>
      <c r="D110" s="2351">
        <v>166801.152</v>
      </c>
      <c r="E110" s="2351">
        <v>162342.09600000002</v>
      </c>
      <c r="F110" s="2351">
        <v>158286.82800000001</v>
      </c>
      <c r="G110" s="2351">
        <v>154323.33000000002</v>
      </c>
      <c r="H110" s="2351">
        <v>150027.52799999999</v>
      </c>
      <c r="I110" s="2351">
        <v>146246.60399999999</v>
      </c>
      <c r="J110" s="2351">
        <v>142433.802</v>
      </c>
      <c r="K110" s="2351">
        <v>138983.25</v>
      </c>
      <c r="L110" s="2351">
        <v>135747.15</v>
      </c>
      <c r="M110" s="2351">
        <v>132891.65399999998</v>
      </c>
      <c r="N110" s="2351">
        <v>129118.45799999998</v>
      </c>
      <c r="O110" s="2351">
        <v>126211.764</v>
      </c>
      <c r="P110" s="2351">
        <v>123984.16799999999</v>
      </c>
      <c r="Q110" s="2351">
        <v>122466.58199999999</v>
      </c>
      <c r="R110" s="2352">
        <v>122904.18</v>
      </c>
      <c r="S110" s="2352">
        <v>125172.34799999998</v>
      </c>
      <c r="T110" s="2352">
        <v>127310.106</v>
      </c>
    </row>
    <row r="111" spans="1:20" x14ac:dyDescent="0.25">
      <c r="A111" s="2350" t="s">
        <v>471</v>
      </c>
      <c r="B111" s="2350" t="s">
        <v>467</v>
      </c>
      <c r="C111" s="2350" t="s">
        <v>1014</v>
      </c>
      <c r="D111" s="2351">
        <v>183113.99400000001</v>
      </c>
      <c r="E111" s="2351">
        <v>180929.86799999999</v>
      </c>
      <c r="F111" s="2351">
        <v>177567.22199999998</v>
      </c>
      <c r="G111" s="2351">
        <v>172876.326</v>
      </c>
      <c r="H111" s="2351">
        <v>167695.66800000001</v>
      </c>
      <c r="I111" s="2351">
        <v>163209.56399999998</v>
      </c>
      <c r="J111" s="2351">
        <v>158697.378</v>
      </c>
      <c r="K111" s="2351">
        <v>154591.878</v>
      </c>
      <c r="L111" s="2351">
        <v>150584.91</v>
      </c>
      <c r="M111" s="2351">
        <v>146253.36599999998</v>
      </c>
      <c r="N111" s="2351">
        <v>142444.42800000001</v>
      </c>
      <c r="O111" s="2351">
        <v>138604.57800000001</v>
      </c>
      <c r="P111" s="2351">
        <v>135126.97799999997</v>
      </c>
      <c r="Q111" s="2351">
        <v>131860.932</v>
      </c>
      <c r="R111" s="2352">
        <v>128976.45600000001</v>
      </c>
      <c r="S111" s="2352">
        <v>125177.178</v>
      </c>
      <c r="T111" s="2352">
        <v>122240.53799999999</v>
      </c>
    </row>
    <row r="112" spans="1:20" x14ac:dyDescent="0.25">
      <c r="A112" s="2350" t="s">
        <v>471</v>
      </c>
      <c r="B112" s="2350" t="s">
        <v>467</v>
      </c>
      <c r="C112" s="2350" t="s">
        <v>1015</v>
      </c>
      <c r="D112" s="2351">
        <v>173101.40399999998</v>
      </c>
      <c r="E112" s="2351">
        <v>173099.47199999998</v>
      </c>
      <c r="F112" s="2351">
        <v>173643.33000000002</v>
      </c>
      <c r="G112" s="2351">
        <v>174877.878</v>
      </c>
      <c r="H112" s="2351">
        <v>174940.66800000001</v>
      </c>
      <c r="I112" s="2351">
        <v>173397</v>
      </c>
      <c r="J112" s="2351">
        <v>171168.43799999999</v>
      </c>
      <c r="K112" s="2351">
        <v>167758.45799999998</v>
      </c>
      <c r="L112" s="2351">
        <v>163014.43200000003</v>
      </c>
      <c r="M112" s="2351">
        <v>157774.848</v>
      </c>
      <c r="N112" s="2351">
        <v>153214.36199999996</v>
      </c>
      <c r="O112" s="2351">
        <v>148624.89599999998</v>
      </c>
      <c r="P112" s="2351">
        <v>144440.18400000001</v>
      </c>
      <c r="Q112" s="2351">
        <v>140350.13999999998</v>
      </c>
      <c r="R112" s="2352">
        <v>135939.38399999999</v>
      </c>
      <c r="S112" s="2352">
        <v>132046.40400000001</v>
      </c>
      <c r="T112" s="2352">
        <v>128124.444</v>
      </c>
    </row>
    <row r="113" spans="1:20" x14ac:dyDescent="0.25">
      <c r="A113" s="2350" t="s">
        <v>471</v>
      </c>
      <c r="B113" s="2350" t="s">
        <v>467</v>
      </c>
      <c r="C113" s="2350" t="s">
        <v>1016</v>
      </c>
      <c r="D113" s="2351">
        <v>175859.334</v>
      </c>
      <c r="E113" s="2351">
        <v>170438.14199999999</v>
      </c>
      <c r="F113" s="2351">
        <v>165331.86599999998</v>
      </c>
      <c r="G113" s="2351">
        <v>161540.31599999999</v>
      </c>
      <c r="H113" s="2351">
        <v>160259.40000000002</v>
      </c>
      <c r="I113" s="2351">
        <v>160491.24</v>
      </c>
      <c r="J113" s="2351">
        <v>160408.16399999999</v>
      </c>
      <c r="K113" s="2351">
        <v>160904.68799999999</v>
      </c>
      <c r="L113" s="2351">
        <v>162130.54199999999</v>
      </c>
      <c r="M113" s="2351">
        <v>162214.584</v>
      </c>
      <c r="N113" s="2351">
        <v>160573.34999999998</v>
      </c>
      <c r="O113" s="2351">
        <v>158246.25599999999</v>
      </c>
      <c r="P113" s="2351">
        <v>154738.71</v>
      </c>
      <c r="Q113" s="2351">
        <v>149901.948</v>
      </c>
      <c r="R113" s="2352">
        <v>144570.59399999998</v>
      </c>
      <c r="S113" s="2352">
        <v>139911.576</v>
      </c>
      <c r="T113" s="2352">
        <v>135226.476</v>
      </c>
    </row>
    <row r="114" spans="1:20" x14ac:dyDescent="0.25">
      <c r="A114" s="2350" t="s">
        <v>471</v>
      </c>
      <c r="B114" s="2350" t="s">
        <v>467</v>
      </c>
      <c r="C114" s="2350" t="s">
        <v>1017</v>
      </c>
      <c r="D114" s="2351">
        <v>180656.49</v>
      </c>
      <c r="E114" s="2351">
        <v>181832.11199999999</v>
      </c>
      <c r="F114" s="2351">
        <v>181452.47399999999</v>
      </c>
      <c r="G114" s="2351">
        <v>178994.00400000002</v>
      </c>
      <c r="H114" s="2351">
        <v>174194.916</v>
      </c>
      <c r="I114" s="2351">
        <v>167469.62400000001</v>
      </c>
      <c r="J114" s="2351">
        <v>162040.704</v>
      </c>
      <c r="K114" s="2351">
        <v>156961.47599999997</v>
      </c>
      <c r="L114" s="2351">
        <v>153218.226</v>
      </c>
      <c r="M114" s="2351">
        <v>151998.16800000001</v>
      </c>
      <c r="N114" s="2351">
        <v>152181.70799999998</v>
      </c>
      <c r="O114" s="2351">
        <v>152050.33199999999</v>
      </c>
      <c r="P114" s="2351">
        <v>152495.658</v>
      </c>
      <c r="Q114" s="2351">
        <v>153648.09600000002</v>
      </c>
      <c r="R114" s="2352">
        <v>153668.38199999998</v>
      </c>
      <c r="S114" s="2352">
        <v>151971.12</v>
      </c>
      <c r="T114" s="2352">
        <v>149593.79399999999</v>
      </c>
    </row>
    <row r="115" spans="1:20" x14ac:dyDescent="0.25">
      <c r="A115" s="2350" t="s">
        <v>471</v>
      </c>
      <c r="B115" s="2350" t="s">
        <v>467</v>
      </c>
      <c r="C115" s="2350" t="s">
        <v>1018</v>
      </c>
      <c r="D115" s="2351">
        <v>163060.79999999999</v>
      </c>
      <c r="E115" s="2351">
        <v>165361.81200000001</v>
      </c>
      <c r="F115" s="2351">
        <v>167865.68400000001</v>
      </c>
      <c r="G115" s="2351">
        <v>170334.78</v>
      </c>
      <c r="H115" s="2351">
        <v>172845.41399999999</v>
      </c>
      <c r="I115" s="2351">
        <v>175217.91</v>
      </c>
      <c r="J115" s="2351">
        <v>176248.63199999998</v>
      </c>
      <c r="K115" s="2351">
        <v>175794.61199999999</v>
      </c>
      <c r="L115" s="2351">
        <v>173358.36</v>
      </c>
      <c r="M115" s="2351">
        <v>168642.348</v>
      </c>
      <c r="N115" s="2351">
        <v>161981.77799999999</v>
      </c>
      <c r="O115" s="2351">
        <v>156597.29399999999</v>
      </c>
      <c r="P115" s="2351">
        <v>151548.978</v>
      </c>
      <c r="Q115" s="2351">
        <v>147824.08199999999</v>
      </c>
      <c r="R115" s="2352">
        <v>146606.92199999999</v>
      </c>
      <c r="S115" s="2352">
        <v>146777.90399999998</v>
      </c>
      <c r="T115" s="2352">
        <v>146633.97</v>
      </c>
    </row>
    <row r="116" spans="1:20" x14ac:dyDescent="0.25">
      <c r="A116" s="2350" t="s">
        <v>471</v>
      </c>
      <c r="B116" s="2350" t="s">
        <v>467</v>
      </c>
      <c r="C116" s="2350" t="s">
        <v>1019</v>
      </c>
      <c r="D116" s="2351">
        <v>163761.15</v>
      </c>
      <c r="E116" s="2351">
        <v>161820.45600000001</v>
      </c>
      <c r="F116" s="2351">
        <v>160245.87600000002</v>
      </c>
      <c r="G116" s="2351">
        <v>159257.658</v>
      </c>
      <c r="H116" s="2351">
        <v>158924.38799999998</v>
      </c>
      <c r="I116" s="2351">
        <v>159168.78599999999</v>
      </c>
      <c r="J116" s="2351">
        <v>161377.06200000001</v>
      </c>
      <c r="K116" s="2351">
        <v>163781.43599999999</v>
      </c>
      <c r="L116" s="2351">
        <v>166164.55800000002</v>
      </c>
      <c r="M116" s="2351">
        <v>168587.28599999999</v>
      </c>
      <c r="N116" s="2351">
        <v>170977.16999999998</v>
      </c>
      <c r="O116" s="2351">
        <v>172031.076</v>
      </c>
      <c r="P116" s="2351">
        <v>171609.9</v>
      </c>
      <c r="Q116" s="2351">
        <v>169203.59399999998</v>
      </c>
      <c r="R116" s="2352">
        <v>164551.33799999999</v>
      </c>
      <c r="S116" s="2352">
        <v>157974.81</v>
      </c>
      <c r="T116" s="2352">
        <v>152663.74200000003</v>
      </c>
    </row>
    <row r="117" spans="1:20" x14ac:dyDescent="0.25">
      <c r="A117" s="2350" t="s">
        <v>471</v>
      </c>
      <c r="B117" s="2350" t="s">
        <v>467</v>
      </c>
      <c r="C117" s="2350" t="s">
        <v>1020</v>
      </c>
      <c r="D117" s="2351">
        <v>157285.08599999998</v>
      </c>
      <c r="E117" s="2351">
        <v>158035.66800000001</v>
      </c>
      <c r="F117" s="2351">
        <v>158743.74599999998</v>
      </c>
      <c r="G117" s="2351">
        <v>159307.89000000001</v>
      </c>
      <c r="H117" s="2351">
        <v>159652.75199999998</v>
      </c>
      <c r="I117" s="2351">
        <v>159862.37400000001</v>
      </c>
      <c r="J117" s="2351">
        <v>157957.42199999999</v>
      </c>
      <c r="K117" s="2351">
        <v>156433.07399999999</v>
      </c>
      <c r="L117" s="2351">
        <v>155521.16999999998</v>
      </c>
      <c r="M117" s="2351">
        <v>155249.72399999999</v>
      </c>
      <c r="N117" s="2351">
        <v>155541.45600000001</v>
      </c>
      <c r="O117" s="2351">
        <v>157760.35800000001</v>
      </c>
      <c r="P117" s="2351">
        <v>160165.698</v>
      </c>
      <c r="Q117" s="2351">
        <v>162528.53400000001</v>
      </c>
      <c r="R117" s="2352">
        <v>164943.53399999999</v>
      </c>
      <c r="S117" s="2352">
        <v>167326.65600000002</v>
      </c>
      <c r="T117" s="2352">
        <v>168392.15399999998</v>
      </c>
    </row>
    <row r="118" spans="1:20" x14ac:dyDescent="0.25">
      <c r="A118" s="2350" t="s">
        <v>471</v>
      </c>
      <c r="B118" s="2350" t="s">
        <v>467</v>
      </c>
      <c r="C118" s="2350" t="s">
        <v>1021</v>
      </c>
      <c r="D118" s="2351">
        <v>151002.22199999998</v>
      </c>
      <c r="E118" s="2351">
        <v>151040.86199999999</v>
      </c>
      <c r="F118" s="2351">
        <v>150981.93599999999</v>
      </c>
      <c r="G118" s="2351">
        <v>151120.07399999999</v>
      </c>
      <c r="H118" s="2351">
        <v>151541.25</v>
      </c>
      <c r="I118" s="2351">
        <v>152182.674</v>
      </c>
      <c r="J118" s="2351">
        <v>152961.26999999999</v>
      </c>
      <c r="K118" s="2351">
        <v>153713.78399999999</v>
      </c>
      <c r="L118" s="2351">
        <v>154346.514</v>
      </c>
      <c r="M118" s="2351">
        <v>154764.79200000002</v>
      </c>
      <c r="N118" s="2351">
        <v>155040.10199999998</v>
      </c>
      <c r="O118" s="2351">
        <v>153232.71599999999</v>
      </c>
      <c r="P118" s="2351">
        <v>151787.57999999999</v>
      </c>
      <c r="Q118" s="2351">
        <v>150922.04399999999</v>
      </c>
      <c r="R118" s="2352">
        <v>150696.96600000001</v>
      </c>
      <c r="S118" s="2352">
        <v>151026.372</v>
      </c>
      <c r="T118" s="2352">
        <v>153242.37599999999</v>
      </c>
    </row>
    <row r="119" spans="1:20" x14ac:dyDescent="0.25">
      <c r="A119" s="2350" t="s">
        <v>471</v>
      </c>
      <c r="B119" s="2350" t="s">
        <v>467</v>
      </c>
      <c r="C119" s="2350" t="s">
        <v>1022</v>
      </c>
      <c r="D119" s="2351">
        <v>135254.49</v>
      </c>
      <c r="E119" s="2351">
        <v>138503.14800000002</v>
      </c>
      <c r="F119" s="2351">
        <v>141226.302</v>
      </c>
      <c r="G119" s="2351">
        <v>143126.424</v>
      </c>
      <c r="H119" s="2351">
        <v>144089.52600000001</v>
      </c>
      <c r="I119" s="2351">
        <v>144178.39800000002</v>
      </c>
      <c r="J119" s="2351">
        <v>144219.93600000002</v>
      </c>
      <c r="K119" s="2351">
        <v>144201.58199999999</v>
      </c>
      <c r="L119" s="2351">
        <v>144417.96599999999</v>
      </c>
      <c r="M119" s="2351">
        <v>144929.946</v>
      </c>
      <c r="N119" s="2351">
        <v>145653.47999999998</v>
      </c>
      <c r="O119" s="2351">
        <v>146503.56</v>
      </c>
      <c r="P119" s="2351">
        <v>147314.03399999999</v>
      </c>
      <c r="Q119" s="2351">
        <v>147985.40400000001</v>
      </c>
      <c r="R119" s="2352">
        <v>148453.91399999999</v>
      </c>
      <c r="S119" s="2352">
        <v>148783.31999999998</v>
      </c>
      <c r="T119" s="2352">
        <v>147081.228</v>
      </c>
    </row>
    <row r="120" spans="1:20" x14ac:dyDescent="0.25">
      <c r="A120" s="2350" t="s">
        <v>471</v>
      </c>
      <c r="B120" s="2350" t="s">
        <v>467</v>
      </c>
      <c r="C120" s="2350" t="s">
        <v>1023</v>
      </c>
      <c r="D120" s="2351">
        <v>112964.03999999998</v>
      </c>
      <c r="E120" s="2351">
        <v>115181.01</v>
      </c>
      <c r="F120" s="2351">
        <v>117507.13800000001</v>
      </c>
      <c r="G120" s="2351">
        <v>120136.59</v>
      </c>
      <c r="H120" s="2351">
        <v>123156.30600000001</v>
      </c>
      <c r="I120" s="2351">
        <v>126426.216</v>
      </c>
      <c r="J120" s="2351">
        <v>129617.87999999999</v>
      </c>
      <c r="K120" s="2351">
        <v>132295.63199999998</v>
      </c>
      <c r="L120" s="2351">
        <v>134181.264</v>
      </c>
      <c r="M120" s="2351">
        <v>135157.88999999998</v>
      </c>
      <c r="N120" s="2351">
        <v>135394.56</v>
      </c>
      <c r="O120" s="2351">
        <v>135578.09999999998</v>
      </c>
      <c r="P120" s="2351">
        <v>135691.122</v>
      </c>
      <c r="Q120" s="2351">
        <v>136008.93599999999</v>
      </c>
      <c r="R120" s="2352">
        <v>136609.788</v>
      </c>
      <c r="S120" s="2352">
        <v>137411.568</v>
      </c>
      <c r="T120" s="2352">
        <v>138339.894</v>
      </c>
    </row>
    <row r="121" spans="1:20" x14ac:dyDescent="0.25">
      <c r="A121" s="2350" t="s">
        <v>471</v>
      </c>
      <c r="B121" s="2350" t="s">
        <v>467</v>
      </c>
      <c r="C121" s="2350" t="s">
        <v>1024</v>
      </c>
      <c r="D121" s="2351">
        <v>86781.575999999986</v>
      </c>
      <c r="E121" s="2351">
        <v>90363.504000000001</v>
      </c>
      <c r="F121" s="2351">
        <v>93853.661999999997</v>
      </c>
      <c r="G121" s="2351">
        <v>97024.074000000008</v>
      </c>
      <c r="H121" s="2351">
        <v>99764.61599999998</v>
      </c>
      <c r="I121" s="2351">
        <v>102163.194</v>
      </c>
      <c r="J121" s="2351">
        <v>104407.212</v>
      </c>
      <c r="K121" s="2351">
        <v>106772.946</v>
      </c>
      <c r="L121" s="2351">
        <v>109439.106</v>
      </c>
      <c r="M121" s="2351">
        <v>112458.82199999999</v>
      </c>
      <c r="N121" s="2351">
        <v>115693.95599999999</v>
      </c>
      <c r="O121" s="2351">
        <v>118843.11599999999</v>
      </c>
      <c r="P121" s="2351">
        <v>121504.44600000001</v>
      </c>
      <c r="Q121" s="2351">
        <v>123411.33</v>
      </c>
      <c r="R121" s="2352">
        <v>124482.624</v>
      </c>
      <c r="S121" s="2352">
        <v>124871.92200000001</v>
      </c>
      <c r="T121" s="2352">
        <v>125224.51199999999</v>
      </c>
    </row>
    <row r="122" spans="1:20" x14ac:dyDescent="0.25">
      <c r="A122" s="2350" t="s">
        <v>471</v>
      </c>
      <c r="B122" s="2350" t="s">
        <v>467</v>
      </c>
      <c r="C122" s="2350" t="s">
        <v>1025</v>
      </c>
      <c r="D122" s="2351">
        <v>64722.965999999993</v>
      </c>
      <c r="E122" s="2351">
        <v>65851.254000000001</v>
      </c>
      <c r="F122" s="2351">
        <v>67287.695999999996</v>
      </c>
      <c r="G122" s="2351">
        <v>69176.225999999995</v>
      </c>
      <c r="H122" s="2351">
        <v>71580.600000000006</v>
      </c>
      <c r="I122" s="2351">
        <v>74418.707999999984</v>
      </c>
      <c r="J122" s="2351">
        <v>77766.863999999987</v>
      </c>
      <c r="K122" s="2351">
        <v>81051.26400000001</v>
      </c>
      <c r="L122" s="2351">
        <v>84080.639999999999</v>
      </c>
      <c r="M122" s="2351">
        <v>86735.208000000013</v>
      </c>
      <c r="N122" s="2351">
        <v>89085.48599999999</v>
      </c>
      <c r="O122" s="2351">
        <v>91297.626000000004</v>
      </c>
      <c r="P122" s="2351">
        <v>93616.025999999998</v>
      </c>
      <c r="Q122" s="2351">
        <v>96196.211999999985</v>
      </c>
      <c r="R122" s="2352">
        <v>99100.974000000002</v>
      </c>
      <c r="S122" s="2352">
        <v>102203.76599999999</v>
      </c>
      <c r="T122" s="2352">
        <v>105237.97200000001</v>
      </c>
    </row>
    <row r="123" spans="1:20" x14ac:dyDescent="0.25">
      <c r="A123" s="2350" t="s">
        <v>471</v>
      </c>
      <c r="B123" s="2350" t="s">
        <v>467</v>
      </c>
      <c r="C123" s="2350" t="s">
        <v>1026</v>
      </c>
      <c r="D123" s="2351">
        <v>43568.531999999999</v>
      </c>
      <c r="E123" s="2351">
        <v>45117.996000000006</v>
      </c>
      <c r="F123" s="2351">
        <v>46648.14</v>
      </c>
      <c r="G123" s="2351">
        <v>48118.391999999993</v>
      </c>
      <c r="H123" s="2351">
        <v>49492.044000000002</v>
      </c>
      <c r="I123" s="2351">
        <v>50814.498000000007</v>
      </c>
      <c r="J123" s="2351">
        <v>51941.82</v>
      </c>
      <c r="K123" s="2351">
        <v>53348.315999999999</v>
      </c>
      <c r="L123" s="2351">
        <v>55149.906000000003</v>
      </c>
      <c r="M123" s="2351">
        <v>57375.57</v>
      </c>
      <c r="N123" s="2351">
        <v>59952.858</v>
      </c>
      <c r="O123" s="2351">
        <v>62927.171999999999</v>
      </c>
      <c r="P123" s="2351">
        <v>65845.457999999999</v>
      </c>
      <c r="Q123" s="2351">
        <v>68547.360000000001</v>
      </c>
      <c r="R123" s="2352">
        <v>70954.631999999998</v>
      </c>
      <c r="S123" s="2352">
        <v>73128.131999999998</v>
      </c>
      <c r="T123" s="2352">
        <v>75209.861999999994</v>
      </c>
    </row>
    <row r="124" spans="1:20" x14ac:dyDescent="0.25">
      <c r="A124" s="2350" t="s">
        <v>471</v>
      </c>
      <c r="B124" s="2350" t="s">
        <v>467</v>
      </c>
      <c r="C124" s="2350" t="s">
        <v>1027</v>
      </c>
      <c r="D124" s="2351">
        <v>39520.025999999998</v>
      </c>
      <c r="E124" s="2351">
        <v>40981.583999999995</v>
      </c>
      <c r="F124" s="2351">
        <v>42541.673999999999</v>
      </c>
      <c r="G124" s="2351">
        <v>44218.65</v>
      </c>
      <c r="H124" s="2351">
        <v>46043.423999999999</v>
      </c>
      <c r="I124" s="2351">
        <v>48013.097999999998</v>
      </c>
      <c r="J124" s="2351">
        <v>50095.794000000002</v>
      </c>
      <c r="K124" s="2351">
        <v>52249.974000000002</v>
      </c>
      <c r="L124" s="2351">
        <v>54457.284</v>
      </c>
      <c r="M124" s="2351">
        <v>56679.083999999995</v>
      </c>
      <c r="N124" s="2351">
        <v>58953.047999999995</v>
      </c>
      <c r="O124" s="2351">
        <v>61144.901999999995</v>
      </c>
      <c r="P124" s="2351">
        <v>63595.644</v>
      </c>
      <c r="Q124" s="2351">
        <v>66365.165999999997</v>
      </c>
      <c r="R124" s="2352">
        <v>69466.025999999998</v>
      </c>
      <c r="S124" s="2352">
        <v>72853.788</v>
      </c>
      <c r="T124" s="2352">
        <v>76452.137999999992</v>
      </c>
    </row>
    <row r="125" spans="1:20" x14ac:dyDescent="0.25">
      <c r="A125" s="2350" t="s">
        <v>471</v>
      </c>
      <c r="B125" s="2350" t="s">
        <v>468</v>
      </c>
      <c r="C125" s="2350" t="s">
        <v>1011</v>
      </c>
      <c r="D125" s="2351">
        <v>128977.82800000001</v>
      </c>
      <c r="E125" s="2351">
        <v>126160.28599999999</v>
      </c>
      <c r="F125" s="2351">
        <v>124005.413</v>
      </c>
      <c r="G125" s="2351">
        <v>122548.69199999998</v>
      </c>
      <c r="H125" s="2351">
        <v>122998.463</v>
      </c>
      <c r="I125" s="2351">
        <v>125225.26100000001</v>
      </c>
      <c r="J125" s="2351">
        <v>127325.47099999999</v>
      </c>
      <c r="K125" s="2351">
        <v>129055.507</v>
      </c>
      <c r="L125" s="2351">
        <v>129924.36099999999</v>
      </c>
      <c r="M125" s="2351">
        <v>129078.52299999999</v>
      </c>
      <c r="N125" s="2351">
        <v>127386.84699999998</v>
      </c>
      <c r="O125" s="2351">
        <v>125206.08099999999</v>
      </c>
      <c r="P125" s="2351">
        <v>122567.87199999999</v>
      </c>
      <c r="Q125" s="2351">
        <v>119953.63800000001</v>
      </c>
      <c r="R125" s="2352">
        <v>117273.23300000001</v>
      </c>
      <c r="S125" s="2352">
        <v>114543.91899999999</v>
      </c>
      <c r="T125" s="2352">
        <v>111757.065</v>
      </c>
    </row>
    <row r="126" spans="1:20" x14ac:dyDescent="0.25">
      <c r="A126" s="2350" t="s">
        <v>471</v>
      </c>
      <c r="B126" s="2350" t="s">
        <v>468</v>
      </c>
      <c r="C126" s="2350" t="s">
        <v>1012</v>
      </c>
      <c r="D126" s="2351">
        <v>143631.348</v>
      </c>
      <c r="E126" s="2351">
        <v>139946.87</v>
      </c>
      <c r="F126" s="2351">
        <v>136608.59099999999</v>
      </c>
      <c r="G126" s="2351">
        <v>133465.948</v>
      </c>
      <c r="H126" s="2351">
        <v>130689.643</v>
      </c>
      <c r="I126" s="2351">
        <v>127031.05799999999</v>
      </c>
      <c r="J126" s="2351">
        <v>124215.43400000001</v>
      </c>
      <c r="K126" s="2351">
        <v>122061.52</v>
      </c>
      <c r="L126" s="2351">
        <v>120624.93799999999</v>
      </c>
      <c r="M126" s="2351">
        <v>121083.34</v>
      </c>
      <c r="N126" s="2351">
        <v>123306.30199999998</v>
      </c>
      <c r="O126" s="2351">
        <v>125396.92199999999</v>
      </c>
      <c r="P126" s="2351">
        <v>127120.245</v>
      </c>
      <c r="Q126" s="2351">
        <v>128000.60699999999</v>
      </c>
      <c r="R126" s="2352">
        <v>127162.44099999999</v>
      </c>
      <c r="S126" s="2352">
        <v>125479.39599999999</v>
      </c>
      <c r="T126" s="2352">
        <v>123302.46599999999</v>
      </c>
    </row>
    <row r="127" spans="1:20" x14ac:dyDescent="0.25">
      <c r="A127" s="2350" t="s">
        <v>471</v>
      </c>
      <c r="B127" s="2350" t="s">
        <v>468</v>
      </c>
      <c r="C127" s="2350" t="s">
        <v>1013</v>
      </c>
      <c r="D127" s="2351">
        <v>161623.147</v>
      </c>
      <c r="E127" s="2351">
        <v>157313.40099999998</v>
      </c>
      <c r="F127" s="2351">
        <v>153393.00899999999</v>
      </c>
      <c r="G127" s="2351">
        <v>149555.09099999999</v>
      </c>
      <c r="H127" s="2351">
        <v>145391.11299999998</v>
      </c>
      <c r="I127" s="2351">
        <v>141717.18400000001</v>
      </c>
      <c r="J127" s="2351">
        <v>138009.68999999997</v>
      </c>
      <c r="K127" s="2351">
        <v>134655.10799999998</v>
      </c>
      <c r="L127" s="2351">
        <v>131483.69500000001</v>
      </c>
      <c r="M127" s="2351">
        <v>128679.579</v>
      </c>
      <c r="N127" s="2351">
        <v>125006.609</v>
      </c>
      <c r="O127" s="2351">
        <v>122189.067</v>
      </c>
      <c r="P127" s="2351">
        <v>120047.62</v>
      </c>
      <c r="Q127" s="2351">
        <v>118601.44799999999</v>
      </c>
      <c r="R127" s="2352">
        <v>119049.30099999999</v>
      </c>
      <c r="S127" s="2352">
        <v>121262.67300000001</v>
      </c>
      <c r="T127" s="2352">
        <v>123339.867</v>
      </c>
    </row>
    <row r="128" spans="1:20" x14ac:dyDescent="0.25">
      <c r="A128" s="2350" t="s">
        <v>471</v>
      </c>
      <c r="B128" s="2350" t="s">
        <v>468</v>
      </c>
      <c r="C128" s="2350" t="s">
        <v>1014</v>
      </c>
      <c r="D128" s="2351">
        <v>178818.97600000002</v>
      </c>
      <c r="E128" s="2351">
        <v>176408.05</v>
      </c>
      <c r="F128" s="2351">
        <v>172432.99499999997</v>
      </c>
      <c r="G128" s="2351">
        <v>167742.52599999998</v>
      </c>
      <c r="H128" s="2351">
        <v>162697.22699999998</v>
      </c>
      <c r="I128" s="2351">
        <v>158359.66999999998</v>
      </c>
      <c r="J128" s="2351">
        <v>154011.56399999998</v>
      </c>
      <c r="K128" s="2351">
        <v>150058.56599999999</v>
      </c>
      <c r="L128" s="2351">
        <v>146390.391</v>
      </c>
      <c r="M128" s="2351">
        <v>142377.935</v>
      </c>
      <c r="N128" s="2351">
        <v>138801.82399999999</v>
      </c>
      <c r="O128" s="2351">
        <v>135130.772</v>
      </c>
      <c r="P128" s="2351">
        <v>131766.59999999998</v>
      </c>
      <c r="Q128" s="2351">
        <v>128578.88399999999</v>
      </c>
      <c r="R128" s="2352">
        <v>125760.38299999999</v>
      </c>
      <c r="S128" s="2352">
        <v>122073.98700000001</v>
      </c>
      <c r="T128" s="2352">
        <v>119241.10099999998</v>
      </c>
    </row>
    <row r="129" spans="1:20" x14ac:dyDescent="0.25">
      <c r="A129" s="2350" t="s">
        <v>471</v>
      </c>
      <c r="B129" s="2350" t="s">
        <v>468</v>
      </c>
      <c r="C129" s="2350" t="s">
        <v>1015</v>
      </c>
      <c r="D129" s="2351">
        <v>170707.75399999999</v>
      </c>
      <c r="E129" s="2351">
        <v>170319.359</v>
      </c>
      <c r="F129" s="2351">
        <v>170894.75899999999</v>
      </c>
      <c r="G129" s="2351">
        <v>171448.10200000001</v>
      </c>
      <c r="H129" s="2351">
        <v>172137.62299999999</v>
      </c>
      <c r="I129" s="2351">
        <v>171162.32</v>
      </c>
      <c r="J129" s="2351">
        <v>168640.15000000002</v>
      </c>
      <c r="K129" s="2351">
        <v>164586.45699999999</v>
      </c>
      <c r="L129" s="2351">
        <v>159770.359</v>
      </c>
      <c r="M129" s="2351">
        <v>154673.27399999998</v>
      </c>
      <c r="N129" s="2351">
        <v>150367.36399999997</v>
      </c>
      <c r="O129" s="2351">
        <v>146149.682</v>
      </c>
      <c r="P129" s="2351">
        <v>142369.304</v>
      </c>
      <c r="Q129" s="2351">
        <v>138679.07199999999</v>
      </c>
      <c r="R129" s="2352">
        <v>134632.092</v>
      </c>
      <c r="S129" s="2352">
        <v>131013.785</v>
      </c>
      <c r="T129" s="2352">
        <v>127298.61899999999</v>
      </c>
    </row>
    <row r="130" spans="1:20" x14ac:dyDescent="0.25">
      <c r="A130" s="2350" t="s">
        <v>471</v>
      </c>
      <c r="B130" s="2350" t="s">
        <v>468</v>
      </c>
      <c r="C130" s="2350" t="s">
        <v>1016</v>
      </c>
      <c r="D130" s="2351">
        <v>183257.228</v>
      </c>
      <c r="E130" s="2351">
        <v>176775.34699999998</v>
      </c>
      <c r="F130" s="2351">
        <v>170549.519</v>
      </c>
      <c r="G130" s="2351">
        <v>165855.21400000001</v>
      </c>
      <c r="H130" s="2351">
        <v>162391.30599999998</v>
      </c>
      <c r="I130" s="2351">
        <v>160298.76799999998</v>
      </c>
      <c r="J130" s="2351">
        <v>159940.10200000001</v>
      </c>
      <c r="K130" s="2351">
        <v>160503.035</v>
      </c>
      <c r="L130" s="2351">
        <v>161015.141</v>
      </c>
      <c r="M130" s="2351">
        <v>161623.147</v>
      </c>
      <c r="N130" s="2351">
        <v>160142.451</v>
      </c>
      <c r="O130" s="2351">
        <v>157143.658</v>
      </c>
      <c r="P130" s="2351">
        <v>152708.283</v>
      </c>
      <c r="Q130" s="2351">
        <v>147710.93399999998</v>
      </c>
      <c r="R130" s="2352">
        <v>142521.785</v>
      </c>
      <c r="S130" s="2352">
        <v>138154.49900000001</v>
      </c>
      <c r="T130" s="2352">
        <v>133873.52299999999</v>
      </c>
    </row>
    <row r="131" spans="1:20" x14ac:dyDescent="0.25">
      <c r="A131" s="2350" t="s">
        <v>471</v>
      </c>
      <c r="B131" s="2350" t="s">
        <v>468</v>
      </c>
      <c r="C131" s="2350" t="s">
        <v>1017</v>
      </c>
      <c r="D131" s="2351">
        <v>184698.60499999998</v>
      </c>
      <c r="E131" s="2351">
        <v>185661.44099999999</v>
      </c>
      <c r="F131" s="2351">
        <v>186214.78399999999</v>
      </c>
      <c r="G131" s="2351">
        <v>184763.81699999998</v>
      </c>
      <c r="H131" s="2351">
        <v>181131.12499999997</v>
      </c>
      <c r="I131" s="2351">
        <v>175624.54699999996</v>
      </c>
      <c r="J131" s="2351">
        <v>169358.44099999999</v>
      </c>
      <c r="K131" s="2351">
        <v>163451.00099999999</v>
      </c>
      <c r="L131" s="2351">
        <v>158951.37299999999</v>
      </c>
      <c r="M131" s="2351">
        <v>155521.03</v>
      </c>
      <c r="N131" s="2351">
        <v>153410.27100000001</v>
      </c>
      <c r="O131" s="2351">
        <v>152935.56599999999</v>
      </c>
      <c r="P131" s="2351">
        <v>153259.70799999998</v>
      </c>
      <c r="Q131" s="2351">
        <v>153425.61499999999</v>
      </c>
      <c r="R131" s="2352">
        <v>153622.21</v>
      </c>
      <c r="S131" s="2352">
        <v>152112.74400000001</v>
      </c>
      <c r="T131" s="2352">
        <v>149090.935</v>
      </c>
    </row>
    <row r="132" spans="1:20" x14ac:dyDescent="0.25">
      <c r="A132" s="2350" t="s">
        <v>471</v>
      </c>
      <c r="B132" s="2350" t="s">
        <v>468</v>
      </c>
      <c r="C132" s="2350" t="s">
        <v>1018</v>
      </c>
      <c r="D132" s="2351">
        <v>169899.31700000001</v>
      </c>
      <c r="E132" s="2351">
        <v>172951.81399999998</v>
      </c>
      <c r="F132" s="2351">
        <v>174996.402</v>
      </c>
      <c r="G132" s="2351">
        <v>176894.26299999998</v>
      </c>
      <c r="H132" s="2351">
        <v>178470.859</v>
      </c>
      <c r="I132" s="2351">
        <v>179907.44099999999</v>
      </c>
      <c r="J132" s="2351">
        <v>180630.527</v>
      </c>
      <c r="K132" s="2351">
        <v>181063.03599999999</v>
      </c>
      <c r="L132" s="2351">
        <v>179612.06899999999</v>
      </c>
      <c r="M132" s="2351">
        <v>176032.12199999997</v>
      </c>
      <c r="N132" s="2351">
        <v>170592.674</v>
      </c>
      <c r="O132" s="2351">
        <v>164413.837</v>
      </c>
      <c r="P132" s="2351">
        <v>158601.33799999999</v>
      </c>
      <c r="Q132" s="2351">
        <v>154179.38899999997</v>
      </c>
      <c r="R132" s="2352">
        <v>150787.40600000002</v>
      </c>
      <c r="S132" s="2352">
        <v>148689.114</v>
      </c>
      <c r="T132" s="2352">
        <v>148212.49099999998</v>
      </c>
    </row>
    <row r="133" spans="1:20" x14ac:dyDescent="0.25">
      <c r="A133" s="2350" t="s">
        <v>471</v>
      </c>
      <c r="B133" s="2350" t="s">
        <v>468</v>
      </c>
      <c r="C133" s="2350" t="s">
        <v>1019</v>
      </c>
      <c r="D133" s="2351">
        <v>174210.022</v>
      </c>
      <c r="E133" s="2351">
        <v>171325.35</v>
      </c>
      <c r="F133" s="2351">
        <v>168980.595</v>
      </c>
      <c r="G133" s="2351">
        <v>167349.33600000001</v>
      </c>
      <c r="H133" s="2351">
        <v>166485.277</v>
      </c>
      <c r="I133" s="2351">
        <v>166236.89600000001</v>
      </c>
      <c r="J133" s="2351">
        <v>169079.372</v>
      </c>
      <c r="K133" s="2351">
        <v>170897.636</v>
      </c>
      <c r="L133" s="2351">
        <v>172557.66499999998</v>
      </c>
      <c r="M133" s="2351">
        <v>174142.89199999996</v>
      </c>
      <c r="N133" s="2351">
        <v>175587.14600000001</v>
      </c>
      <c r="O133" s="2351">
        <v>176323.65799999997</v>
      </c>
      <c r="P133" s="2351">
        <v>176764.79800000001</v>
      </c>
      <c r="Q133" s="2351">
        <v>175326.29799999998</v>
      </c>
      <c r="R133" s="2352">
        <v>171767.44899999999</v>
      </c>
      <c r="S133" s="2352">
        <v>166371.15599999999</v>
      </c>
      <c r="T133" s="2352">
        <v>160245.06399999998</v>
      </c>
    </row>
    <row r="134" spans="1:20" x14ac:dyDescent="0.25">
      <c r="A134" s="2350" t="s">
        <v>471</v>
      </c>
      <c r="B134" s="2350" t="s">
        <v>468</v>
      </c>
      <c r="C134" s="2350" t="s">
        <v>1020</v>
      </c>
      <c r="D134" s="2351">
        <v>162048.943</v>
      </c>
      <c r="E134" s="2351">
        <v>163939.13200000001</v>
      </c>
      <c r="F134" s="2351">
        <v>165664.37299999996</v>
      </c>
      <c r="G134" s="2351">
        <v>167385.77799999999</v>
      </c>
      <c r="H134" s="2351">
        <v>169141.70699999997</v>
      </c>
      <c r="I134" s="2351">
        <v>170962.848</v>
      </c>
      <c r="J134" s="2351">
        <v>168133.79800000001</v>
      </c>
      <c r="K134" s="2351">
        <v>165869.59899999999</v>
      </c>
      <c r="L134" s="2351">
        <v>164313.14199999999</v>
      </c>
      <c r="M134" s="2351">
        <v>163496.07399999999</v>
      </c>
      <c r="N134" s="2351">
        <v>163287.97099999999</v>
      </c>
      <c r="O134" s="2351">
        <v>166135.242</v>
      </c>
      <c r="P134" s="2351">
        <v>167961.17799999999</v>
      </c>
      <c r="Q134" s="2351">
        <v>169618.33000000002</v>
      </c>
      <c r="R134" s="2352">
        <v>171191.08999999997</v>
      </c>
      <c r="S134" s="2352">
        <v>172622.87699999998</v>
      </c>
      <c r="T134" s="2352">
        <v>173360.348</v>
      </c>
    </row>
    <row r="135" spans="1:20" x14ac:dyDescent="0.25">
      <c r="A135" s="2350" t="s">
        <v>471</v>
      </c>
      <c r="B135" s="2350" t="s">
        <v>468</v>
      </c>
      <c r="C135" s="2350" t="s">
        <v>1021</v>
      </c>
      <c r="D135" s="2351">
        <v>158314.59700000001</v>
      </c>
      <c r="E135" s="2351">
        <v>159147.96799999999</v>
      </c>
      <c r="F135" s="2351">
        <v>159547.87099999998</v>
      </c>
      <c r="G135" s="2351">
        <v>159525.81399999998</v>
      </c>
      <c r="H135" s="2351">
        <v>159073.166</v>
      </c>
      <c r="I135" s="2351">
        <v>158182.255</v>
      </c>
      <c r="J135" s="2351">
        <v>160081.07500000001</v>
      </c>
      <c r="K135" s="2351">
        <v>161834.12700000001</v>
      </c>
      <c r="L135" s="2351">
        <v>163591.97400000002</v>
      </c>
      <c r="M135" s="2351">
        <v>165377.63200000001</v>
      </c>
      <c r="N135" s="2351">
        <v>167226.58399999997</v>
      </c>
      <c r="O135" s="2351">
        <v>164488.63899999997</v>
      </c>
      <c r="P135" s="2351">
        <v>162293.48800000001</v>
      </c>
      <c r="Q135" s="2351">
        <v>160785.94</v>
      </c>
      <c r="R135" s="2352">
        <v>159998.601</v>
      </c>
      <c r="S135" s="2352">
        <v>159808.71899999998</v>
      </c>
      <c r="T135" s="2352">
        <v>162638.728</v>
      </c>
    </row>
    <row r="136" spans="1:20" x14ac:dyDescent="0.25">
      <c r="A136" s="2350" t="s">
        <v>471</v>
      </c>
      <c r="B136" s="2350" t="s">
        <v>468</v>
      </c>
      <c r="C136" s="2350" t="s">
        <v>1022</v>
      </c>
      <c r="D136" s="2351">
        <v>138750.038</v>
      </c>
      <c r="E136" s="2351">
        <v>142404.78699999998</v>
      </c>
      <c r="F136" s="2351">
        <v>145865.818</v>
      </c>
      <c r="G136" s="2351">
        <v>148889.54499999998</v>
      </c>
      <c r="H136" s="2351">
        <v>151455.82899999997</v>
      </c>
      <c r="I136" s="2351">
        <v>153628.92299999998</v>
      </c>
      <c r="J136" s="2351">
        <v>154513.12099999998</v>
      </c>
      <c r="K136" s="2351">
        <v>154996.45699999999</v>
      </c>
      <c r="L136" s="2351">
        <v>155028.10399999999</v>
      </c>
      <c r="M136" s="2351">
        <v>154624.36499999999</v>
      </c>
      <c r="N136" s="2351">
        <v>153797.70699999999</v>
      </c>
      <c r="O136" s="2351">
        <v>155724.33799999999</v>
      </c>
      <c r="P136" s="2351">
        <v>157503.283</v>
      </c>
      <c r="Q136" s="2351">
        <v>159286.06399999998</v>
      </c>
      <c r="R136" s="2352">
        <v>161085.14799999999</v>
      </c>
      <c r="S136" s="2352">
        <v>162939.85399999999</v>
      </c>
      <c r="T136" s="2352">
        <v>160279.58799999999</v>
      </c>
    </row>
    <row r="137" spans="1:20" x14ac:dyDescent="0.25">
      <c r="A137" s="2350" t="s">
        <v>471</v>
      </c>
      <c r="B137" s="2350" t="s">
        <v>468</v>
      </c>
      <c r="C137" s="2350" t="s">
        <v>1023</v>
      </c>
      <c r="D137" s="2351">
        <v>119965.14600000001</v>
      </c>
      <c r="E137" s="2351">
        <v>121886.023</v>
      </c>
      <c r="F137" s="2351">
        <v>123966.094</v>
      </c>
      <c r="G137" s="2351">
        <v>126529.501</v>
      </c>
      <c r="H137" s="2351">
        <v>129664.47200000001</v>
      </c>
      <c r="I137" s="2351">
        <v>133176.32999999999</v>
      </c>
      <c r="J137" s="2351">
        <v>136831.079</v>
      </c>
      <c r="K137" s="2351">
        <v>140309.372</v>
      </c>
      <c r="L137" s="2351">
        <v>143357.07399999999</v>
      </c>
      <c r="M137" s="2351">
        <v>145947.33299999998</v>
      </c>
      <c r="N137" s="2351">
        <v>148151.11499999999</v>
      </c>
      <c r="O137" s="2351">
        <v>149087.09899999999</v>
      </c>
      <c r="P137" s="2351">
        <v>149613.59</v>
      </c>
      <c r="Q137" s="2351">
        <v>149737.30099999998</v>
      </c>
      <c r="R137" s="2352">
        <v>149422.74900000001</v>
      </c>
      <c r="S137" s="2352">
        <v>148692.94999999998</v>
      </c>
      <c r="T137" s="2352">
        <v>150653.14600000001</v>
      </c>
    </row>
    <row r="138" spans="1:20" x14ac:dyDescent="0.25">
      <c r="A138" s="2350" t="s">
        <v>471</v>
      </c>
      <c r="B138" s="2350" t="s">
        <v>468</v>
      </c>
      <c r="C138" s="2350" t="s">
        <v>1024</v>
      </c>
      <c r="D138" s="2351">
        <v>95746.559999999998</v>
      </c>
      <c r="E138" s="2351">
        <v>100102.338</v>
      </c>
      <c r="F138" s="2351">
        <v>104312.34799999998</v>
      </c>
      <c r="G138" s="2351">
        <v>107935.44999999998</v>
      </c>
      <c r="H138" s="2351">
        <v>110803.819</v>
      </c>
      <c r="I138" s="2351">
        <v>113080.48499999999</v>
      </c>
      <c r="J138" s="2351">
        <v>115072.32800000001</v>
      </c>
      <c r="K138" s="2351">
        <v>117229.11900000001</v>
      </c>
      <c r="L138" s="2351">
        <v>119859.65599999999</v>
      </c>
      <c r="M138" s="2351">
        <v>123028.19199999998</v>
      </c>
      <c r="N138" s="2351">
        <v>126561.148</v>
      </c>
      <c r="O138" s="2351">
        <v>130234.118</v>
      </c>
      <c r="P138" s="2351">
        <v>133722.96</v>
      </c>
      <c r="Q138" s="2351">
        <v>136798.473</v>
      </c>
      <c r="R138" s="2352">
        <v>139426.133</v>
      </c>
      <c r="S138" s="2352">
        <v>141677.86499999999</v>
      </c>
      <c r="T138" s="2352">
        <v>142698.24099999998</v>
      </c>
    </row>
    <row r="139" spans="1:20" x14ac:dyDescent="0.25">
      <c r="A139" s="2350" t="s">
        <v>471</v>
      </c>
      <c r="B139" s="2350" t="s">
        <v>468</v>
      </c>
      <c r="C139" s="2350" t="s">
        <v>1025</v>
      </c>
      <c r="D139" s="2351">
        <v>78728.145999999993</v>
      </c>
      <c r="E139" s="2351">
        <v>78738.694999999992</v>
      </c>
      <c r="F139" s="2351">
        <v>79358.209000000003</v>
      </c>
      <c r="G139" s="2351">
        <v>80862.879999999976</v>
      </c>
      <c r="H139" s="2351">
        <v>83420.532999999996</v>
      </c>
      <c r="I139" s="2351">
        <v>87196.11599999998</v>
      </c>
      <c r="J139" s="2351">
        <v>91418.592999999993</v>
      </c>
      <c r="K139" s="2351">
        <v>95507.769</v>
      </c>
      <c r="L139" s="2351">
        <v>99043.601999999999</v>
      </c>
      <c r="M139" s="2351">
        <v>101889.91399999999</v>
      </c>
      <c r="N139" s="2351">
        <v>104214.53</v>
      </c>
      <c r="O139" s="2351">
        <v>106294.601</v>
      </c>
      <c r="P139" s="2351">
        <v>108533.86599999998</v>
      </c>
      <c r="Q139" s="2351">
        <v>111205.63999999998</v>
      </c>
      <c r="R139" s="2352">
        <v>114373.21699999999</v>
      </c>
      <c r="S139" s="2352">
        <v>117874.526</v>
      </c>
      <c r="T139" s="2352">
        <v>121502.423</v>
      </c>
    </row>
    <row r="140" spans="1:20" x14ac:dyDescent="0.25">
      <c r="A140" s="2350" t="s">
        <v>471</v>
      </c>
      <c r="B140" s="2350" t="s">
        <v>468</v>
      </c>
      <c r="C140" s="2350" t="s">
        <v>1026</v>
      </c>
      <c r="D140" s="2351">
        <v>64095.723999999995</v>
      </c>
      <c r="E140" s="2351">
        <v>65133.362000000001</v>
      </c>
      <c r="F140" s="2351">
        <v>65999.338999999993</v>
      </c>
      <c r="G140" s="2351">
        <v>66757.907999999996</v>
      </c>
      <c r="H140" s="2351">
        <v>67340.020999999993</v>
      </c>
      <c r="I140" s="2351">
        <v>67448.387999999992</v>
      </c>
      <c r="J140" s="2351">
        <v>67723.620999999985</v>
      </c>
      <c r="K140" s="2351">
        <v>68541.648000000001</v>
      </c>
      <c r="L140" s="2351">
        <v>70147.972999999998</v>
      </c>
      <c r="M140" s="2351">
        <v>72669.183999999994</v>
      </c>
      <c r="N140" s="2351">
        <v>76254.884999999995</v>
      </c>
      <c r="O140" s="2351">
        <v>80241.448000000004</v>
      </c>
      <c r="P140" s="2351">
        <v>84102.381999999998</v>
      </c>
      <c r="Q140" s="2351">
        <v>87484.774999999994</v>
      </c>
      <c r="R140" s="2352">
        <v>90254.366999999998</v>
      </c>
      <c r="S140" s="2352">
        <v>92561.72099999999</v>
      </c>
      <c r="T140" s="2352">
        <v>94655.218000000008</v>
      </c>
    </row>
    <row r="141" spans="1:20" x14ac:dyDescent="0.25">
      <c r="A141" s="2350" t="s">
        <v>471</v>
      </c>
      <c r="B141" s="2350" t="s">
        <v>468</v>
      </c>
      <c r="C141" s="2350" t="s">
        <v>1027</v>
      </c>
      <c r="D141" s="2351">
        <v>71804.165999999997</v>
      </c>
      <c r="E141" s="2351">
        <v>74625.543999999994</v>
      </c>
      <c r="F141" s="2351">
        <v>77511.175000000003</v>
      </c>
      <c r="G141" s="2351">
        <v>80203.088000000003</v>
      </c>
      <c r="H141" s="2351">
        <v>82914.180999999997</v>
      </c>
      <c r="I141" s="2351">
        <v>85685.690999999992</v>
      </c>
      <c r="J141" s="2351">
        <v>88468.709000000003</v>
      </c>
      <c r="K141" s="2351">
        <v>91206.653999999995</v>
      </c>
      <c r="L141" s="2351">
        <v>93887.058999999994</v>
      </c>
      <c r="M141" s="2351">
        <v>96480.194999999992</v>
      </c>
      <c r="N141" s="2351">
        <v>99144.296999999991</v>
      </c>
      <c r="O141" s="2351">
        <v>101986.773</v>
      </c>
      <c r="P141" s="2351">
        <v>105234.906</v>
      </c>
      <c r="Q141" s="2351">
        <v>109050.76699999999</v>
      </c>
      <c r="R141" s="2352">
        <v>113487.101</v>
      </c>
      <c r="S141" s="2352">
        <v>118442.254</v>
      </c>
      <c r="T141" s="2352">
        <v>123757.03199999999</v>
      </c>
    </row>
    <row r="142" spans="1:20" x14ac:dyDescent="0.25">
      <c r="A142" s="2353" t="s">
        <v>1028</v>
      </c>
      <c r="B142" s="2353"/>
      <c r="C142" s="2353"/>
      <c r="D142" s="2354">
        <f>SUM(D6:D141)</f>
        <v>45765710.256500006</v>
      </c>
      <c r="E142" s="2354">
        <f t="shared" ref="E142:T142" si="0">SUM(E6:E141)</f>
        <v>46243716.094000012</v>
      </c>
      <c r="F142" s="2354">
        <f t="shared" si="0"/>
        <v>46741256.142499991</v>
      </c>
      <c r="G142" s="2354">
        <f t="shared" si="0"/>
        <v>47268914.267000034</v>
      </c>
      <c r="H142" s="2354">
        <f t="shared" si="0"/>
        <v>47839907.980499998</v>
      </c>
      <c r="I142" s="2354">
        <f t="shared" si="0"/>
        <v>48476016.249999978</v>
      </c>
      <c r="J142" s="2354">
        <f t="shared" si="0"/>
        <v>49176549.75850001</v>
      </c>
      <c r="K142" s="2354">
        <f t="shared" si="0"/>
        <v>49928233.202999994</v>
      </c>
      <c r="L142" s="2354">
        <f t="shared" si="0"/>
        <v>50724112.424500011</v>
      </c>
      <c r="M142" s="2354">
        <f t="shared" si="0"/>
        <v>51550684.343000017</v>
      </c>
      <c r="N142" s="2354">
        <f t="shared" si="0"/>
        <v>52409723.902500018</v>
      </c>
      <c r="O142" s="2354">
        <f t="shared" si="0"/>
        <v>53282288.802000016</v>
      </c>
      <c r="P142" s="2354">
        <f t="shared" si="0"/>
        <v>54166787.266499996</v>
      </c>
      <c r="Q142" s="2354">
        <f t="shared" si="0"/>
        <v>55055626.013999969</v>
      </c>
      <c r="R142" s="2354">
        <f t="shared" si="0"/>
        <v>55946871.587499984</v>
      </c>
      <c r="S142" s="2354">
        <f t="shared" si="0"/>
        <v>56837474.128500007</v>
      </c>
      <c r="T142" s="2354">
        <f t="shared" si="0"/>
        <v>57725605.58700002</v>
      </c>
    </row>
  </sheetData>
  <pageMargins left="0.7" right="0.7" top="0.75" bottom="0.75" header="0.3" footer="0.3"/>
  <pageSetup paperSize="9" orientation="portrait" r:id="rId1"/>
  <headerFooter>
    <oddHeader>&amp;CDevelopment Indicators 2017</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Y105"/>
  <sheetViews>
    <sheetView showGridLines="0" view="pageBreakPreview" zoomScaleNormal="100" zoomScaleSheetLayoutView="100" workbookViewId="0">
      <selection activeCell="E9" sqref="E9"/>
    </sheetView>
  </sheetViews>
  <sheetFormatPr defaultColWidth="9.28515625" defaultRowHeight="15" x14ac:dyDescent="0.25"/>
  <cols>
    <col min="1" max="1" width="3.7109375" style="296" customWidth="1"/>
    <col min="2" max="2" width="12.7109375" style="297" customWidth="1"/>
    <col min="3" max="3" width="3.7109375" style="298" customWidth="1"/>
    <col min="4" max="4" width="14.42578125" style="300" customWidth="1"/>
    <col min="5" max="20" width="8.28515625" style="300" customWidth="1"/>
    <col min="21" max="21" width="7.140625" style="300" customWidth="1"/>
    <col min="22" max="22" width="6.28515625" style="300" customWidth="1"/>
    <col min="23" max="23" width="6.7109375" style="300" customWidth="1"/>
    <col min="24" max="24" width="4.85546875" style="300" customWidth="1"/>
    <col min="25" max="26" width="4.28515625" style="145" customWidth="1"/>
    <col min="27" max="27" width="4" style="145" customWidth="1"/>
    <col min="28" max="28" width="3.7109375" style="300" customWidth="1"/>
    <col min="29" max="29" width="3.85546875" style="300" customWidth="1"/>
    <col min="30" max="30" width="3.7109375" style="300" customWidth="1"/>
    <col min="31" max="31" width="4.28515625" style="300" customWidth="1"/>
    <col min="32" max="32" width="4.140625" style="300" customWidth="1"/>
    <col min="33" max="33" width="4.28515625" style="300" customWidth="1"/>
    <col min="34" max="72" width="4.7109375" style="300" customWidth="1"/>
    <col min="73" max="16384" width="9.28515625" style="300"/>
  </cols>
  <sheetData>
    <row r="1" spans="1:58" x14ac:dyDescent="0.25">
      <c r="D1" s="299"/>
      <c r="E1" s="299"/>
      <c r="F1" s="299"/>
      <c r="G1" s="299"/>
      <c r="H1" s="299"/>
      <c r="I1" s="299"/>
      <c r="J1" s="299"/>
      <c r="K1" s="299"/>
      <c r="L1" s="299"/>
      <c r="M1" s="299"/>
      <c r="N1" s="299"/>
      <c r="O1" s="299"/>
      <c r="P1" s="299"/>
      <c r="Q1" s="299"/>
      <c r="R1" s="299"/>
      <c r="S1" s="299"/>
      <c r="T1" s="299"/>
    </row>
    <row r="2" spans="1:58" ht="15" customHeight="1" x14ac:dyDescent="0.25">
      <c r="A2" s="296">
        <v>1</v>
      </c>
      <c r="B2" s="301" t="s">
        <v>0</v>
      </c>
      <c r="C2" s="116">
        <f>'[3]Inflation '!C2+1</f>
        <v>9</v>
      </c>
      <c r="D2" s="4063" t="s">
        <v>188</v>
      </c>
      <c r="E2" s="4064"/>
      <c r="F2" s="4064"/>
      <c r="G2" s="4064"/>
      <c r="H2" s="4064"/>
      <c r="I2" s="4064"/>
      <c r="J2" s="4064"/>
      <c r="K2" s="4064"/>
      <c r="L2" s="4064"/>
      <c r="M2" s="4064"/>
      <c r="N2" s="4064"/>
      <c r="O2" s="4064"/>
      <c r="P2" s="4064"/>
      <c r="Q2" s="4064"/>
      <c r="R2" s="4064"/>
      <c r="S2" s="4064"/>
      <c r="T2" s="4064"/>
      <c r="U2" s="4064"/>
      <c r="V2" s="4064"/>
      <c r="W2" s="4065"/>
      <c r="X2" s="254"/>
      <c r="Y2" s="337"/>
      <c r="Z2" s="338"/>
      <c r="AA2" s="338"/>
      <c r="AB2" s="49"/>
      <c r="AC2" s="49"/>
      <c r="AD2" s="49"/>
      <c r="AE2" s="49"/>
      <c r="AF2" s="49"/>
      <c r="AG2" s="49"/>
      <c r="AH2" s="303"/>
    </row>
    <row r="3" spans="1:58" ht="15" customHeight="1" x14ac:dyDescent="0.25">
      <c r="A3" s="296">
        <v>2</v>
      </c>
      <c r="B3" s="301" t="s">
        <v>2</v>
      </c>
      <c r="C3" s="296"/>
      <c r="D3" s="4057" t="s">
        <v>127</v>
      </c>
      <c r="E3" s="4058"/>
      <c r="F3" s="4058"/>
      <c r="G3" s="4058"/>
      <c r="H3" s="4058"/>
      <c r="I3" s="4058"/>
      <c r="J3" s="4058"/>
      <c r="K3" s="4058"/>
      <c r="L3" s="4058"/>
      <c r="M3" s="4058"/>
      <c r="N3" s="4058"/>
      <c r="O3" s="4058"/>
      <c r="P3" s="4058"/>
      <c r="Q3" s="4058"/>
      <c r="R3" s="4058"/>
      <c r="S3" s="4058"/>
      <c r="T3" s="4058"/>
      <c r="U3" s="4058"/>
      <c r="V3" s="4058"/>
      <c r="W3" s="4059"/>
      <c r="X3" s="175"/>
      <c r="Y3" s="339"/>
      <c r="Z3" s="338"/>
      <c r="AA3" s="338"/>
      <c r="AB3" s="49"/>
      <c r="AC3" s="49"/>
      <c r="AD3" s="49"/>
      <c r="AE3" s="49"/>
      <c r="AF3" s="49"/>
      <c r="AG3" s="49"/>
      <c r="AH3" s="303"/>
    </row>
    <row r="4" spans="1:58" ht="15" customHeight="1" x14ac:dyDescent="0.25">
      <c r="A4" s="296">
        <v>3</v>
      </c>
      <c r="B4" s="301" t="s">
        <v>4</v>
      </c>
      <c r="C4" s="296"/>
      <c r="D4" s="4057" t="s">
        <v>189</v>
      </c>
      <c r="E4" s="4058"/>
      <c r="F4" s="4058"/>
      <c r="G4" s="4058"/>
      <c r="H4" s="4058"/>
      <c r="I4" s="4058"/>
      <c r="J4" s="4058"/>
      <c r="K4" s="4058"/>
      <c r="L4" s="4058"/>
      <c r="M4" s="4058"/>
      <c r="N4" s="4058"/>
      <c r="O4" s="4058"/>
      <c r="P4" s="4058"/>
      <c r="Q4" s="4058"/>
      <c r="R4" s="4058"/>
      <c r="S4" s="4058"/>
      <c r="T4" s="4058"/>
      <c r="U4" s="4058"/>
      <c r="V4" s="4058"/>
      <c r="W4" s="4059"/>
      <c r="X4" s="339"/>
      <c r="Y4" s="339"/>
      <c r="Z4" s="338"/>
      <c r="AA4" s="338"/>
      <c r="AB4" s="338"/>
      <c r="AC4" s="49"/>
      <c r="AD4" s="49"/>
      <c r="AE4" s="49"/>
      <c r="AF4" s="49"/>
      <c r="AG4" s="49"/>
      <c r="AH4" s="49"/>
    </row>
    <row r="5" spans="1:58" s="44" customFormat="1" ht="12.75" customHeight="1" x14ac:dyDescent="0.25">
      <c r="A5" s="116"/>
      <c r="B5" s="117"/>
      <c r="C5" s="116"/>
      <c r="D5" s="4057"/>
      <c r="E5" s="4058"/>
      <c r="F5" s="4058"/>
      <c r="G5" s="4058"/>
      <c r="H5" s="4058"/>
      <c r="I5" s="4058"/>
      <c r="J5" s="4058"/>
      <c r="K5" s="4058"/>
      <c r="L5" s="4058"/>
      <c r="M5" s="4058"/>
      <c r="N5" s="4058"/>
      <c r="O5" s="4058"/>
      <c r="P5" s="4058"/>
      <c r="Q5" s="4058"/>
      <c r="R5" s="4058"/>
      <c r="S5" s="4058"/>
      <c r="T5" s="4058"/>
      <c r="U5" s="4058"/>
      <c r="V5" s="4058"/>
      <c r="W5" s="4059"/>
      <c r="X5" s="4101"/>
      <c r="Y5" s="4101"/>
      <c r="Z5" s="4101"/>
      <c r="AA5" s="4101"/>
      <c r="AB5" s="4101"/>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25">
      <c r="A6" s="296">
        <v>4</v>
      </c>
      <c r="B6" s="301" t="s">
        <v>5</v>
      </c>
      <c r="C6" s="296"/>
      <c r="D6" s="299"/>
      <c r="E6" s="299"/>
      <c r="F6" s="299"/>
      <c r="G6" s="299"/>
      <c r="H6" s="299"/>
      <c r="I6" s="299"/>
      <c r="J6" s="299"/>
      <c r="K6" s="299"/>
      <c r="L6" s="299"/>
      <c r="M6" s="299"/>
      <c r="N6" s="299"/>
      <c r="O6" s="299"/>
      <c r="P6" s="299"/>
      <c r="Q6" s="299"/>
      <c r="R6" s="299"/>
      <c r="S6" s="317"/>
      <c r="T6" s="317"/>
      <c r="U6" s="303"/>
      <c r="V6" s="340"/>
      <c r="W6" s="303"/>
      <c r="X6" s="91"/>
      <c r="Y6" s="91"/>
      <c r="Z6" s="91"/>
      <c r="AA6" s="91"/>
      <c r="AB6" s="91"/>
      <c r="AC6" s="303"/>
      <c r="AD6" s="303"/>
      <c r="AE6" s="303"/>
      <c r="AF6" s="303"/>
      <c r="AG6" s="303"/>
    </row>
    <row r="7" spans="1:58" x14ac:dyDescent="0.25">
      <c r="D7" s="305" t="s">
        <v>112</v>
      </c>
      <c r="E7" s="305" t="s">
        <v>190</v>
      </c>
      <c r="F7" s="305"/>
      <c r="G7" s="305"/>
      <c r="H7" s="305"/>
      <c r="I7" s="305"/>
      <c r="J7" s="305"/>
      <c r="K7" s="305"/>
      <c r="L7" s="305"/>
      <c r="M7" s="305"/>
      <c r="N7" s="306"/>
      <c r="O7" s="306"/>
      <c r="P7" s="306"/>
      <c r="Q7" s="306"/>
      <c r="R7" s="306"/>
      <c r="S7" s="320"/>
      <c r="T7" s="320"/>
      <c r="U7" s="303"/>
      <c r="V7" s="340"/>
      <c r="W7" s="303"/>
      <c r="X7" s="91"/>
      <c r="Y7" s="91"/>
      <c r="Z7" s="91"/>
      <c r="AA7" s="91"/>
      <c r="AB7" s="91"/>
      <c r="AC7" s="303"/>
      <c r="AD7" s="303"/>
      <c r="AE7" s="303"/>
      <c r="AF7" s="303"/>
      <c r="AG7" s="303"/>
    </row>
    <row r="8" spans="1:58" x14ac:dyDescent="0.25">
      <c r="D8" s="341" t="s">
        <v>182</v>
      </c>
      <c r="E8" s="342">
        <v>36160</v>
      </c>
      <c r="F8" s="342">
        <v>36525</v>
      </c>
      <c r="G8" s="342">
        <v>36891</v>
      </c>
      <c r="H8" s="342">
        <v>37256</v>
      </c>
      <c r="I8" s="342">
        <v>37621</v>
      </c>
      <c r="J8" s="342">
        <v>37986</v>
      </c>
      <c r="K8" s="342">
        <v>38352</v>
      </c>
      <c r="L8" s="342">
        <v>38717</v>
      </c>
      <c r="M8" s="342">
        <v>39082</v>
      </c>
      <c r="N8" s="342">
        <v>39447</v>
      </c>
      <c r="O8" s="342">
        <v>39813</v>
      </c>
      <c r="P8" s="342">
        <v>40178</v>
      </c>
      <c r="Q8" s="342">
        <v>40543</v>
      </c>
      <c r="R8" s="342">
        <v>40908</v>
      </c>
      <c r="S8" s="342">
        <v>41274</v>
      </c>
      <c r="T8" s="342">
        <v>41275</v>
      </c>
      <c r="U8" s="342">
        <v>41641</v>
      </c>
      <c r="V8" s="342">
        <v>42007</v>
      </c>
      <c r="W8" s="342">
        <v>42371</v>
      </c>
      <c r="X8" s="343">
        <v>42738</v>
      </c>
      <c r="Y8" s="344"/>
      <c r="Z8" s="344"/>
    </row>
    <row r="9" spans="1:58" ht="23.25" x14ac:dyDescent="0.25">
      <c r="D9" s="345" t="s">
        <v>191</v>
      </c>
      <c r="E9" s="346">
        <v>397</v>
      </c>
      <c r="F9" s="346">
        <v>422</v>
      </c>
      <c r="G9" s="346">
        <v>332</v>
      </c>
      <c r="H9" s="346">
        <v>311</v>
      </c>
      <c r="I9" s="346">
        <v>270</v>
      </c>
      <c r="J9" s="346">
        <v>175</v>
      </c>
      <c r="K9" s="346">
        <v>141</v>
      </c>
      <c r="L9" s="346">
        <v>95</v>
      </c>
      <c r="M9" s="346">
        <v>90</v>
      </c>
      <c r="N9" s="346">
        <v>100</v>
      </c>
      <c r="O9" s="346">
        <v>328</v>
      </c>
      <c r="P9" s="346">
        <v>299</v>
      </c>
      <c r="Q9" s="346">
        <v>167</v>
      </c>
      <c r="R9" s="346">
        <v>195</v>
      </c>
      <c r="S9" s="346">
        <v>206</v>
      </c>
      <c r="T9" s="346">
        <v>234</v>
      </c>
      <c r="U9" s="346">
        <v>231</v>
      </c>
      <c r="V9" s="346">
        <v>296</v>
      </c>
      <c r="W9" s="346">
        <v>343</v>
      </c>
      <c r="X9" s="347">
        <v>267</v>
      </c>
      <c r="Y9" s="348"/>
      <c r="Z9" s="348"/>
    </row>
    <row r="10" spans="1:58" x14ac:dyDescent="0.25">
      <c r="D10" s="349"/>
      <c r="E10" s="317"/>
      <c r="F10" s="317"/>
      <c r="G10" s="317"/>
      <c r="H10" s="317"/>
      <c r="I10" s="317"/>
      <c r="J10" s="317"/>
      <c r="K10" s="317"/>
      <c r="L10" s="350"/>
      <c r="M10" s="351"/>
      <c r="N10" s="306"/>
      <c r="O10" s="306"/>
      <c r="P10" s="306"/>
      <c r="Q10" s="299"/>
      <c r="R10" s="320"/>
      <c r="S10" s="352"/>
      <c r="T10" s="352"/>
      <c r="V10" s="340"/>
    </row>
    <row r="11" spans="1:58" x14ac:dyDescent="0.25">
      <c r="A11" s="296">
        <v>5</v>
      </c>
      <c r="B11" s="301" t="s">
        <v>90</v>
      </c>
      <c r="D11" s="299"/>
      <c r="E11" s="320"/>
      <c r="F11" s="320"/>
      <c r="G11" s="320"/>
      <c r="H11" s="320"/>
      <c r="I11" s="320"/>
      <c r="J11" s="320"/>
      <c r="K11" s="320"/>
      <c r="L11" s="320"/>
      <c r="M11" s="320"/>
      <c r="N11" s="320"/>
      <c r="O11" s="320"/>
      <c r="P11" s="320"/>
      <c r="Q11" s="320"/>
      <c r="R11" s="320"/>
      <c r="S11" s="352"/>
      <c r="T11" s="352"/>
      <c r="V11" s="340"/>
    </row>
    <row r="12" spans="1:58" x14ac:dyDescent="0.25">
      <c r="C12" s="296"/>
      <c r="D12" s="299"/>
      <c r="E12" s="320"/>
      <c r="F12" s="320"/>
      <c r="G12" s="320"/>
      <c r="H12" s="320"/>
      <c r="I12" s="320"/>
      <c r="J12" s="320"/>
      <c r="K12" s="320"/>
      <c r="L12" s="320"/>
      <c r="M12" s="320"/>
      <c r="N12" s="320"/>
      <c r="O12" s="320"/>
      <c r="P12" s="320"/>
      <c r="Q12" s="320"/>
      <c r="R12" s="320"/>
      <c r="S12" s="352"/>
      <c r="T12" s="352"/>
      <c r="V12" s="340"/>
    </row>
    <row r="13" spans="1:58" x14ac:dyDescent="0.25">
      <c r="D13" s="299"/>
      <c r="E13" s="320"/>
      <c r="F13" s="320"/>
      <c r="G13" s="320"/>
      <c r="H13" s="320"/>
      <c r="I13" s="320"/>
      <c r="J13" s="320"/>
      <c r="K13" s="320"/>
      <c r="L13" s="320"/>
      <c r="M13" s="320"/>
      <c r="N13" s="320"/>
      <c r="O13" s="320"/>
      <c r="P13" s="320"/>
      <c r="Q13" s="320"/>
      <c r="R13" s="320"/>
      <c r="S13" s="352"/>
      <c r="T13" s="352"/>
      <c r="V13" s="340"/>
    </row>
    <row r="14" spans="1:58" x14ac:dyDescent="0.25">
      <c r="D14" s="299"/>
      <c r="E14" s="320"/>
      <c r="F14" s="320"/>
      <c r="G14" s="320"/>
      <c r="H14" s="320"/>
      <c r="I14" s="320"/>
      <c r="J14" s="320"/>
      <c r="K14" s="320"/>
      <c r="L14" s="320"/>
      <c r="M14" s="320"/>
      <c r="N14" s="320"/>
      <c r="O14" s="320"/>
      <c r="P14" s="320"/>
      <c r="Q14" s="320"/>
      <c r="R14" s="320"/>
      <c r="S14" s="352"/>
      <c r="T14" s="352"/>
      <c r="V14" s="340"/>
    </row>
    <row r="15" spans="1:58" x14ac:dyDescent="0.25">
      <c r="D15" s="299"/>
      <c r="E15" s="320"/>
      <c r="F15" s="320"/>
      <c r="G15" s="320"/>
      <c r="H15" s="320"/>
      <c r="I15" s="320"/>
      <c r="J15" s="320"/>
      <c r="K15" s="320"/>
      <c r="L15" s="320"/>
      <c r="M15" s="320"/>
      <c r="N15" s="320"/>
      <c r="O15" s="320"/>
      <c r="P15" s="320"/>
      <c r="Q15" s="320"/>
      <c r="R15" s="320"/>
      <c r="S15" s="352"/>
      <c r="T15" s="352"/>
      <c r="V15" s="340"/>
    </row>
    <row r="16" spans="1:58" x14ac:dyDescent="0.25">
      <c r="D16" s="299"/>
      <c r="E16" s="320"/>
      <c r="F16" s="320"/>
      <c r="G16" s="320"/>
      <c r="H16" s="320"/>
      <c r="I16" s="320"/>
      <c r="J16" s="320"/>
      <c r="K16" s="320"/>
      <c r="L16" s="320"/>
      <c r="M16" s="320"/>
      <c r="N16" s="320"/>
      <c r="O16" s="320"/>
      <c r="P16" s="320"/>
      <c r="Q16" s="320"/>
      <c r="R16" s="320"/>
      <c r="S16" s="320"/>
      <c r="T16" s="320"/>
      <c r="V16" s="340"/>
    </row>
    <row r="17" spans="1:53" x14ac:dyDescent="0.25">
      <c r="D17" s="299"/>
      <c r="E17" s="320"/>
      <c r="F17" s="320"/>
      <c r="G17" s="320"/>
      <c r="H17" s="320"/>
      <c r="I17" s="320"/>
      <c r="J17" s="320"/>
      <c r="K17" s="320"/>
      <c r="L17" s="320"/>
      <c r="M17" s="320"/>
      <c r="N17" s="320"/>
      <c r="O17" s="320"/>
      <c r="P17" s="320"/>
      <c r="Q17" s="320"/>
      <c r="R17" s="320"/>
      <c r="S17" s="320"/>
      <c r="T17" s="320"/>
      <c r="V17" s="340"/>
    </row>
    <row r="18" spans="1:53" x14ac:dyDescent="0.25">
      <c r="D18" s="299"/>
      <c r="E18" s="320"/>
      <c r="F18" s="320"/>
      <c r="G18" s="320"/>
      <c r="H18" s="320"/>
      <c r="I18" s="320"/>
      <c r="J18" s="320"/>
      <c r="K18" s="320"/>
      <c r="L18" s="320"/>
      <c r="M18" s="320"/>
      <c r="N18" s="320"/>
      <c r="O18" s="320"/>
      <c r="P18" s="320"/>
      <c r="Q18" s="320"/>
      <c r="R18" s="320"/>
      <c r="S18" s="320"/>
      <c r="T18" s="320"/>
      <c r="V18" s="340"/>
    </row>
    <row r="19" spans="1:53" x14ac:dyDescent="0.25">
      <c r="D19" s="299"/>
      <c r="E19" s="320"/>
      <c r="F19" s="320"/>
      <c r="G19" s="320"/>
      <c r="H19" s="320"/>
      <c r="I19" s="320"/>
      <c r="J19" s="320"/>
      <c r="K19" s="320"/>
      <c r="L19" s="320"/>
      <c r="M19" s="320"/>
      <c r="N19" s="320"/>
      <c r="O19" s="320"/>
      <c r="P19" s="320"/>
      <c r="Q19" s="320"/>
      <c r="R19" s="320"/>
      <c r="S19" s="320"/>
      <c r="T19" s="320"/>
      <c r="V19" s="340"/>
    </row>
    <row r="20" spans="1:53" x14ac:dyDescent="0.25">
      <c r="D20" s="299"/>
      <c r="E20" s="320"/>
      <c r="F20" s="320"/>
      <c r="G20" s="320"/>
      <c r="H20" s="320"/>
      <c r="I20" s="320"/>
      <c r="J20" s="320"/>
      <c r="K20" s="320"/>
      <c r="L20" s="320"/>
      <c r="M20" s="320"/>
      <c r="N20" s="320"/>
      <c r="O20" s="320"/>
      <c r="P20" s="320"/>
      <c r="Q20" s="320"/>
      <c r="R20" s="320"/>
      <c r="S20" s="320"/>
      <c r="T20" s="320"/>
      <c r="V20" s="340"/>
    </row>
    <row r="21" spans="1:53" x14ac:dyDescent="0.25">
      <c r="D21" s="299"/>
      <c r="E21" s="320"/>
      <c r="F21" s="320"/>
      <c r="G21" s="320"/>
      <c r="H21" s="320"/>
      <c r="I21" s="320"/>
      <c r="J21" s="320"/>
      <c r="K21" s="320"/>
      <c r="L21" s="320"/>
      <c r="M21" s="320"/>
      <c r="N21" s="320"/>
      <c r="O21" s="320"/>
      <c r="P21" s="320"/>
      <c r="Q21" s="320"/>
      <c r="R21" s="320"/>
      <c r="S21" s="320"/>
      <c r="T21" s="320"/>
      <c r="V21" s="340"/>
    </row>
    <row r="22" spans="1:53" x14ac:dyDescent="0.25">
      <c r="D22" s="299"/>
      <c r="E22" s="299"/>
      <c r="F22" s="299"/>
      <c r="G22" s="299"/>
      <c r="H22" s="299"/>
      <c r="I22" s="299"/>
      <c r="J22" s="299"/>
      <c r="K22" s="299"/>
      <c r="L22" s="299"/>
      <c r="M22" s="299"/>
      <c r="N22" s="299"/>
      <c r="O22" s="299"/>
      <c r="P22" s="299"/>
      <c r="Q22" s="299"/>
      <c r="R22" s="299"/>
      <c r="S22" s="299"/>
      <c r="T22" s="299"/>
      <c r="V22" s="340"/>
    </row>
    <row r="23" spans="1:53" x14ac:dyDescent="0.25">
      <c r="D23" s="299"/>
      <c r="E23" s="299"/>
      <c r="F23" s="299"/>
      <c r="G23" s="299"/>
      <c r="H23" s="299"/>
      <c r="I23" s="299"/>
      <c r="J23" s="299"/>
      <c r="K23" s="299"/>
      <c r="L23" s="299"/>
      <c r="M23" s="299"/>
      <c r="N23" s="299"/>
      <c r="O23" s="299"/>
      <c r="P23" s="299"/>
      <c r="Q23" s="299"/>
      <c r="R23" s="299"/>
      <c r="S23" s="299"/>
      <c r="T23" s="299"/>
      <c r="V23" s="340"/>
    </row>
    <row r="24" spans="1:53" x14ac:dyDescent="0.25">
      <c r="D24" s="299"/>
      <c r="E24" s="299"/>
      <c r="F24" s="299"/>
      <c r="G24" s="299"/>
      <c r="H24" s="299"/>
      <c r="I24" s="299"/>
      <c r="J24" s="299"/>
      <c r="K24" s="299"/>
      <c r="L24" s="299"/>
      <c r="M24" s="299"/>
      <c r="N24" s="299"/>
      <c r="O24" s="299"/>
      <c r="P24" s="299"/>
      <c r="Q24" s="299"/>
      <c r="R24" s="299"/>
      <c r="S24" s="299"/>
      <c r="T24" s="299"/>
      <c r="V24" s="340"/>
    </row>
    <row r="25" spans="1:53" x14ac:dyDescent="0.25">
      <c r="D25" s="299"/>
      <c r="E25" s="299"/>
      <c r="F25" s="299"/>
      <c r="G25" s="299"/>
      <c r="H25" s="299"/>
      <c r="I25" s="299"/>
      <c r="J25" s="299"/>
      <c r="K25" s="299"/>
      <c r="L25" s="299"/>
      <c r="M25" s="299"/>
      <c r="N25" s="299"/>
      <c r="O25" s="299"/>
      <c r="P25" s="299"/>
      <c r="Q25" s="299"/>
      <c r="R25" s="299"/>
      <c r="S25" s="299"/>
      <c r="T25" s="299"/>
      <c r="V25" s="353"/>
    </row>
    <row r="26" spans="1:53" x14ac:dyDescent="0.25">
      <c r="D26" s="299"/>
      <c r="E26" s="299"/>
      <c r="F26" s="299"/>
      <c r="G26" s="299"/>
      <c r="H26" s="299"/>
      <c r="I26" s="299"/>
      <c r="J26" s="299"/>
      <c r="K26" s="299"/>
      <c r="L26" s="299"/>
      <c r="M26" s="299"/>
      <c r="N26" s="299"/>
      <c r="O26" s="299"/>
      <c r="P26" s="299"/>
      <c r="Q26" s="299"/>
      <c r="R26" s="299"/>
      <c r="S26" s="299"/>
      <c r="T26" s="299"/>
    </row>
    <row r="27" spans="1:53" x14ac:dyDescent="0.25">
      <c r="D27" s="299"/>
      <c r="E27" s="299"/>
      <c r="F27" s="299"/>
      <c r="G27" s="299"/>
      <c r="H27" s="299"/>
      <c r="I27" s="299"/>
      <c r="J27" s="299"/>
      <c r="K27" s="299"/>
      <c r="L27" s="299"/>
      <c r="M27" s="299"/>
      <c r="N27" s="299"/>
      <c r="O27" s="299"/>
      <c r="P27" s="299"/>
      <c r="Q27" s="299"/>
      <c r="R27" s="299"/>
      <c r="S27" s="299"/>
      <c r="T27" s="299"/>
    </row>
    <row r="28" spans="1:53" x14ac:dyDescent="0.25">
      <c r="A28" s="296">
        <v>6</v>
      </c>
      <c r="B28" s="301" t="s">
        <v>29</v>
      </c>
      <c r="C28" s="296"/>
      <c r="D28" s="4048" t="s">
        <v>192</v>
      </c>
      <c r="E28" s="4049"/>
      <c r="F28" s="4049"/>
      <c r="G28" s="4049"/>
      <c r="H28" s="4049"/>
      <c r="I28" s="4049"/>
      <c r="J28" s="4049"/>
      <c r="K28" s="4049"/>
      <c r="L28" s="4049"/>
      <c r="M28" s="4049"/>
      <c r="N28" s="4049"/>
      <c r="O28" s="4049"/>
      <c r="P28" s="4049"/>
      <c r="Q28" s="4049"/>
      <c r="R28" s="4049"/>
      <c r="S28" s="4049"/>
      <c r="T28" s="4049"/>
      <c r="U28" s="4049"/>
      <c r="V28" s="4049"/>
      <c r="W28" s="4050"/>
      <c r="X28" s="142"/>
      <c r="Y28" s="270"/>
    </row>
    <row r="29" spans="1:53" ht="13.5" customHeight="1" x14ac:dyDescent="0.25">
      <c r="A29" s="323">
        <v>7</v>
      </c>
      <c r="B29" s="324" t="s">
        <v>32</v>
      </c>
      <c r="C29" s="323"/>
      <c r="D29" s="4066" t="s">
        <v>193</v>
      </c>
      <c r="E29" s="4067"/>
      <c r="F29" s="4067"/>
      <c r="G29" s="4067"/>
      <c r="H29" s="4067"/>
      <c r="I29" s="4067"/>
      <c r="J29" s="4067"/>
      <c r="K29" s="4067"/>
      <c r="L29" s="4067"/>
      <c r="M29" s="4067"/>
      <c r="N29" s="4067"/>
      <c r="O29" s="4067"/>
      <c r="P29" s="4067"/>
      <c r="Q29" s="4067"/>
      <c r="R29" s="4067"/>
      <c r="S29" s="4067"/>
      <c r="T29" s="4067"/>
      <c r="U29" s="4067"/>
      <c r="V29" s="4067"/>
      <c r="W29" s="4068"/>
      <c r="X29" s="170"/>
      <c r="Y29" s="354"/>
    </row>
    <row r="30" spans="1:53" ht="13.15" customHeight="1" x14ac:dyDescent="0.25">
      <c r="A30" s="296">
        <v>8</v>
      </c>
      <c r="B30" s="301" t="s">
        <v>31</v>
      </c>
      <c r="C30" s="296"/>
      <c r="D30" s="4048" t="s">
        <v>194</v>
      </c>
      <c r="E30" s="4049"/>
      <c r="F30" s="4049"/>
      <c r="G30" s="4049"/>
      <c r="H30" s="4049"/>
      <c r="I30" s="4049"/>
      <c r="J30" s="4049"/>
      <c r="K30" s="4049"/>
      <c r="L30" s="4049"/>
      <c r="M30" s="4049"/>
      <c r="N30" s="4049"/>
      <c r="O30" s="4049"/>
      <c r="P30" s="4049"/>
      <c r="Q30" s="4049"/>
      <c r="R30" s="4049"/>
      <c r="S30" s="4049"/>
      <c r="T30" s="4049"/>
      <c r="U30" s="4049"/>
      <c r="V30" s="4049"/>
      <c r="W30" s="4050"/>
      <c r="X30" s="142"/>
      <c r="Y30" s="270"/>
    </row>
    <row r="31" spans="1:53" s="44" customFormat="1" ht="12.75" customHeight="1" x14ac:dyDescent="0.25">
      <c r="A31" s="116">
        <v>9</v>
      </c>
      <c r="B31" s="117" t="s">
        <v>95</v>
      </c>
      <c r="C31" s="116"/>
      <c r="D31" s="4066" t="s">
        <v>195</v>
      </c>
      <c r="E31" s="4067"/>
      <c r="F31" s="4067"/>
      <c r="G31" s="4067"/>
      <c r="H31" s="4067"/>
      <c r="I31" s="4067"/>
      <c r="J31" s="4067"/>
      <c r="K31" s="4067"/>
      <c r="L31" s="4067"/>
      <c r="M31" s="4067"/>
      <c r="N31" s="4067"/>
      <c r="O31" s="4067"/>
      <c r="P31" s="4067"/>
      <c r="Q31" s="4067"/>
      <c r="R31" s="4067"/>
      <c r="S31" s="4067"/>
      <c r="T31" s="4067"/>
      <c r="U31" s="4067"/>
      <c r="V31" s="4067"/>
      <c r="W31" s="4068"/>
      <c r="X31" s="170"/>
      <c r="Y31" s="354"/>
      <c r="Z31" s="91"/>
      <c r="AA31" s="91"/>
      <c r="AB31" s="53"/>
      <c r="AC31" s="53"/>
      <c r="AD31" s="53"/>
      <c r="AE31" s="53"/>
      <c r="AF31" s="53"/>
      <c r="AG31" s="53"/>
      <c r="AH31" s="53"/>
      <c r="AI31" s="53"/>
      <c r="AJ31" s="53"/>
      <c r="AK31" s="53"/>
      <c r="AL31" s="53"/>
      <c r="AM31" s="53"/>
      <c r="AN31" s="53"/>
      <c r="AO31" s="53"/>
      <c r="AP31" s="53"/>
      <c r="AQ31" s="53"/>
      <c r="AR31" s="53"/>
      <c r="AS31" s="53"/>
      <c r="AT31" s="53"/>
      <c r="AU31" s="53"/>
      <c r="AV31" s="53"/>
      <c r="AW31" s="53"/>
      <c r="AZ31" s="53"/>
      <c r="BA31" s="53"/>
    </row>
    <row r="32" spans="1:53" x14ac:dyDescent="0.25">
      <c r="B32" s="326"/>
      <c r="C32" s="327"/>
      <c r="D32" s="355"/>
      <c r="E32" s="355"/>
      <c r="F32" s="355"/>
      <c r="G32" s="355"/>
      <c r="H32" s="355"/>
      <c r="I32" s="355"/>
      <c r="J32" s="355"/>
      <c r="K32" s="355"/>
      <c r="L32" s="355"/>
      <c r="M32" s="355"/>
      <c r="N32" s="355"/>
      <c r="O32" s="355"/>
      <c r="P32" s="355"/>
      <c r="Q32" s="355"/>
      <c r="R32" s="355"/>
      <c r="S32" s="355"/>
      <c r="T32" s="355"/>
      <c r="U32" s="355"/>
      <c r="V32" s="355"/>
      <c r="W32" s="355"/>
      <c r="X32" s="355"/>
      <c r="Y32" s="356"/>
      <c r="Z32" s="356"/>
      <c r="AA32" s="356"/>
      <c r="AB32" s="355"/>
      <c r="AC32" s="355"/>
      <c r="AD32" s="355"/>
      <c r="AE32" s="355"/>
      <c r="AF32" s="355"/>
      <c r="AG32" s="355"/>
      <c r="AH32" s="355"/>
      <c r="AI32" s="355"/>
      <c r="AJ32" s="355"/>
      <c r="AK32" s="355"/>
      <c r="AL32" s="355"/>
      <c r="AM32" s="355"/>
      <c r="AN32" s="355"/>
      <c r="AO32" s="355"/>
    </row>
    <row r="33" spans="1:77" x14ac:dyDescent="0.25">
      <c r="E33" s="357"/>
      <c r="M33" s="44"/>
      <c r="V33" s="358"/>
      <c r="W33" s="359"/>
    </row>
    <row r="35" spans="1:77" s="3849" customFormat="1" x14ac:dyDescent="0.25">
      <c r="B35" s="3847"/>
      <c r="C35" s="3848"/>
      <c r="Y35" s="3868"/>
      <c r="Z35" s="3868"/>
      <c r="AA35" s="3868"/>
      <c r="AL35" s="3849" t="e">
        <f>+AVERAGE(#REF!)</f>
        <v>#REF!</v>
      </c>
      <c r="AP35" s="3849" t="e">
        <f>+AVERAGE(#REF!)</f>
        <v>#REF!</v>
      </c>
      <c r="AT35" s="3849" t="e">
        <f>+AVERAGE(#REF!)</f>
        <v>#REF!</v>
      </c>
      <c r="AX35" s="3849" t="e">
        <f>+AVERAGE(#REF!)</f>
        <v>#REF!</v>
      </c>
    </row>
    <row r="36" spans="1:77" x14ac:dyDescent="0.25">
      <c r="A36" s="300"/>
      <c r="C36" s="3848"/>
      <c r="D36" s="4106"/>
      <c r="E36" s="4106"/>
      <c r="F36" s="4106"/>
      <c r="G36" s="4106"/>
      <c r="H36" s="4106"/>
      <c r="I36" s="4106"/>
      <c r="J36" s="4106"/>
      <c r="K36" s="4106"/>
      <c r="L36" s="4106"/>
      <c r="M36" s="4106"/>
      <c r="N36" s="4106"/>
      <c r="O36" s="4106"/>
      <c r="P36" s="4106"/>
      <c r="Q36" s="4106"/>
      <c r="R36" s="4102"/>
      <c r="S36" s="4102"/>
      <c r="T36" s="4102"/>
      <c r="U36" s="4102"/>
      <c r="V36" s="4102"/>
      <c r="W36" s="4102"/>
      <c r="X36" s="4102"/>
      <c r="Y36" s="4102"/>
      <c r="Z36" s="4102"/>
      <c r="AA36" s="4102"/>
      <c r="AB36" s="4103"/>
      <c r="AC36" s="4102"/>
      <c r="AD36" s="4102"/>
      <c r="AE36" s="4102"/>
      <c r="AF36" s="4102"/>
      <c r="AG36" s="4102"/>
      <c r="AH36" s="4102"/>
      <c r="AI36" s="4104"/>
      <c r="AJ36" s="4104"/>
      <c r="AK36" s="4104"/>
      <c r="AL36" s="4104"/>
      <c r="AM36" s="4105"/>
      <c r="AN36" s="4105"/>
      <c r="AO36" s="3849"/>
      <c r="AP36" s="3849"/>
      <c r="AQ36" s="3849"/>
      <c r="AR36" s="3849"/>
      <c r="AS36" s="3849"/>
      <c r="AT36" s="3849"/>
      <c r="AU36" s="3849"/>
      <c r="AV36" s="3849"/>
      <c r="AW36" s="3849"/>
      <c r="AX36" s="3849"/>
      <c r="AY36" s="3849"/>
      <c r="AZ36" s="3849"/>
      <c r="BA36" s="3849"/>
      <c r="BB36" s="3849"/>
      <c r="BC36" s="3849"/>
      <c r="BD36" s="3849"/>
      <c r="BE36" s="3849"/>
      <c r="BF36" s="3849"/>
      <c r="BG36" s="3849"/>
      <c r="BH36" s="3849"/>
      <c r="BI36" s="3849"/>
      <c r="BJ36" s="3849"/>
      <c r="BK36" s="3849"/>
      <c r="BL36" s="3849"/>
      <c r="BM36" s="3849"/>
      <c r="BN36" s="3849"/>
      <c r="BO36" s="3849"/>
      <c r="BP36" s="3849"/>
      <c r="BQ36" s="3849"/>
      <c r="BR36" s="3849"/>
      <c r="BS36" s="3849"/>
      <c r="BT36" s="3849"/>
      <c r="BU36" s="3849"/>
      <c r="BV36" s="3849"/>
      <c r="BW36" s="3849"/>
      <c r="BX36" s="3849"/>
      <c r="BY36" s="3849"/>
    </row>
    <row r="37" spans="1:77" x14ac:dyDescent="0.25">
      <c r="A37" s="300"/>
      <c r="C37" s="3848"/>
      <c r="D37" s="3834"/>
      <c r="E37" s="3834"/>
      <c r="F37" s="3853"/>
      <c r="G37" s="3834"/>
      <c r="H37" s="3834"/>
      <c r="I37" s="3834"/>
      <c r="J37" s="3834"/>
      <c r="K37" s="3834"/>
      <c r="L37" s="3853"/>
      <c r="M37" s="3834"/>
      <c r="N37" s="3834"/>
      <c r="O37" s="3834"/>
      <c r="P37" s="3853"/>
      <c r="Q37" s="3834"/>
      <c r="R37" s="3834"/>
      <c r="S37" s="3834"/>
      <c r="T37" s="3834"/>
      <c r="U37" s="3853"/>
      <c r="V37" s="3834"/>
      <c r="W37" s="3834"/>
      <c r="X37" s="3834"/>
      <c r="Y37" s="3854"/>
      <c r="Z37" s="3855"/>
      <c r="AA37" s="3855"/>
      <c r="AB37" s="3834"/>
      <c r="AC37" s="3853"/>
      <c r="AD37" s="3834"/>
      <c r="AE37" s="3834"/>
      <c r="AF37" s="3834"/>
      <c r="AG37" s="3853"/>
      <c r="AH37" s="3834"/>
      <c r="AI37" s="3834"/>
      <c r="AJ37" s="3834"/>
      <c r="AK37" s="3853"/>
      <c r="AL37" s="3856"/>
      <c r="AM37" s="3857"/>
      <c r="AN37" s="3849"/>
      <c r="AO37" s="3849"/>
      <c r="AP37" s="3849"/>
      <c r="AQ37" s="3849"/>
      <c r="AR37" s="3849"/>
      <c r="AS37" s="3849"/>
      <c r="AT37" s="3849"/>
      <c r="AU37" s="3849"/>
      <c r="AV37" s="3849"/>
      <c r="AW37" s="3849"/>
      <c r="AX37" s="3849"/>
      <c r="AY37" s="3849"/>
      <c r="AZ37" s="3849"/>
      <c r="BA37" s="3849"/>
      <c r="BB37" s="3849"/>
      <c r="BC37" s="3849"/>
      <c r="BD37" s="3849"/>
      <c r="BE37" s="3849"/>
      <c r="BF37" s="3849"/>
      <c r="BG37" s="3849"/>
      <c r="BH37" s="3849"/>
      <c r="BI37" s="3849"/>
      <c r="BJ37" s="3849"/>
      <c r="BK37" s="3849"/>
      <c r="BL37" s="3849"/>
      <c r="BM37" s="3849"/>
      <c r="BN37" s="3849"/>
      <c r="BO37" s="3849"/>
      <c r="BP37" s="3849"/>
      <c r="BQ37" s="3849"/>
      <c r="BR37" s="3849"/>
      <c r="BS37" s="3849"/>
      <c r="BT37" s="3849"/>
      <c r="BU37" s="3849"/>
      <c r="BV37" s="3849"/>
      <c r="BW37" s="3849"/>
      <c r="BX37" s="3849"/>
      <c r="BY37" s="3849"/>
    </row>
    <row r="38" spans="1:77" x14ac:dyDescent="0.25">
      <c r="A38" s="300"/>
      <c r="B38" s="362"/>
      <c r="C38" s="3858"/>
      <c r="D38" s="3830"/>
      <c r="E38" s="4107">
        <v>1998</v>
      </c>
      <c r="F38" s="4108"/>
      <c r="G38" s="4108"/>
      <c r="H38" s="4108"/>
      <c r="I38" s="4107">
        <v>1999</v>
      </c>
      <c r="J38" s="4108"/>
      <c r="K38" s="4108"/>
      <c r="L38" s="4108"/>
      <c r="M38" s="4107">
        <v>2000</v>
      </c>
      <c r="N38" s="4108"/>
      <c r="O38" s="4108"/>
      <c r="P38" s="4108"/>
      <c r="Q38" s="4107">
        <v>2001</v>
      </c>
      <c r="R38" s="4108"/>
      <c r="S38" s="4108"/>
      <c r="T38" s="4108"/>
      <c r="U38" s="4107">
        <v>2002</v>
      </c>
      <c r="V38" s="4108"/>
      <c r="W38" s="4108"/>
      <c r="X38" s="4108"/>
      <c r="Y38" s="4107">
        <v>2003</v>
      </c>
      <c r="Z38" s="4108"/>
      <c r="AA38" s="4108"/>
      <c r="AB38" s="4108"/>
      <c r="AC38" s="4107">
        <v>2004</v>
      </c>
      <c r="AD38" s="4108"/>
      <c r="AE38" s="4108"/>
      <c r="AF38" s="4108"/>
      <c r="AG38" s="4107">
        <v>2005</v>
      </c>
      <c r="AH38" s="4108"/>
      <c r="AI38" s="4108"/>
      <c r="AJ38" s="4108"/>
      <c r="AK38" s="4107">
        <v>2006</v>
      </c>
      <c r="AL38" s="4108"/>
      <c r="AM38" s="4108"/>
      <c r="AN38" s="4108"/>
      <c r="AO38" s="4107">
        <v>2007</v>
      </c>
      <c r="AP38" s="4108"/>
      <c r="AQ38" s="4108"/>
      <c r="AR38" s="4108"/>
      <c r="AS38" s="4107">
        <v>2008</v>
      </c>
      <c r="AT38" s="4108"/>
      <c r="AU38" s="4108"/>
      <c r="AV38" s="4108"/>
      <c r="AW38" s="4107">
        <v>2009</v>
      </c>
      <c r="AX38" s="4108"/>
      <c r="AY38" s="4108"/>
      <c r="AZ38" s="4108"/>
      <c r="BA38" s="4107">
        <v>2010</v>
      </c>
      <c r="BB38" s="4108"/>
      <c r="BC38" s="4108"/>
      <c r="BD38" s="4108"/>
      <c r="BE38" s="4107">
        <v>2011</v>
      </c>
      <c r="BF38" s="4108"/>
      <c r="BG38" s="4108"/>
      <c r="BH38" s="4108"/>
      <c r="BI38" s="4107">
        <v>2012</v>
      </c>
      <c r="BJ38" s="4108"/>
      <c r="BK38" s="4108"/>
      <c r="BL38" s="4108"/>
      <c r="BM38" s="4107">
        <v>2013</v>
      </c>
      <c r="BN38" s="4108"/>
      <c r="BO38" s="4108"/>
      <c r="BP38" s="4108"/>
      <c r="BQ38" s="4107">
        <v>2014</v>
      </c>
      <c r="BR38" s="4108"/>
      <c r="BS38" s="4108"/>
      <c r="BT38" s="4108"/>
      <c r="BU38" s="4107">
        <v>2014</v>
      </c>
      <c r="BV38" s="4108"/>
      <c r="BW38" s="4108"/>
      <c r="BX38" s="4109"/>
      <c r="BY38" s="3849"/>
    </row>
    <row r="39" spans="1:77" x14ac:dyDescent="0.25">
      <c r="A39" s="300"/>
      <c r="C39" s="3848"/>
      <c r="D39" s="3849"/>
      <c r="E39" s="3833" t="s">
        <v>96</v>
      </c>
      <c r="F39" s="3834" t="s">
        <v>97</v>
      </c>
      <c r="G39" s="3834" t="s">
        <v>98</v>
      </c>
      <c r="H39" s="3835" t="s">
        <v>99</v>
      </c>
      <c r="I39" s="3833" t="s">
        <v>96</v>
      </c>
      <c r="J39" s="3834" t="s">
        <v>97</v>
      </c>
      <c r="K39" s="3834" t="s">
        <v>98</v>
      </c>
      <c r="L39" s="3835" t="s">
        <v>99</v>
      </c>
      <c r="M39" s="3833" t="s">
        <v>96</v>
      </c>
      <c r="N39" s="3834" t="s">
        <v>97</v>
      </c>
      <c r="O39" s="3834" t="s">
        <v>98</v>
      </c>
      <c r="P39" s="3835" t="s">
        <v>99</v>
      </c>
      <c r="Q39" s="3833" t="s">
        <v>96</v>
      </c>
      <c r="R39" s="3834" t="s">
        <v>97</v>
      </c>
      <c r="S39" s="3834" t="s">
        <v>98</v>
      </c>
      <c r="T39" s="3835" t="s">
        <v>99</v>
      </c>
      <c r="U39" s="3833" t="s">
        <v>96</v>
      </c>
      <c r="V39" s="3834" t="s">
        <v>97</v>
      </c>
      <c r="W39" s="3834" t="s">
        <v>98</v>
      </c>
      <c r="X39" s="3835" t="s">
        <v>99</v>
      </c>
      <c r="Y39" s="3859" t="s">
        <v>96</v>
      </c>
      <c r="Z39" s="3855" t="s">
        <v>97</v>
      </c>
      <c r="AA39" s="3855" t="s">
        <v>98</v>
      </c>
      <c r="AB39" s="3835" t="s">
        <v>99</v>
      </c>
      <c r="AC39" s="3833" t="s">
        <v>96</v>
      </c>
      <c r="AD39" s="3834" t="s">
        <v>97</v>
      </c>
      <c r="AE39" s="3834" t="s">
        <v>98</v>
      </c>
      <c r="AF39" s="3835" t="s">
        <v>99</v>
      </c>
      <c r="AG39" s="3833" t="s">
        <v>96</v>
      </c>
      <c r="AH39" s="3834" t="s">
        <v>97</v>
      </c>
      <c r="AI39" s="3834" t="s">
        <v>98</v>
      </c>
      <c r="AJ39" s="3835" t="s">
        <v>99</v>
      </c>
      <c r="AK39" s="3833" t="s">
        <v>96</v>
      </c>
      <c r="AL39" s="3834" t="s">
        <v>97</v>
      </c>
      <c r="AM39" s="3834" t="s">
        <v>98</v>
      </c>
      <c r="AN39" s="3835" t="s">
        <v>99</v>
      </c>
      <c r="AO39" s="3833" t="s">
        <v>96</v>
      </c>
      <c r="AP39" s="3834" t="s">
        <v>97</v>
      </c>
      <c r="AQ39" s="3834" t="s">
        <v>98</v>
      </c>
      <c r="AR39" s="3835" t="s">
        <v>99</v>
      </c>
      <c r="AS39" s="3833" t="s">
        <v>96</v>
      </c>
      <c r="AT39" s="3834" t="s">
        <v>97</v>
      </c>
      <c r="AU39" s="3834" t="s">
        <v>98</v>
      </c>
      <c r="AV39" s="3835" t="s">
        <v>99</v>
      </c>
      <c r="AW39" s="3833" t="s">
        <v>96</v>
      </c>
      <c r="AX39" s="3834" t="s">
        <v>97</v>
      </c>
      <c r="AY39" s="3834" t="s">
        <v>98</v>
      </c>
      <c r="AZ39" s="3835" t="s">
        <v>99</v>
      </c>
      <c r="BA39" s="3833" t="s">
        <v>96</v>
      </c>
      <c r="BB39" s="3834" t="s">
        <v>97</v>
      </c>
      <c r="BC39" s="3834" t="s">
        <v>98</v>
      </c>
      <c r="BD39" s="3835" t="s">
        <v>99</v>
      </c>
      <c r="BE39" s="3833" t="s">
        <v>96</v>
      </c>
      <c r="BF39" s="3834" t="s">
        <v>97</v>
      </c>
      <c r="BG39" s="3834" t="s">
        <v>98</v>
      </c>
      <c r="BH39" s="3835" t="s">
        <v>99</v>
      </c>
      <c r="BI39" s="3833" t="s">
        <v>96</v>
      </c>
      <c r="BJ39" s="3834" t="s">
        <v>97</v>
      </c>
      <c r="BK39" s="3834" t="s">
        <v>98</v>
      </c>
      <c r="BL39" s="3835" t="s">
        <v>99</v>
      </c>
      <c r="BM39" s="3833" t="s">
        <v>96</v>
      </c>
      <c r="BN39" s="3834" t="s">
        <v>97</v>
      </c>
      <c r="BO39" s="3834" t="s">
        <v>98</v>
      </c>
      <c r="BP39" s="3835" t="s">
        <v>99</v>
      </c>
      <c r="BQ39" s="3833" t="s">
        <v>96</v>
      </c>
      <c r="BR39" s="3834" t="s">
        <v>97</v>
      </c>
      <c r="BS39" s="3834" t="s">
        <v>98</v>
      </c>
      <c r="BT39" s="3835" t="s">
        <v>99</v>
      </c>
      <c r="BU39" s="3833" t="s">
        <v>96</v>
      </c>
      <c r="BV39" s="3834" t="s">
        <v>97</v>
      </c>
      <c r="BW39" s="3834" t="s">
        <v>98</v>
      </c>
      <c r="BX39" s="3835" t="s">
        <v>99</v>
      </c>
      <c r="BY39" s="3849"/>
    </row>
    <row r="40" spans="1:77" x14ac:dyDescent="0.25">
      <c r="A40" s="300"/>
      <c r="C40" s="3848"/>
      <c r="D40" s="3860" t="s">
        <v>196</v>
      </c>
      <c r="E40" s="3861">
        <v>284</v>
      </c>
      <c r="F40" s="3862">
        <v>269</v>
      </c>
      <c r="G40" s="3862">
        <v>477</v>
      </c>
      <c r="H40" s="3863">
        <v>618</v>
      </c>
      <c r="I40" s="3861">
        <v>581</v>
      </c>
      <c r="J40" s="3862">
        <v>419</v>
      </c>
      <c r="K40" s="3862">
        <v>380</v>
      </c>
      <c r="L40" s="3863">
        <v>319</v>
      </c>
      <c r="M40" s="3861">
        <v>256</v>
      </c>
      <c r="N40" s="3862">
        <v>359</v>
      </c>
      <c r="O40" s="3862">
        <v>328</v>
      </c>
      <c r="P40" s="3863">
        <v>389</v>
      </c>
      <c r="Q40" s="3861">
        <v>348</v>
      </c>
      <c r="R40" s="3862">
        <v>298</v>
      </c>
      <c r="S40" s="3862">
        <v>285</v>
      </c>
      <c r="T40" s="3863">
        <v>291</v>
      </c>
      <c r="U40" s="3861">
        <v>273</v>
      </c>
      <c r="V40" s="3862">
        <v>245</v>
      </c>
      <c r="W40" s="3862">
        <v>282</v>
      </c>
      <c r="X40" s="3863">
        <v>264</v>
      </c>
      <c r="Y40" s="3864">
        <v>209</v>
      </c>
      <c r="Z40" s="3865">
        <v>177</v>
      </c>
      <c r="AA40" s="3865">
        <v>177</v>
      </c>
      <c r="AB40" s="3863">
        <v>149</v>
      </c>
      <c r="AC40" s="3861">
        <v>147</v>
      </c>
      <c r="AD40" s="3862">
        <v>164</v>
      </c>
      <c r="AE40" s="3862">
        <v>159</v>
      </c>
      <c r="AF40" s="3863">
        <v>118</v>
      </c>
      <c r="AG40" s="3861">
        <v>104</v>
      </c>
      <c r="AH40" s="3861">
        <v>111</v>
      </c>
      <c r="AI40" s="3861">
        <v>93</v>
      </c>
      <c r="AJ40" s="3861">
        <v>89</v>
      </c>
      <c r="AK40" s="3861">
        <v>76</v>
      </c>
      <c r="AL40" s="3861">
        <v>97</v>
      </c>
      <c r="AM40" s="3861">
        <v>103</v>
      </c>
      <c r="AN40" s="3861">
        <v>93</v>
      </c>
      <c r="AO40" s="3861">
        <v>78</v>
      </c>
      <c r="AP40" s="3861">
        <v>71</v>
      </c>
      <c r="AQ40" s="3861">
        <v>124</v>
      </c>
      <c r="AR40" s="3861">
        <v>148</v>
      </c>
      <c r="AS40" s="3861">
        <v>258</v>
      </c>
      <c r="AT40" s="3861">
        <v>229</v>
      </c>
      <c r="AU40" s="3861">
        <v>261</v>
      </c>
      <c r="AV40" s="3861">
        <v>609</v>
      </c>
      <c r="AW40" s="3861">
        <v>465</v>
      </c>
      <c r="AX40" s="3861">
        <v>342</v>
      </c>
      <c r="AY40" s="3861">
        <v>230</v>
      </c>
      <c r="AZ40" s="3861">
        <v>198</v>
      </c>
      <c r="BA40" s="3861">
        <v>193</v>
      </c>
      <c r="BB40" s="3861">
        <v>197</v>
      </c>
      <c r="BC40" s="3861">
        <v>188</v>
      </c>
      <c r="BD40" s="3861">
        <v>166</v>
      </c>
      <c r="BE40" s="3861">
        <v>186</v>
      </c>
      <c r="BF40" s="3861">
        <v>153</v>
      </c>
      <c r="BG40" s="3861">
        <v>195</v>
      </c>
      <c r="BH40" s="3861">
        <v>241</v>
      </c>
      <c r="BI40" s="3861">
        <v>234</v>
      </c>
      <c r="BJ40" s="3861">
        <v>229</v>
      </c>
      <c r="BK40" s="3861">
        <v>182</v>
      </c>
      <c r="BL40" s="3861">
        <v>182</v>
      </c>
      <c r="BM40" s="3861">
        <v>196</v>
      </c>
      <c r="BN40" s="3861">
        <v>215</v>
      </c>
      <c r="BO40" s="3861">
        <v>260</v>
      </c>
      <c r="BP40" s="3861">
        <v>253</v>
      </c>
      <c r="BQ40" s="3861">
        <v>248</v>
      </c>
      <c r="BR40" s="3861">
        <v>206</v>
      </c>
      <c r="BS40" s="3861">
        <v>212</v>
      </c>
      <c r="BT40" s="3861">
        <v>227</v>
      </c>
      <c r="BU40" s="3861"/>
      <c r="BV40" s="3861"/>
      <c r="BW40" s="3861"/>
      <c r="BX40" s="3866"/>
      <c r="BY40" s="3849"/>
    </row>
    <row r="41" spans="1:77" x14ac:dyDescent="0.25">
      <c r="C41" s="3848"/>
      <c r="D41" s="3849"/>
      <c r="E41" s="3867"/>
      <c r="F41" s="3849"/>
      <c r="G41" s="3849"/>
      <c r="H41" s="3849"/>
      <c r="I41" s="3849"/>
      <c r="J41" s="3849"/>
      <c r="K41" s="3849"/>
      <c r="L41" s="3849"/>
      <c r="M41" s="3849"/>
      <c r="N41" s="3849"/>
      <c r="O41" s="3860">
        <f>AVERAGE(M40:P40)</f>
        <v>333</v>
      </c>
      <c r="P41" s="3849"/>
      <c r="Q41" s="3849"/>
      <c r="R41" s="3849"/>
      <c r="S41" s="3849"/>
      <c r="T41" s="3849"/>
      <c r="U41" s="3849"/>
      <c r="V41" s="3849"/>
      <c r="W41" s="3849"/>
      <c r="X41" s="3849"/>
      <c r="Y41" s="3868"/>
      <c r="Z41" s="3868"/>
      <c r="AA41" s="3868"/>
      <c r="AB41" s="3849"/>
      <c r="AC41" s="3849"/>
      <c r="AD41" s="3849"/>
      <c r="AE41" s="3849"/>
      <c r="AF41" s="3849"/>
      <c r="AG41" s="3849"/>
      <c r="AH41" s="3849"/>
      <c r="AI41" s="3849"/>
      <c r="AJ41" s="3849"/>
      <c r="AK41" s="3849"/>
      <c r="AL41" s="3849"/>
      <c r="AM41" s="3849"/>
      <c r="AN41" s="3849"/>
      <c r="AO41" s="3849"/>
      <c r="AP41" s="3849"/>
      <c r="AQ41" s="3849"/>
      <c r="AR41" s="3849"/>
      <c r="AS41" s="3849"/>
      <c r="AT41" s="3849"/>
      <c r="AU41" s="3849"/>
      <c r="AV41" s="3849"/>
      <c r="AW41" s="3849"/>
      <c r="AX41" s="3849"/>
      <c r="AY41" s="3849"/>
      <c r="AZ41" s="3849"/>
      <c r="BA41" s="3849"/>
      <c r="BB41" s="3849"/>
      <c r="BC41" s="3849"/>
      <c r="BD41" s="3849"/>
      <c r="BE41" s="3849"/>
      <c r="BF41" s="3849"/>
      <c r="BG41" s="3849"/>
      <c r="BH41" s="3849"/>
      <c r="BI41" s="3849"/>
      <c r="BJ41" s="3849"/>
      <c r="BK41" s="3849"/>
      <c r="BL41" s="3849"/>
      <c r="BM41" s="3849"/>
      <c r="BN41" s="3849"/>
      <c r="BO41" s="3849"/>
      <c r="BP41" s="3849"/>
      <c r="BQ41" s="3849"/>
      <c r="BR41" s="3849"/>
      <c r="BS41" s="3849"/>
      <c r="BT41" s="3849"/>
      <c r="BU41" s="3849"/>
      <c r="BV41" s="3849"/>
      <c r="BW41" s="3849"/>
      <c r="BX41" s="3849"/>
      <c r="BY41" s="3849"/>
    </row>
    <row r="42" spans="1:77" x14ac:dyDescent="0.25">
      <c r="E42" s="363"/>
    </row>
    <row r="43" spans="1:77" x14ac:dyDescent="0.25">
      <c r="E43" s="363"/>
    </row>
    <row r="44" spans="1:77" x14ac:dyDescent="0.25">
      <c r="E44" s="363"/>
    </row>
    <row r="45" spans="1:77" x14ac:dyDescent="0.25">
      <c r="E45" s="363"/>
    </row>
    <row r="46" spans="1:77" x14ac:dyDescent="0.25">
      <c r="E46" s="363"/>
    </row>
    <row r="47" spans="1:77" x14ac:dyDescent="0.25">
      <c r="E47" s="363"/>
    </row>
    <row r="48" spans="1:77" x14ac:dyDescent="0.25">
      <c r="E48" s="363"/>
    </row>
    <row r="49" spans="2:29" x14ac:dyDescent="0.25">
      <c r="E49" s="363"/>
    </row>
    <row r="50" spans="2:29" x14ac:dyDescent="0.25">
      <c r="E50" s="363"/>
    </row>
    <row r="51" spans="2:29" x14ac:dyDescent="0.25">
      <c r="E51" s="363"/>
    </row>
    <row r="52" spans="2:29" x14ac:dyDescent="0.25">
      <c r="E52" s="363"/>
    </row>
    <row r="53" spans="2:29" x14ac:dyDescent="0.25">
      <c r="E53" s="363"/>
    </row>
    <row r="54" spans="2:29" x14ac:dyDescent="0.25">
      <c r="E54" s="363"/>
    </row>
    <row r="55" spans="2:29" x14ac:dyDescent="0.25">
      <c r="E55" s="363"/>
    </row>
    <row r="56" spans="2:29" x14ac:dyDescent="0.25">
      <c r="E56" s="363"/>
    </row>
    <row r="57" spans="2:29" x14ac:dyDescent="0.25">
      <c r="E57" s="363"/>
    </row>
    <row r="58" spans="2:29" x14ac:dyDescent="0.25">
      <c r="E58" s="363"/>
    </row>
    <row r="59" spans="2:29" x14ac:dyDescent="0.25">
      <c r="E59" s="363"/>
    </row>
    <row r="60" spans="2:29" x14ac:dyDescent="0.25">
      <c r="E60" s="363"/>
    </row>
    <row r="61" spans="2:29" x14ac:dyDescent="0.25">
      <c r="E61" s="363"/>
    </row>
    <row r="62" spans="2:29" x14ac:dyDescent="0.25">
      <c r="E62" s="363"/>
      <c r="AC62" s="300" t="s">
        <v>97</v>
      </c>
    </row>
    <row r="63" spans="2:29" x14ac:dyDescent="0.25">
      <c r="B63" s="340"/>
      <c r="C63" s="340"/>
      <c r="D63" s="340"/>
      <c r="E63" s="363"/>
      <c r="F63" s="340"/>
      <c r="G63" s="340"/>
      <c r="H63" s="340"/>
      <c r="I63" s="340"/>
      <c r="J63" s="340"/>
      <c r="K63" s="340"/>
      <c r="L63" s="340"/>
      <c r="M63" s="340"/>
      <c r="N63" s="340"/>
      <c r="O63" s="340"/>
      <c r="P63" s="364"/>
      <c r="Q63" s="340"/>
    </row>
    <row r="64" spans="2:29" x14ac:dyDescent="0.25">
      <c r="E64" s="363"/>
    </row>
    <row r="65" spans="5:5" x14ac:dyDescent="0.25">
      <c r="E65" s="363"/>
    </row>
    <row r="66" spans="5:5" x14ac:dyDescent="0.25">
      <c r="E66" s="363"/>
    </row>
    <row r="67" spans="5:5" x14ac:dyDescent="0.25">
      <c r="E67" s="363"/>
    </row>
    <row r="68" spans="5:5" x14ac:dyDescent="0.25">
      <c r="E68" s="363"/>
    </row>
    <row r="69" spans="5:5" x14ac:dyDescent="0.25">
      <c r="E69" s="363"/>
    </row>
    <row r="70" spans="5:5" x14ac:dyDescent="0.25">
      <c r="E70" s="363"/>
    </row>
    <row r="71" spans="5:5" x14ac:dyDescent="0.25">
      <c r="E71" s="363"/>
    </row>
    <row r="72" spans="5:5" x14ac:dyDescent="0.25">
      <c r="E72" s="363"/>
    </row>
    <row r="73" spans="5:5" x14ac:dyDescent="0.25">
      <c r="E73" s="363"/>
    </row>
    <row r="74" spans="5:5" x14ac:dyDescent="0.25">
      <c r="E74" s="363"/>
    </row>
    <row r="75" spans="5:5" x14ac:dyDescent="0.25">
      <c r="E75" s="363"/>
    </row>
    <row r="76" spans="5:5" x14ac:dyDescent="0.25">
      <c r="E76" s="363"/>
    </row>
    <row r="77" spans="5:5" x14ac:dyDescent="0.25">
      <c r="E77" s="363"/>
    </row>
    <row r="78" spans="5:5" x14ac:dyDescent="0.25">
      <c r="E78" s="363"/>
    </row>
    <row r="79" spans="5:5" x14ac:dyDescent="0.25">
      <c r="E79" s="363"/>
    </row>
    <row r="80" spans="5:5" x14ac:dyDescent="0.25">
      <c r="E80" s="363"/>
    </row>
    <row r="81" spans="5:5" x14ac:dyDescent="0.25">
      <c r="E81" s="363"/>
    </row>
    <row r="82" spans="5:5" x14ac:dyDescent="0.25">
      <c r="E82" s="363"/>
    </row>
    <row r="83" spans="5:5" x14ac:dyDescent="0.25">
      <c r="E83" s="363"/>
    </row>
    <row r="84" spans="5:5" x14ac:dyDescent="0.25">
      <c r="E84" s="363"/>
    </row>
    <row r="85" spans="5:5" x14ac:dyDescent="0.25">
      <c r="E85" s="363"/>
    </row>
    <row r="86" spans="5:5" x14ac:dyDescent="0.25">
      <c r="E86" s="363"/>
    </row>
    <row r="87" spans="5:5" x14ac:dyDescent="0.25">
      <c r="E87" s="363"/>
    </row>
    <row r="88" spans="5:5" x14ac:dyDescent="0.25">
      <c r="E88" s="363"/>
    </row>
    <row r="89" spans="5:5" x14ac:dyDescent="0.25">
      <c r="E89" s="363"/>
    </row>
    <row r="90" spans="5:5" x14ac:dyDescent="0.25">
      <c r="E90" s="363"/>
    </row>
    <row r="91" spans="5:5" x14ac:dyDescent="0.25">
      <c r="E91" s="363"/>
    </row>
    <row r="92" spans="5:5" x14ac:dyDescent="0.25">
      <c r="E92" s="363"/>
    </row>
    <row r="93" spans="5:5" x14ac:dyDescent="0.25">
      <c r="E93" s="363"/>
    </row>
    <row r="94" spans="5:5" x14ac:dyDescent="0.25">
      <c r="E94" s="363"/>
    </row>
    <row r="95" spans="5:5" x14ac:dyDescent="0.25">
      <c r="E95" s="363"/>
    </row>
    <row r="96" spans="5:5" x14ac:dyDescent="0.25">
      <c r="E96" s="363"/>
    </row>
    <row r="97" spans="5:5" x14ac:dyDescent="0.25">
      <c r="E97" s="363"/>
    </row>
    <row r="98" spans="5:5" x14ac:dyDescent="0.25">
      <c r="E98" s="363"/>
    </row>
    <row r="99" spans="5:5" x14ac:dyDescent="0.25">
      <c r="E99" s="364"/>
    </row>
    <row r="100" spans="5:5" x14ac:dyDescent="0.25">
      <c r="E100" s="364"/>
    </row>
    <row r="101" spans="5:5" x14ac:dyDescent="0.25">
      <c r="E101" s="364"/>
    </row>
    <row r="102" spans="5:5" x14ac:dyDescent="0.25">
      <c r="E102" s="364"/>
    </row>
    <row r="103" spans="5:5" x14ac:dyDescent="0.25">
      <c r="E103" s="364"/>
    </row>
    <row r="104" spans="5:5" x14ac:dyDescent="0.25">
      <c r="E104" s="364"/>
    </row>
    <row r="105" spans="5:5" x14ac:dyDescent="0.25">
      <c r="E105" s="364"/>
    </row>
  </sheetData>
  <mergeCells count="36">
    <mergeCell ref="Y38:AB38"/>
    <mergeCell ref="BU38:BX38"/>
    <mergeCell ref="AC38:AF38"/>
    <mergeCell ref="AG38:AJ38"/>
    <mergeCell ref="AK38:AN38"/>
    <mergeCell ref="AO38:AR38"/>
    <mergeCell ref="AS38:AV38"/>
    <mergeCell ref="AW38:AZ38"/>
    <mergeCell ref="BA38:BD38"/>
    <mergeCell ref="BE38:BH38"/>
    <mergeCell ref="BI38:BL38"/>
    <mergeCell ref="BM38:BP38"/>
    <mergeCell ref="BQ38:BT38"/>
    <mergeCell ref="E38:H38"/>
    <mergeCell ref="I38:L38"/>
    <mergeCell ref="M38:P38"/>
    <mergeCell ref="Q38:T38"/>
    <mergeCell ref="U38:X38"/>
    <mergeCell ref="AA36:AD36"/>
    <mergeCell ref="D28:W28"/>
    <mergeCell ref="AE36:AH36"/>
    <mergeCell ref="AI36:AL36"/>
    <mergeCell ref="AM36:AN36"/>
    <mergeCell ref="D29:W29"/>
    <mergeCell ref="D30:W30"/>
    <mergeCell ref="D31:W31"/>
    <mergeCell ref="D36:F36"/>
    <mergeCell ref="G36:L36"/>
    <mergeCell ref="M36:Q36"/>
    <mergeCell ref="R36:V36"/>
    <mergeCell ref="W36:Z36"/>
    <mergeCell ref="D2:W2"/>
    <mergeCell ref="D3:W3"/>
    <mergeCell ref="D4:W4"/>
    <mergeCell ref="D5:W5"/>
    <mergeCell ref="X5:AB5"/>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F70"/>
  <sheetViews>
    <sheetView showGridLines="0" view="pageBreakPreview" topLeftCell="C3" zoomScaleNormal="100" zoomScaleSheetLayoutView="100" workbookViewId="0">
      <selection activeCell="E57" sqref="E57"/>
    </sheetView>
  </sheetViews>
  <sheetFormatPr defaultColWidth="9.28515625" defaultRowHeight="15" x14ac:dyDescent="0.25"/>
  <cols>
    <col min="1" max="1" width="3.7109375" style="116" customWidth="1"/>
    <col min="2" max="2" width="14.42578125" style="113" customWidth="1"/>
    <col min="3" max="3" width="3.7109375" style="114" customWidth="1"/>
    <col min="4" max="4" width="22" style="44" customWidth="1"/>
    <col min="5" max="5" width="13.42578125" style="44" customWidth="1"/>
    <col min="6" max="6" width="10.5703125" style="44" customWidth="1"/>
    <col min="7" max="7" width="9.7109375" style="44" customWidth="1"/>
    <col min="8" max="8" width="10" style="44" customWidth="1"/>
    <col min="9" max="10" width="10.7109375" style="44" customWidth="1"/>
    <col min="11" max="11" width="10.5703125" style="44" bestFit="1" customWidth="1"/>
    <col min="12" max="12" width="11.28515625" style="44" customWidth="1"/>
    <col min="13" max="13" width="10.7109375" style="44" customWidth="1"/>
    <col min="14" max="14" width="12.7109375" style="44" customWidth="1"/>
    <col min="15" max="15" width="11.28515625" style="44" customWidth="1"/>
    <col min="16" max="16" width="12.28515625" style="44" customWidth="1"/>
    <col min="17" max="17" width="11.85546875" style="44" customWidth="1"/>
    <col min="18" max="18" width="11.28515625" style="44" customWidth="1"/>
    <col min="19" max="19" width="11.5703125" style="44" customWidth="1"/>
    <col min="20" max="20" width="10.85546875" style="53" customWidth="1"/>
    <col min="21" max="21" width="12.7109375" style="53" customWidth="1"/>
    <col min="22" max="22" width="16.7109375" style="44" customWidth="1"/>
    <col min="23" max="24" width="14.7109375" style="44" customWidth="1"/>
    <col min="25" max="25" width="16.28515625" style="44" customWidth="1"/>
    <col min="26" max="26" width="14.7109375" style="44" customWidth="1"/>
    <col min="27" max="27" width="15.7109375" style="44" customWidth="1"/>
    <col min="28" max="28" width="15.7109375" style="44" bestFit="1" customWidth="1"/>
    <col min="29" max="29" width="15.42578125" style="44" customWidth="1"/>
    <col min="30" max="30" width="9.42578125" style="44" bestFit="1" customWidth="1"/>
    <col min="31" max="16384" width="9.28515625" style="44"/>
  </cols>
  <sheetData>
    <row r="1" spans="1:58" x14ac:dyDescent="0.25">
      <c r="D1" s="115"/>
      <c r="E1" s="115"/>
      <c r="F1" s="115"/>
      <c r="G1" s="115"/>
      <c r="H1" s="115"/>
      <c r="I1" s="115"/>
      <c r="J1" s="115"/>
      <c r="K1" s="115"/>
      <c r="L1" s="115"/>
      <c r="M1" s="115"/>
      <c r="N1" s="115"/>
      <c r="O1" s="115"/>
      <c r="P1" s="115"/>
      <c r="Q1" s="115"/>
      <c r="R1" s="115"/>
      <c r="S1" s="115"/>
      <c r="V1" s="53"/>
    </row>
    <row r="2" spans="1:58" ht="12.75" customHeight="1" x14ac:dyDescent="0.25">
      <c r="A2" s="116">
        <v>1</v>
      </c>
      <c r="B2" s="117" t="s">
        <v>0</v>
      </c>
      <c r="C2" s="116">
        <f>'[4]Bondpoints Spread'!C2+1</f>
        <v>10</v>
      </c>
      <c r="D2" s="4111" t="s">
        <v>197</v>
      </c>
      <c r="E2" s="4112"/>
      <c r="F2" s="4112"/>
      <c r="G2" s="4112"/>
      <c r="H2" s="4112"/>
      <c r="I2" s="4112"/>
      <c r="J2" s="4112"/>
      <c r="K2" s="4112"/>
      <c r="L2" s="4112"/>
      <c r="M2" s="4112"/>
      <c r="N2" s="4112"/>
      <c r="O2" s="4112"/>
      <c r="P2" s="4112"/>
      <c r="Q2" s="4112"/>
      <c r="R2" s="4112"/>
      <c r="S2" s="4112"/>
      <c r="T2" s="4113"/>
      <c r="U2" s="365"/>
      <c r="V2" s="178"/>
      <c r="W2" s="366"/>
      <c r="X2" s="366"/>
      <c r="Y2" s="366"/>
    </row>
    <row r="3" spans="1:58" x14ac:dyDescent="0.25">
      <c r="A3" s="116">
        <v>2</v>
      </c>
      <c r="B3" s="117" t="s">
        <v>2</v>
      </c>
      <c r="C3" s="116"/>
      <c r="D3" s="4048" t="s">
        <v>198</v>
      </c>
      <c r="E3" s="4049"/>
      <c r="F3" s="4049"/>
      <c r="G3" s="4049"/>
      <c r="H3" s="4049"/>
      <c r="I3" s="4049"/>
      <c r="J3" s="4049"/>
      <c r="K3" s="4049"/>
      <c r="L3" s="4049"/>
      <c r="M3" s="4049"/>
      <c r="N3" s="4049"/>
      <c r="O3" s="4049"/>
      <c r="P3" s="4049"/>
      <c r="Q3" s="4049"/>
      <c r="R3" s="4049"/>
      <c r="S3" s="4049"/>
      <c r="T3" s="4050"/>
      <c r="U3" s="142"/>
      <c r="V3" s="53"/>
    </row>
    <row r="4" spans="1:58" ht="12.75" customHeight="1" x14ac:dyDescent="0.25">
      <c r="A4" s="116">
        <v>3</v>
      </c>
      <c r="B4" s="117" t="s">
        <v>4</v>
      </c>
      <c r="C4" s="116"/>
      <c r="D4" s="4048" t="s">
        <v>1789</v>
      </c>
      <c r="E4" s="4049"/>
      <c r="F4" s="4049"/>
      <c r="G4" s="4049"/>
      <c r="H4" s="4049"/>
      <c r="I4" s="4049"/>
      <c r="J4" s="4049"/>
      <c r="K4" s="4049"/>
      <c r="L4" s="4049"/>
      <c r="M4" s="4049"/>
      <c r="N4" s="4049"/>
      <c r="O4" s="4049"/>
      <c r="P4" s="4049"/>
      <c r="Q4" s="4049"/>
      <c r="R4" s="4049"/>
      <c r="S4" s="4049"/>
      <c r="T4" s="4050"/>
      <c r="U4" s="142"/>
      <c r="V4" s="53"/>
    </row>
    <row r="5" spans="1:58" ht="18" customHeight="1" x14ac:dyDescent="0.25">
      <c r="B5" s="117"/>
      <c r="C5" s="116"/>
      <c r="D5" s="4048"/>
      <c r="E5" s="4049"/>
      <c r="F5" s="4049"/>
      <c r="G5" s="4049"/>
      <c r="H5" s="4049"/>
      <c r="I5" s="4049"/>
      <c r="J5" s="4049"/>
      <c r="K5" s="4049"/>
      <c r="L5" s="4049"/>
      <c r="M5" s="4049"/>
      <c r="N5" s="4049"/>
      <c r="O5" s="4049"/>
      <c r="P5" s="4049"/>
      <c r="Q5" s="4049"/>
      <c r="R5" s="4049"/>
      <c r="S5" s="4049"/>
      <c r="T5" s="4050"/>
      <c r="U5" s="4110"/>
      <c r="V5" s="4110"/>
      <c r="W5" s="4110"/>
      <c r="X5" s="4110"/>
      <c r="Y5" s="4110"/>
      <c r="Z5" s="4110"/>
      <c r="AA5" s="4110"/>
      <c r="AB5" s="4110"/>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25">
      <c r="A6" s="116">
        <v>4</v>
      </c>
      <c r="B6" s="117" t="s">
        <v>5</v>
      </c>
      <c r="D6" s="368"/>
      <c r="E6" s="369"/>
      <c r="F6" s="370"/>
      <c r="G6" s="370"/>
      <c r="H6" s="370"/>
      <c r="I6" s="370"/>
      <c r="J6" s="370"/>
      <c r="K6" s="370"/>
      <c r="L6" s="122"/>
      <c r="M6" s="125"/>
      <c r="N6" s="125"/>
      <c r="O6" s="125"/>
      <c r="P6" s="125"/>
      <c r="Q6" s="125"/>
      <c r="R6" s="125"/>
      <c r="S6" s="125"/>
      <c r="V6" s="53"/>
    </row>
    <row r="7" spans="1:58" s="74" customFormat="1" ht="11.25" x14ac:dyDescent="0.2">
      <c r="A7" s="131"/>
      <c r="B7" s="132"/>
      <c r="C7" s="133"/>
      <c r="D7" s="122" t="s">
        <v>6</v>
      </c>
      <c r="E7" s="122" t="s">
        <v>199</v>
      </c>
      <c r="F7" s="122"/>
      <c r="G7" s="122"/>
      <c r="H7" s="122"/>
      <c r="I7" s="122"/>
      <c r="J7" s="370"/>
      <c r="K7" s="370"/>
      <c r="L7" s="185"/>
      <c r="M7" s="371"/>
      <c r="N7" s="371"/>
      <c r="O7" s="371"/>
      <c r="P7" s="371"/>
      <c r="Q7" s="371"/>
      <c r="R7" s="371"/>
      <c r="S7" s="371"/>
      <c r="T7" s="52"/>
      <c r="U7" s="52"/>
      <c r="V7" s="52"/>
    </row>
    <row r="8" spans="1:58" s="74" customFormat="1" ht="14.25" customHeight="1" x14ac:dyDescent="0.2">
      <c r="A8" s="372"/>
      <c r="B8" s="132"/>
      <c r="C8" s="133"/>
      <c r="D8" s="183" t="s">
        <v>200</v>
      </c>
      <c r="E8" s="373" t="s">
        <v>201</v>
      </c>
      <c r="F8" s="373" t="s">
        <v>130</v>
      </c>
      <c r="G8" s="373" t="s">
        <v>134</v>
      </c>
      <c r="H8" s="373" t="s">
        <v>138</v>
      </c>
      <c r="I8" s="374" t="s">
        <v>140</v>
      </c>
      <c r="J8" s="374" t="s">
        <v>141</v>
      </c>
      <c r="K8" s="374" t="s">
        <v>142</v>
      </c>
      <c r="L8" s="374" t="s">
        <v>143</v>
      </c>
      <c r="M8" s="375" t="s">
        <v>144</v>
      </c>
      <c r="N8" s="375" t="s">
        <v>145</v>
      </c>
      <c r="O8" s="376" t="s">
        <v>8</v>
      </c>
      <c r="P8" s="376" t="s">
        <v>9</v>
      </c>
      <c r="Q8" s="376" t="s">
        <v>10</v>
      </c>
      <c r="R8" s="376" t="s">
        <v>11</v>
      </c>
      <c r="S8" s="376" t="s">
        <v>12</v>
      </c>
      <c r="T8" s="376" t="s">
        <v>13</v>
      </c>
      <c r="U8" s="828" t="s">
        <v>14</v>
      </c>
      <c r="V8" s="377"/>
      <c r="W8" s="52"/>
      <c r="X8" s="52"/>
    </row>
    <row r="9" spans="1:58" s="74" customFormat="1" ht="14.25" customHeight="1" x14ac:dyDescent="0.2">
      <c r="A9" s="131"/>
      <c r="B9" s="132"/>
      <c r="C9" s="133"/>
      <c r="D9" s="260" t="s">
        <v>202</v>
      </c>
      <c r="E9" s="378"/>
      <c r="F9" s="379">
        <v>1336227</v>
      </c>
      <c r="G9" s="379">
        <v>2216000</v>
      </c>
      <c r="H9" s="379">
        <v>4023576</v>
      </c>
      <c r="I9" s="379">
        <v>5591325</v>
      </c>
      <c r="J9" s="379">
        <v>6766361</v>
      </c>
      <c r="K9" s="379">
        <v>8243776</v>
      </c>
      <c r="L9" s="379">
        <v>9243165</v>
      </c>
      <c r="M9" s="380">
        <v>10738456</v>
      </c>
      <c r="N9" s="381">
        <v>12332012</v>
      </c>
      <c r="O9" s="381">
        <v>11139237</v>
      </c>
      <c r="P9" s="381">
        <v>10059010</v>
      </c>
      <c r="Q9" s="381">
        <v>10464022</v>
      </c>
      <c r="R9" s="381">
        <v>10570726</v>
      </c>
      <c r="S9" s="381">
        <v>11782848</v>
      </c>
      <c r="T9" s="381">
        <v>13290951</v>
      </c>
      <c r="U9" s="829">
        <v>13814995</v>
      </c>
      <c r="V9" s="381"/>
      <c r="W9" s="382"/>
      <c r="X9" s="52"/>
    </row>
    <row r="10" spans="1:58" s="74" customFormat="1" ht="14.25" customHeight="1" x14ac:dyDescent="0.2">
      <c r="A10" s="131"/>
      <c r="B10" s="132"/>
      <c r="C10" s="133"/>
      <c r="D10" s="260" t="s">
        <v>203</v>
      </c>
      <c r="E10" s="378"/>
      <c r="F10" s="379">
        <v>810618</v>
      </c>
      <c r="G10" s="379">
        <v>1380000</v>
      </c>
      <c r="H10" s="379">
        <v>203110</v>
      </c>
      <c r="I10" s="379">
        <v>465367</v>
      </c>
      <c r="J10" s="379">
        <v>515331</v>
      </c>
      <c r="K10" s="379">
        <v>844640</v>
      </c>
      <c r="L10" s="379">
        <v>1021355</v>
      </c>
      <c r="M10" s="380">
        <v>1154399</v>
      </c>
      <c r="N10" s="381">
        <v>1139676</v>
      </c>
      <c r="O10" s="381">
        <v>1067302</v>
      </c>
      <c r="P10" s="381">
        <v>1011340</v>
      </c>
      <c r="Q10" s="381">
        <v>1235669</v>
      </c>
      <c r="R10" s="381">
        <v>1437509</v>
      </c>
      <c r="S10" s="381">
        <v>1697151</v>
      </c>
      <c r="T10" s="381">
        <v>1893010</v>
      </c>
      <c r="U10" s="829">
        <v>2013021</v>
      </c>
      <c r="V10" s="381"/>
      <c r="W10" s="382"/>
      <c r="X10" s="52"/>
    </row>
    <row r="11" spans="1:58" s="74" customFormat="1" ht="14.25" customHeight="1" x14ac:dyDescent="0.2">
      <c r="A11" s="131"/>
      <c r="B11" s="132"/>
      <c r="C11" s="133"/>
      <c r="D11" s="260" t="s">
        <v>204</v>
      </c>
      <c r="E11" s="378"/>
      <c r="F11" s="379">
        <v>415648</v>
      </c>
      <c r="G11" s="379">
        <v>496000</v>
      </c>
      <c r="H11" s="379">
        <v>1896156</v>
      </c>
      <c r="I11" s="379">
        <v>2071351</v>
      </c>
      <c r="J11" s="379">
        <v>2533971</v>
      </c>
      <c r="K11" s="379">
        <v>2732215</v>
      </c>
      <c r="L11" s="379">
        <v>3298808</v>
      </c>
      <c r="M11" s="380">
        <v>3621862</v>
      </c>
      <c r="N11" s="381">
        <v>4191366</v>
      </c>
      <c r="O11" s="381">
        <v>5101224</v>
      </c>
      <c r="P11" s="381">
        <v>5424602</v>
      </c>
      <c r="Q11" s="381">
        <v>6609216</v>
      </c>
      <c r="R11" s="381">
        <v>7333153</v>
      </c>
      <c r="S11" s="381">
        <v>7292853</v>
      </c>
      <c r="T11" s="381">
        <v>8377575</v>
      </c>
      <c r="U11" s="829">
        <v>9876623</v>
      </c>
      <c r="V11" s="381"/>
      <c r="W11" s="382"/>
      <c r="X11" s="52"/>
    </row>
    <row r="12" spans="1:58" ht="14.25" customHeight="1" x14ac:dyDescent="0.25">
      <c r="C12" s="43"/>
      <c r="D12" s="260" t="s">
        <v>205</v>
      </c>
      <c r="E12" s="378"/>
      <c r="F12" s="379">
        <v>31615</v>
      </c>
      <c r="G12" s="379">
        <v>11000</v>
      </c>
      <c r="H12" s="379">
        <v>70778</v>
      </c>
      <c r="I12" s="379">
        <v>209023</v>
      </c>
      <c r="J12" s="379">
        <v>198268</v>
      </c>
      <c r="K12" s="379">
        <v>226514</v>
      </c>
      <c r="L12" s="379">
        <v>212538</v>
      </c>
      <c r="M12" s="380">
        <v>223202</v>
      </c>
      <c r="N12" s="381">
        <v>240649</v>
      </c>
      <c r="O12" s="381">
        <v>188840</v>
      </c>
      <c r="P12" s="381">
        <v>162830</v>
      </c>
      <c r="Q12" s="381">
        <v>170605</v>
      </c>
      <c r="R12" s="381">
        <v>503833</v>
      </c>
      <c r="S12" s="381">
        <v>583165</v>
      </c>
      <c r="T12" s="381">
        <v>778772</v>
      </c>
      <c r="U12" s="829">
        <v>891142</v>
      </c>
      <c r="V12" s="381"/>
      <c r="W12" s="382"/>
      <c r="X12" s="53"/>
    </row>
    <row r="13" spans="1:58" ht="14.25" customHeight="1" x14ac:dyDescent="0.25">
      <c r="D13" s="383" t="s">
        <v>206</v>
      </c>
      <c r="E13" s="384"/>
      <c r="F13" s="385"/>
      <c r="G13" s="385"/>
      <c r="H13" s="385">
        <v>1294454</v>
      </c>
      <c r="I13" s="385">
        <v>1745493</v>
      </c>
      <c r="J13" s="385">
        <v>1996050</v>
      </c>
      <c r="K13" s="385">
        <v>2102094</v>
      </c>
      <c r="L13" s="385">
        <v>2744718</v>
      </c>
      <c r="M13" s="386">
        <v>2886094</v>
      </c>
      <c r="N13" s="387">
        <v>3137343</v>
      </c>
      <c r="O13" s="387">
        <v>3458074</v>
      </c>
      <c r="P13" s="387">
        <v>3596023</v>
      </c>
      <c r="Q13" s="387">
        <v>3729680</v>
      </c>
      <c r="R13" s="387">
        <v>4025998</v>
      </c>
      <c r="S13" s="387">
        <v>4304556</v>
      </c>
      <c r="T13" s="387">
        <v>5004669</v>
      </c>
      <c r="U13" s="830">
        <v>5740897</v>
      </c>
      <c r="V13" s="381"/>
      <c r="W13" s="382"/>
      <c r="X13" s="53"/>
    </row>
    <row r="14" spans="1:58" ht="14.25" customHeight="1" x14ac:dyDescent="0.25">
      <c r="D14" s="388" t="s">
        <v>207</v>
      </c>
      <c r="E14" s="389">
        <v>2786087</v>
      </c>
      <c r="F14" s="389">
        <v>2594107</v>
      </c>
      <c r="G14" s="389">
        <v>4103000</v>
      </c>
      <c r="H14" s="389">
        <v>7488074</v>
      </c>
      <c r="I14" s="389">
        <v>10082559</v>
      </c>
      <c r="J14" s="389">
        <v>12009981</v>
      </c>
      <c r="K14" s="389">
        <v>14149239</v>
      </c>
      <c r="L14" s="389">
        <v>16520584</v>
      </c>
      <c r="M14" s="390">
        <v>18624013</v>
      </c>
      <c r="N14" s="391">
        <v>21041046</v>
      </c>
      <c r="O14" s="391">
        <v>20954677</v>
      </c>
      <c r="P14" s="391">
        <v>20253805</v>
      </c>
      <c r="Q14" s="391">
        <v>22209192</v>
      </c>
      <c r="R14" s="391">
        <v>23871219</v>
      </c>
      <c r="S14" s="391">
        <v>25660573</v>
      </c>
      <c r="T14" s="391">
        <v>29344977</v>
      </c>
      <c r="U14" s="831">
        <v>32336679</v>
      </c>
      <c r="V14" s="391"/>
      <c r="W14" s="382"/>
      <c r="X14" s="53"/>
    </row>
    <row r="15" spans="1:58" x14ac:dyDescent="0.25">
      <c r="D15" s="260" t="s">
        <v>208</v>
      </c>
      <c r="E15" s="378">
        <v>1.04</v>
      </c>
      <c r="F15" s="378">
        <v>0.75</v>
      </c>
      <c r="G15" s="378">
        <v>0.69</v>
      </c>
      <c r="H15" s="378">
        <v>0.76</v>
      </c>
      <c r="I15" s="378">
        <v>0.81</v>
      </c>
      <c r="J15" s="378">
        <v>0.87</v>
      </c>
      <c r="K15" s="378">
        <v>0.92</v>
      </c>
      <c r="L15" s="392">
        <v>0.9</v>
      </c>
      <c r="M15" s="393">
        <v>0.88</v>
      </c>
      <c r="N15" s="394">
        <v>0.89</v>
      </c>
      <c r="O15" s="394">
        <v>0.84</v>
      </c>
      <c r="P15" s="394">
        <v>0.74</v>
      </c>
      <c r="Q15" s="394">
        <v>0.73</v>
      </c>
      <c r="R15" s="394">
        <v>0.73</v>
      </c>
      <c r="S15" s="394">
        <v>0.72</v>
      </c>
      <c r="T15" s="394">
        <v>0.77</v>
      </c>
      <c r="U15" s="832">
        <v>0.8</v>
      </c>
      <c r="V15" s="394"/>
      <c r="W15" s="382"/>
      <c r="X15" s="53"/>
    </row>
    <row r="16" spans="1:58" x14ac:dyDescent="0.25">
      <c r="A16" s="44"/>
      <c r="D16" s="395" t="s">
        <v>209</v>
      </c>
      <c r="E16" s="396"/>
      <c r="F16" s="396"/>
      <c r="G16" s="396"/>
      <c r="H16" s="397">
        <v>26913</v>
      </c>
      <c r="I16" s="397">
        <v>30703</v>
      </c>
      <c r="J16" s="397">
        <v>37001</v>
      </c>
      <c r="K16" s="397">
        <v>39264</v>
      </c>
      <c r="L16" s="397">
        <v>39591</v>
      </c>
      <c r="M16" s="398">
        <v>40084</v>
      </c>
      <c r="N16" s="399">
        <v>39955</v>
      </c>
      <c r="O16" s="399">
        <v>40797</v>
      </c>
      <c r="P16" s="399">
        <v>37901</v>
      </c>
      <c r="Q16" s="399">
        <v>40653</v>
      </c>
      <c r="R16" s="399">
        <v>42828</v>
      </c>
      <c r="S16" s="399">
        <v>45935</v>
      </c>
      <c r="T16" s="399">
        <v>48479</v>
      </c>
      <c r="U16" s="833">
        <v>51877</v>
      </c>
      <c r="V16" s="381"/>
      <c r="W16" s="382"/>
    </row>
    <row r="17" spans="1:23" x14ac:dyDescent="0.25">
      <c r="A17" s="44"/>
      <c r="D17" s="400" t="s">
        <v>210</v>
      </c>
      <c r="E17" s="401"/>
      <c r="F17" s="401"/>
      <c r="G17" s="401"/>
      <c r="H17" s="402">
        <v>14182</v>
      </c>
      <c r="I17" s="402">
        <v>14129</v>
      </c>
      <c r="J17" s="402">
        <v>17915</v>
      </c>
      <c r="K17" s="402">
        <v>17303</v>
      </c>
      <c r="L17" s="402">
        <v>18573.5</v>
      </c>
      <c r="M17" s="403">
        <v>19320.3</v>
      </c>
      <c r="N17" s="404">
        <v>19384.3</v>
      </c>
      <c r="O17" s="404">
        <v>19793.099999999999</v>
      </c>
      <c r="P17" s="404">
        <v>18719.599999999999</v>
      </c>
      <c r="Q17" s="404">
        <v>20115.099999999999</v>
      </c>
      <c r="R17" s="404">
        <v>21382.400000000001</v>
      </c>
      <c r="S17" s="404">
        <v>23346</v>
      </c>
      <c r="T17" s="404">
        <v>23571.9</v>
      </c>
      <c r="U17" s="834">
        <v>26159.4</v>
      </c>
      <c r="V17" s="381"/>
      <c r="W17" s="382"/>
    </row>
    <row r="18" spans="1:23" x14ac:dyDescent="0.25">
      <c r="A18" s="44"/>
      <c r="D18" s="405" t="s">
        <v>211</v>
      </c>
      <c r="E18" s="406"/>
      <c r="F18" s="406"/>
      <c r="G18" s="406"/>
      <c r="H18" s="406">
        <v>3.1</v>
      </c>
      <c r="I18" s="406">
        <v>1.2</v>
      </c>
      <c r="J18" s="406">
        <v>1.6</v>
      </c>
      <c r="K18" s="406">
        <v>1.5</v>
      </c>
      <c r="L18" s="406">
        <v>1.5</v>
      </c>
      <c r="M18" s="407">
        <v>1.5</v>
      </c>
      <c r="N18" s="408">
        <v>1.4</v>
      </c>
      <c r="O18" s="408">
        <v>1.5</v>
      </c>
      <c r="P18" s="408">
        <v>1.4</v>
      </c>
      <c r="Q18" s="408">
        <v>1.5</v>
      </c>
      <c r="R18" s="408">
        <v>1.5</v>
      </c>
      <c r="S18" s="408">
        <v>1.6</v>
      </c>
      <c r="T18" s="408">
        <v>1.5</v>
      </c>
      <c r="U18" s="835">
        <v>1.7</v>
      </c>
      <c r="V18" s="394"/>
      <c r="W18" s="382"/>
    </row>
    <row r="19" spans="1:23" x14ac:dyDescent="0.25">
      <c r="A19" s="44"/>
      <c r="D19" s="139"/>
      <c r="E19" s="139"/>
      <c r="F19" s="139"/>
      <c r="G19" s="139"/>
      <c r="H19" s="139"/>
      <c r="I19" s="139"/>
      <c r="J19" s="139"/>
      <c r="K19" s="139"/>
      <c r="L19" s="409"/>
      <c r="T19" s="44"/>
      <c r="U19" s="44"/>
    </row>
    <row r="20" spans="1:23" x14ac:dyDescent="0.25">
      <c r="A20" s="116">
        <v>5</v>
      </c>
      <c r="B20" s="117" t="s">
        <v>90</v>
      </c>
      <c r="V20" s="53"/>
    </row>
    <row r="21" spans="1:23" x14ac:dyDescent="0.25">
      <c r="V21" s="53"/>
    </row>
    <row r="22" spans="1:23" ht="14.25" customHeight="1" x14ac:dyDescent="0.25">
      <c r="A22" s="44"/>
      <c r="B22" s="117"/>
      <c r="C22" s="116"/>
      <c r="D22" s="410"/>
      <c r="E22" s="411"/>
      <c r="F22" s="412"/>
      <c r="G22" s="411"/>
      <c r="H22" s="412"/>
      <c r="I22" s="411"/>
      <c r="J22" s="412"/>
      <c r="K22" s="411"/>
      <c r="L22" s="412"/>
      <c r="M22" s="411"/>
      <c r="N22" s="412"/>
      <c r="O22" s="413"/>
      <c r="P22" s="413"/>
      <c r="Q22" s="413"/>
      <c r="R22" s="413"/>
      <c r="S22" s="413"/>
      <c r="T22" s="44"/>
      <c r="U22" s="44"/>
    </row>
    <row r="23" spans="1:23" ht="14.25" customHeight="1" x14ac:dyDescent="0.25">
      <c r="A23" s="44"/>
      <c r="B23" s="117"/>
      <c r="C23" s="116"/>
      <c r="D23" s="410"/>
      <c r="E23" s="411"/>
      <c r="F23" s="412"/>
      <c r="G23" s="411"/>
      <c r="H23" s="412"/>
      <c r="I23" s="411"/>
      <c r="J23" s="412"/>
      <c r="K23" s="411"/>
      <c r="L23" s="412"/>
      <c r="M23" s="411"/>
      <c r="N23" s="412"/>
      <c r="O23" s="413"/>
      <c r="P23" s="413"/>
      <c r="Q23" s="413"/>
      <c r="R23" s="413"/>
      <c r="S23" s="413"/>
      <c r="T23" s="44"/>
      <c r="U23" s="44"/>
    </row>
    <row r="24" spans="1:23" ht="14.25" customHeight="1" x14ac:dyDescent="0.25">
      <c r="A24" s="44"/>
      <c r="B24" s="117"/>
      <c r="C24" s="116"/>
      <c r="D24" s="410"/>
      <c r="E24" s="411"/>
      <c r="F24" s="412"/>
      <c r="G24" s="411"/>
      <c r="H24" s="412"/>
      <c r="I24" s="411"/>
      <c r="J24" s="412"/>
      <c r="K24" s="411"/>
      <c r="L24" s="412"/>
      <c r="M24" s="411"/>
      <c r="N24" s="412"/>
      <c r="O24" s="413"/>
      <c r="P24" s="413"/>
      <c r="Q24" s="413"/>
      <c r="R24" s="413"/>
      <c r="S24" s="413"/>
      <c r="T24" s="44"/>
      <c r="U24" s="44"/>
    </row>
    <row r="25" spans="1:23" ht="14.25" customHeight="1" x14ac:dyDescent="0.25">
      <c r="A25" s="44"/>
      <c r="B25" s="117"/>
      <c r="C25" s="116"/>
      <c r="D25" s="410"/>
      <c r="E25" s="411"/>
      <c r="F25" s="412"/>
      <c r="G25" s="411"/>
      <c r="H25" s="412"/>
      <c r="I25" s="411"/>
      <c r="J25" s="412"/>
      <c r="K25" s="411"/>
      <c r="L25" s="412"/>
      <c r="M25" s="411"/>
      <c r="N25" s="412"/>
      <c r="O25" s="413"/>
      <c r="P25" s="413"/>
      <c r="Q25" s="413"/>
      <c r="R25" s="413"/>
      <c r="S25" s="413"/>
      <c r="T25" s="44"/>
      <c r="U25" s="44"/>
    </row>
    <row r="26" spans="1:23" ht="14.25" customHeight="1" x14ac:dyDescent="0.25">
      <c r="A26" s="44"/>
      <c r="B26" s="117"/>
      <c r="C26" s="116"/>
      <c r="D26" s="410"/>
      <c r="E26" s="411"/>
      <c r="F26" s="412"/>
      <c r="G26" s="411"/>
      <c r="H26" s="412"/>
      <c r="I26" s="411"/>
      <c r="J26" s="412"/>
      <c r="K26" s="411"/>
      <c r="L26" s="412"/>
      <c r="M26" s="411"/>
      <c r="N26" s="412"/>
      <c r="O26" s="413"/>
      <c r="P26" s="413"/>
      <c r="Q26" s="413"/>
      <c r="R26" s="413"/>
      <c r="S26" s="413"/>
      <c r="T26" s="44"/>
      <c r="U26" s="44"/>
    </row>
    <row r="27" spans="1:23" ht="14.25" customHeight="1" x14ac:dyDescent="0.25">
      <c r="A27" s="44"/>
      <c r="B27" s="117"/>
      <c r="C27" s="116"/>
      <c r="D27" s="410"/>
      <c r="E27" s="411"/>
      <c r="F27" s="412"/>
      <c r="G27" s="411"/>
      <c r="H27" s="412"/>
      <c r="I27" s="411"/>
      <c r="J27" s="412"/>
      <c r="K27" s="411"/>
      <c r="L27" s="412"/>
      <c r="M27" s="411"/>
      <c r="N27" s="412"/>
      <c r="O27" s="413"/>
      <c r="P27" s="413"/>
      <c r="Q27" s="413"/>
      <c r="R27" s="413"/>
      <c r="S27" s="413"/>
      <c r="T27" s="44"/>
      <c r="U27" s="44"/>
    </row>
    <row r="28" spans="1:23" ht="14.25" customHeight="1" x14ac:dyDescent="0.25">
      <c r="A28" s="44"/>
      <c r="B28" s="117"/>
      <c r="C28" s="116"/>
      <c r="D28" s="410"/>
      <c r="E28" s="411"/>
      <c r="F28" s="412"/>
      <c r="G28" s="411"/>
      <c r="H28" s="412"/>
      <c r="I28" s="411"/>
      <c r="J28" s="412"/>
      <c r="K28" s="411"/>
      <c r="L28" s="412"/>
      <c r="M28" s="411"/>
      <c r="N28" s="412"/>
      <c r="O28" s="413"/>
      <c r="P28" s="413"/>
      <c r="Q28" s="413"/>
      <c r="R28" s="413"/>
      <c r="S28" s="413"/>
      <c r="T28" s="44"/>
      <c r="U28" s="44"/>
    </row>
    <row r="29" spans="1:23" ht="14.25" customHeight="1" x14ac:dyDescent="0.25">
      <c r="A29" s="44"/>
      <c r="B29" s="117"/>
      <c r="C29" s="116"/>
      <c r="D29" s="410"/>
      <c r="E29" s="411"/>
      <c r="F29" s="412"/>
      <c r="G29" s="411"/>
      <c r="H29" s="412"/>
      <c r="I29" s="411"/>
      <c r="J29" s="412"/>
      <c r="K29" s="411"/>
      <c r="L29" s="412"/>
      <c r="M29" s="411"/>
      <c r="N29" s="412"/>
      <c r="O29" s="413"/>
      <c r="P29" s="413"/>
      <c r="Q29" s="413"/>
      <c r="R29" s="413"/>
      <c r="S29" s="413"/>
      <c r="T29" s="44"/>
      <c r="U29" s="44"/>
    </row>
    <row r="30" spans="1:23" ht="14.25" customHeight="1" x14ac:dyDescent="0.25">
      <c r="A30" s="44"/>
      <c r="B30" s="117"/>
      <c r="C30" s="116"/>
      <c r="D30" s="410"/>
      <c r="E30" s="411"/>
      <c r="F30" s="412"/>
      <c r="G30" s="411"/>
      <c r="H30" s="412"/>
      <c r="I30" s="411"/>
      <c r="J30" s="412"/>
      <c r="K30" s="411"/>
      <c r="L30" s="412"/>
      <c r="M30" s="411"/>
      <c r="N30" s="412"/>
      <c r="O30" s="413"/>
      <c r="P30" s="413"/>
      <c r="Q30" s="413"/>
      <c r="R30" s="413"/>
      <c r="S30" s="413"/>
      <c r="T30" s="44"/>
      <c r="U30" s="44"/>
    </row>
    <row r="31" spans="1:23" ht="14.25" customHeight="1" x14ac:dyDescent="0.25">
      <c r="A31" s="44"/>
      <c r="B31" s="117"/>
      <c r="C31" s="116"/>
      <c r="D31" s="410"/>
      <c r="E31" s="411"/>
      <c r="F31" s="412"/>
      <c r="G31" s="411"/>
      <c r="H31" s="412"/>
      <c r="I31" s="411"/>
      <c r="J31" s="412"/>
      <c r="K31" s="411"/>
      <c r="L31" s="412"/>
      <c r="M31" s="411"/>
      <c r="N31" s="412"/>
      <c r="O31" s="413"/>
      <c r="P31" s="413"/>
      <c r="Q31" s="413"/>
      <c r="R31" s="413"/>
      <c r="S31" s="413"/>
      <c r="T31" s="44"/>
      <c r="U31" s="44"/>
    </row>
    <row r="32" spans="1:23" ht="14.25" customHeight="1" x14ac:dyDescent="0.25">
      <c r="A32" s="44"/>
      <c r="B32" s="117"/>
      <c r="C32" s="116"/>
      <c r="D32" s="410"/>
      <c r="E32" s="411"/>
      <c r="F32" s="412"/>
      <c r="G32" s="411"/>
      <c r="H32" s="412"/>
      <c r="I32" s="411"/>
      <c r="J32" s="412"/>
      <c r="K32" s="411"/>
      <c r="L32" s="412"/>
      <c r="M32" s="411"/>
      <c r="N32" s="412"/>
      <c r="O32" s="413"/>
      <c r="P32" s="413"/>
      <c r="Q32" s="413"/>
      <c r="R32" s="413"/>
      <c r="S32" s="413"/>
      <c r="T32" s="44"/>
      <c r="U32" s="44"/>
    </row>
    <row r="33" spans="1:28" ht="14.25" customHeight="1" x14ac:dyDescent="0.25">
      <c r="A33" s="44"/>
      <c r="B33" s="117"/>
      <c r="C33" s="116"/>
      <c r="D33" s="410"/>
      <c r="E33" s="411"/>
      <c r="F33" s="412"/>
      <c r="G33" s="411"/>
      <c r="H33" s="412"/>
      <c r="I33" s="411"/>
      <c r="J33" s="412"/>
      <c r="K33" s="411"/>
      <c r="L33" s="412"/>
      <c r="M33" s="411"/>
      <c r="N33" s="412"/>
      <c r="O33" s="413"/>
      <c r="P33" s="413"/>
      <c r="Q33" s="413"/>
      <c r="R33" s="413"/>
      <c r="S33" s="413"/>
      <c r="T33" s="44"/>
      <c r="U33" s="44"/>
    </row>
    <row r="34" spans="1:28" ht="14.25" customHeight="1" x14ac:dyDescent="0.25">
      <c r="A34" s="44"/>
      <c r="B34" s="117"/>
      <c r="C34" s="116"/>
      <c r="D34" s="410"/>
      <c r="E34" s="411"/>
      <c r="F34" s="412"/>
      <c r="G34" s="411"/>
      <c r="H34" s="412"/>
      <c r="I34" s="411"/>
      <c r="J34" s="412"/>
      <c r="K34" s="411"/>
      <c r="L34" s="412"/>
      <c r="M34" s="411"/>
      <c r="N34" s="412"/>
      <c r="O34" s="413"/>
      <c r="P34" s="413"/>
      <c r="Q34" s="413"/>
      <c r="R34" s="413"/>
      <c r="S34" s="413"/>
      <c r="T34" s="44"/>
      <c r="U34" s="44"/>
    </row>
    <row r="35" spans="1:28" ht="14.25" customHeight="1" x14ac:dyDescent="0.25">
      <c r="A35" s="44"/>
      <c r="B35" s="117"/>
      <c r="C35" s="116"/>
      <c r="D35" s="410"/>
      <c r="E35" s="411"/>
      <c r="F35" s="412"/>
      <c r="G35" s="411"/>
      <c r="H35" s="412"/>
      <c r="I35" s="411"/>
      <c r="J35" s="412"/>
      <c r="K35" s="411"/>
      <c r="L35" s="412"/>
      <c r="M35" s="411"/>
      <c r="N35" s="412"/>
      <c r="O35" s="413"/>
      <c r="P35" s="413"/>
      <c r="Q35" s="413"/>
      <c r="R35" s="413"/>
      <c r="S35" s="413"/>
      <c r="T35" s="44"/>
      <c r="U35" s="44"/>
      <c r="AB35" s="145"/>
    </row>
    <row r="36" spans="1:28" ht="14.25" customHeight="1" x14ac:dyDescent="0.25">
      <c r="A36" s="44"/>
      <c r="B36" s="117"/>
      <c r="C36" s="116"/>
      <c r="D36" s="410"/>
      <c r="E36" s="411"/>
      <c r="F36" s="412"/>
      <c r="G36" s="411"/>
      <c r="H36" s="412"/>
      <c r="I36" s="411"/>
      <c r="J36" s="412"/>
      <c r="K36" s="411"/>
      <c r="L36" s="412"/>
      <c r="M36" s="411"/>
      <c r="N36" s="412"/>
      <c r="O36" s="413"/>
      <c r="P36" s="413"/>
      <c r="Q36" s="413"/>
      <c r="R36" s="413"/>
      <c r="S36" s="413"/>
      <c r="T36" s="44"/>
      <c r="U36" s="44"/>
    </row>
    <row r="37" spans="1:28" ht="14.25" customHeight="1" x14ac:dyDescent="0.25">
      <c r="A37" s="44"/>
      <c r="B37" s="117"/>
      <c r="C37" s="116"/>
      <c r="D37" s="410"/>
      <c r="E37" s="411"/>
      <c r="F37" s="412"/>
      <c r="G37" s="411"/>
      <c r="H37" s="412"/>
      <c r="I37" s="411"/>
      <c r="J37" s="412"/>
      <c r="K37" s="411"/>
      <c r="L37" s="412"/>
      <c r="M37" s="411"/>
      <c r="N37" s="412"/>
      <c r="O37" s="413"/>
      <c r="P37" s="413"/>
      <c r="Q37" s="413"/>
      <c r="R37" s="413"/>
      <c r="S37" s="413"/>
      <c r="T37" s="44"/>
      <c r="U37" s="44"/>
    </row>
    <row r="38" spans="1:28" ht="14.25" customHeight="1" x14ac:dyDescent="0.25">
      <c r="A38" s="44"/>
      <c r="B38" s="117"/>
      <c r="C38" s="116"/>
      <c r="D38" s="410"/>
      <c r="E38" s="411"/>
      <c r="F38" s="412"/>
      <c r="G38" s="411"/>
      <c r="H38" s="412"/>
      <c r="I38" s="411"/>
      <c r="J38" s="412"/>
      <c r="K38" s="411"/>
      <c r="L38" s="412"/>
      <c r="M38" s="411"/>
      <c r="N38" s="412"/>
      <c r="O38" s="413"/>
      <c r="P38" s="413"/>
      <c r="Q38" s="413"/>
      <c r="R38" s="413"/>
      <c r="S38" s="413"/>
      <c r="T38" s="44"/>
      <c r="U38" s="44"/>
    </row>
    <row r="39" spans="1:28" ht="14.25" customHeight="1" x14ac:dyDescent="0.25">
      <c r="A39" s="44"/>
      <c r="B39" s="117"/>
      <c r="C39" s="116"/>
      <c r="D39" s="410"/>
      <c r="E39" s="411"/>
      <c r="F39" s="412"/>
      <c r="G39" s="411"/>
      <c r="H39" s="412"/>
      <c r="I39" s="411"/>
      <c r="J39" s="412"/>
      <c r="K39" s="411"/>
      <c r="L39" s="412"/>
      <c r="M39" s="411"/>
      <c r="N39" s="412"/>
      <c r="O39" s="413"/>
      <c r="P39" s="413"/>
      <c r="Q39" s="413"/>
      <c r="R39" s="413"/>
      <c r="S39" s="413"/>
      <c r="T39" s="44"/>
      <c r="U39" s="44"/>
    </row>
    <row r="40" spans="1:28" ht="14.25" customHeight="1" x14ac:dyDescent="0.25">
      <c r="A40" s="44"/>
      <c r="B40" s="117"/>
      <c r="C40" s="116"/>
      <c r="D40" s="410"/>
      <c r="E40" s="411"/>
      <c r="F40" s="412"/>
      <c r="G40" s="411"/>
      <c r="H40" s="412"/>
      <c r="I40" s="411"/>
      <c r="J40" s="412"/>
      <c r="K40" s="411"/>
      <c r="L40" s="412"/>
      <c r="M40" s="411"/>
      <c r="N40" s="412"/>
      <c r="O40" s="413"/>
      <c r="P40" s="413"/>
      <c r="Q40" s="413"/>
      <c r="R40" s="413"/>
      <c r="S40" s="413"/>
      <c r="T40" s="44"/>
      <c r="U40" s="44"/>
    </row>
    <row r="41" spans="1:28" ht="14.25" customHeight="1" x14ac:dyDescent="0.25">
      <c r="A41" s="44"/>
      <c r="B41" s="117"/>
      <c r="C41" s="116"/>
      <c r="D41" s="410"/>
      <c r="E41" s="411"/>
      <c r="F41" s="412"/>
      <c r="G41" s="411"/>
      <c r="H41" s="412"/>
      <c r="I41" s="411"/>
      <c r="J41" s="412"/>
      <c r="K41" s="411"/>
      <c r="L41" s="412"/>
      <c r="M41" s="411"/>
      <c r="N41" s="412"/>
      <c r="O41" s="413"/>
      <c r="P41" s="413"/>
      <c r="Q41" s="413"/>
      <c r="R41" s="413"/>
      <c r="S41" s="413"/>
      <c r="T41" s="44"/>
      <c r="U41" s="44"/>
    </row>
    <row r="42" spans="1:28" ht="14.25" customHeight="1" x14ac:dyDescent="0.25">
      <c r="A42" s="44"/>
      <c r="B42" s="117"/>
      <c r="C42" s="116"/>
      <c r="D42" s="410"/>
      <c r="E42" s="411"/>
      <c r="F42" s="412"/>
      <c r="G42" s="411"/>
      <c r="H42" s="412"/>
      <c r="I42" s="411"/>
      <c r="J42" s="412"/>
      <c r="K42" s="411"/>
      <c r="L42" s="412"/>
      <c r="M42" s="411"/>
      <c r="N42" s="412"/>
      <c r="O42" s="413"/>
      <c r="P42" s="413"/>
      <c r="Q42" s="413"/>
      <c r="R42" s="413"/>
      <c r="S42" s="413"/>
      <c r="T42" s="44"/>
      <c r="U42" s="44"/>
    </row>
    <row r="43" spans="1:28" ht="14.25" customHeight="1" x14ac:dyDescent="0.25">
      <c r="A43" s="44"/>
      <c r="B43" s="117"/>
      <c r="C43" s="116"/>
      <c r="D43" s="410"/>
      <c r="E43" s="411"/>
      <c r="F43" s="412"/>
      <c r="G43" s="411"/>
      <c r="H43" s="412"/>
      <c r="I43" s="411"/>
      <c r="J43" s="412"/>
      <c r="K43" s="411"/>
      <c r="L43" s="412"/>
      <c r="M43" s="411"/>
      <c r="N43" s="412"/>
      <c r="O43" s="413"/>
      <c r="P43" s="413"/>
      <c r="Q43" s="413"/>
      <c r="R43" s="413"/>
      <c r="S43" s="413"/>
      <c r="T43" s="44"/>
      <c r="U43" s="44"/>
    </row>
    <row r="44" spans="1:28" ht="14.25" customHeight="1" x14ac:dyDescent="0.25">
      <c r="A44" s="44"/>
      <c r="B44" s="117"/>
      <c r="C44" s="116"/>
      <c r="D44" s="410"/>
      <c r="E44" s="411"/>
      <c r="F44" s="412"/>
      <c r="G44" s="411"/>
      <c r="H44" s="412"/>
      <c r="I44" s="411"/>
      <c r="J44" s="412"/>
      <c r="K44" s="411"/>
      <c r="L44" s="412"/>
      <c r="M44" s="411"/>
      <c r="N44" s="412"/>
      <c r="O44" s="413"/>
      <c r="P44" s="413"/>
      <c r="Q44" s="413"/>
      <c r="R44" s="413"/>
      <c r="S44" s="413"/>
      <c r="T44" s="44"/>
      <c r="U44" s="44"/>
    </row>
    <row r="45" spans="1:28" ht="14.25" customHeight="1" x14ac:dyDescent="0.25">
      <c r="A45" s="44"/>
      <c r="B45" s="117"/>
      <c r="C45" s="116"/>
      <c r="D45" s="410"/>
      <c r="E45" s="411"/>
      <c r="F45" s="412"/>
      <c r="G45" s="411"/>
      <c r="H45" s="412"/>
      <c r="I45" s="411"/>
      <c r="J45" s="412"/>
      <c r="K45" s="411"/>
      <c r="L45" s="412"/>
      <c r="M45" s="411"/>
      <c r="N45" s="412"/>
      <c r="O45" s="413"/>
      <c r="P45" s="413"/>
      <c r="Q45" s="413"/>
      <c r="R45" s="413"/>
      <c r="S45" s="413"/>
      <c r="T45" s="44"/>
      <c r="U45" s="44"/>
    </row>
    <row r="46" spans="1:28" ht="14.25" customHeight="1" x14ac:dyDescent="0.25">
      <c r="A46" s="44"/>
      <c r="B46" s="117"/>
      <c r="C46" s="116"/>
      <c r="D46" s="414"/>
      <c r="E46" s="415"/>
      <c r="F46" s="416"/>
      <c r="G46" s="415"/>
      <c r="H46" s="417"/>
      <c r="I46" s="415"/>
      <c r="J46" s="417"/>
      <c r="K46" s="415"/>
      <c r="L46" s="417"/>
      <c r="M46" s="415"/>
      <c r="N46" s="417"/>
      <c r="O46" s="413"/>
      <c r="P46" s="413"/>
      <c r="Q46" s="413"/>
      <c r="R46" s="413"/>
      <c r="S46" s="413"/>
      <c r="T46" s="413"/>
      <c r="U46" s="413"/>
    </row>
    <row r="47" spans="1:28" ht="14.25" customHeight="1" x14ac:dyDescent="0.25">
      <c r="A47" s="44"/>
      <c r="B47" s="117"/>
      <c r="C47" s="116"/>
      <c r="D47" s="414"/>
      <c r="E47" s="415"/>
      <c r="F47" s="416"/>
      <c r="G47" s="415"/>
      <c r="H47" s="417"/>
      <c r="I47" s="415"/>
      <c r="J47" s="417"/>
      <c r="K47" s="415"/>
      <c r="L47" s="417"/>
      <c r="M47" s="415"/>
      <c r="N47" s="417"/>
      <c r="O47" s="413"/>
      <c r="P47" s="413"/>
      <c r="Q47" s="413"/>
      <c r="R47" s="413"/>
      <c r="S47" s="413"/>
      <c r="T47" s="413"/>
      <c r="U47" s="413"/>
    </row>
    <row r="48" spans="1:28" ht="54" customHeight="1" x14ac:dyDescent="0.25">
      <c r="A48" s="143">
        <v>5</v>
      </c>
      <c r="B48" s="144" t="s">
        <v>29</v>
      </c>
      <c r="C48" s="143"/>
      <c r="D48" s="4078" t="s">
        <v>212</v>
      </c>
      <c r="E48" s="4079"/>
      <c r="F48" s="4079"/>
      <c r="G48" s="4079"/>
      <c r="H48" s="4079"/>
      <c r="I48" s="4079"/>
      <c r="J48" s="4079"/>
      <c r="K48" s="4079"/>
      <c r="L48" s="4079"/>
      <c r="M48" s="4079"/>
      <c r="N48" s="4079"/>
      <c r="O48" s="4079"/>
      <c r="P48" s="4079"/>
      <c r="Q48" s="4079"/>
      <c r="R48" s="4079"/>
      <c r="S48" s="4079"/>
      <c r="T48" s="4080"/>
      <c r="U48" s="230"/>
      <c r="V48" s="53"/>
    </row>
    <row r="49" spans="1:32" ht="42" customHeight="1" x14ac:dyDescent="0.25">
      <c r="A49" s="116">
        <v>6</v>
      </c>
      <c r="B49" s="117" t="s">
        <v>31</v>
      </c>
      <c r="C49" s="116"/>
      <c r="D49" s="4072" t="s">
        <v>1792</v>
      </c>
      <c r="E49" s="4073"/>
      <c r="F49" s="4073"/>
      <c r="G49" s="4073"/>
      <c r="H49" s="4073"/>
      <c r="I49" s="4073"/>
      <c r="J49" s="4073"/>
      <c r="K49" s="4073"/>
      <c r="L49" s="4073"/>
      <c r="M49" s="4073"/>
      <c r="N49" s="4073"/>
      <c r="O49" s="4073"/>
      <c r="P49" s="4073"/>
      <c r="Q49" s="4073"/>
      <c r="R49" s="4073"/>
      <c r="S49" s="4073"/>
      <c r="T49" s="4074"/>
      <c r="U49" s="229"/>
      <c r="V49" s="53"/>
    </row>
    <row r="50" spans="1:32" x14ac:dyDescent="0.25">
      <c r="V50" s="53"/>
    </row>
    <row r="56" spans="1:32" s="420" customFormat="1" x14ac:dyDescent="0.25">
      <c r="A56" s="418"/>
      <c r="B56" s="419"/>
      <c r="C56" s="114"/>
      <c r="D56" s="44"/>
      <c r="E56" s="44"/>
      <c r="F56" s="44"/>
      <c r="G56" s="44"/>
      <c r="H56" s="44"/>
      <c r="I56" s="44"/>
      <c r="J56" s="44"/>
      <c r="K56" s="44"/>
      <c r="L56" s="44"/>
      <c r="M56" s="44"/>
      <c r="N56" s="44"/>
      <c r="O56" s="44"/>
      <c r="P56" s="44"/>
      <c r="Q56" s="44"/>
      <c r="R56" s="44"/>
      <c r="S56" s="44"/>
      <c r="T56" s="53"/>
      <c r="U56" s="53"/>
      <c r="V56" s="44"/>
      <c r="W56" s="44"/>
      <c r="X56" s="44"/>
      <c r="Y56" s="44"/>
      <c r="Z56" s="44"/>
      <c r="AA56" s="44"/>
    </row>
    <row r="57" spans="1:32" s="420" customFormat="1" x14ac:dyDescent="0.25">
      <c r="A57" s="418"/>
      <c r="B57" s="419"/>
      <c r="C57" s="421"/>
      <c r="D57" s="3917" t="s">
        <v>6</v>
      </c>
      <c r="E57" s="3917" t="s">
        <v>199</v>
      </c>
      <c r="F57" s="3917"/>
      <c r="G57" s="3917"/>
      <c r="H57" s="3917"/>
      <c r="I57" s="3917"/>
      <c r="J57" s="3918"/>
      <c r="K57" s="3918"/>
      <c r="L57" s="3919"/>
      <c r="M57" s="3889"/>
      <c r="N57" s="3915"/>
      <c r="O57" s="3915"/>
      <c r="P57" s="3915"/>
      <c r="Q57" s="3915"/>
      <c r="R57" s="3915"/>
      <c r="S57" s="3915"/>
      <c r="T57" s="3916"/>
      <c r="U57" s="3916"/>
      <c r="V57" s="3915"/>
      <c r="W57" s="3915"/>
      <c r="X57" s="3915"/>
      <c r="Y57" s="3915"/>
      <c r="Z57" s="3915"/>
      <c r="AA57" s="3776"/>
      <c r="AB57" s="3776"/>
      <c r="AC57" s="3776"/>
      <c r="AD57" s="3776"/>
    </row>
    <row r="58" spans="1:32" s="420" customFormat="1" x14ac:dyDescent="0.25">
      <c r="A58" s="418"/>
      <c r="B58" s="419"/>
      <c r="C58" s="421"/>
      <c r="D58" s="3870" t="s">
        <v>200</v>
      </c>
      <c r="E58" s="3871" t="s">
        <v>201</v>
      </c>
      <c r="F58" s="3871" t="s">
        <v>130</v>
      </c>
      <c r="G58" s="3871" t="s">
        <v>131</v>
      </c>
      <c r="H58" s="3871" t="s">
        <v>132</v>
      </c>
      <c r="I58" s="3871" t="s">
        <v>133</v>
      </c>
      <c r="J58" s="3871" t="s">
        <v>134</v>
      </c>
      <c r="K58" s="3871" t="s">
        <v>135</v>
      </c>
      <c r="L58" s="3871" t="s">
        <v>136</v>
      </c>
      <c r="M58" s="3871" t="s">
        <v>137</v>
      </c>
      <c r="N58" s="3871" t="s">
        <v>138</v>
      </c>
      <c r="O58" s="3871" t="s">
        <v>139</v>
      </c>
      <c r="P58" s="3872" t="s">
        <v>140</v>
      </c>
      <c r="Q58" s="3872" t="s">
        <v>141</v>
      </c>
      <c r="R58" s="3872"/>
      <c r="S58" s="3872" t="s">
        <v>142</v>
      </c>
      <c r="T58" s="3872" t="s">
        <v>143</v>
      </c>
      <c r="U58" s="3873" t="s">
        <v>144</v>
      </c>
      <c r="V58" s="3873" t="s">
        <v>145</v>
      </c>
      <c r="W58" s="3873" t="s">
        <v>8</v>
      </c>
      <c r="X58" s="3873" t="s">
        <v>9</v>
      </c>
      <c r="Y58" s="3873" t="s">
        <v>10</v>
      </c>
      <c r="Z58" s="3873" t="s">
        <v>11</v>
      </c>
      <c r="AA58" s="3873" t="s">
        <v>12</v>
      </c>
      <c r="AB58" s="3874" t="s">
        <v>13</v>
      </c>
      <c r="AC58" s="3874" t="s">
        <v>14</v>
      </c>
      <c r="AD58" s="3776" t="s">
        <v>12</v>
      </c>
      <c r="AE58" s="424"/>
      <c r="AF58" s="424"/>
    </row>
    <row r="59" spans="1:32" s="420" customFormat="1" x14ac:dyDescent="0.25">
      <c r="A59" s="418"/>
      <c r="B59" s="419"/>
      <c r="C59" s="421"/>
      <c r="D59" s="3875" t="s">
        <v>202</v>
      </c>
      <c r="E59" s="3876"/>
      <c r="F59" s="3877">
        <v>1336227000</v>
      </c>
      <c r="G59" s="3877"/>
      <c r="H59" s="3877"/>
      <c r="I59" s="3877"/>
      <c r="J59" s="3877">
        <v>2216000000</v>
      </c>
      <c r="K59" s="3877"/>
      <c r="L59" s="3877"/>
      <c r="M59" s="3877"/>
      <c r="N59" s="3877">
        <v>4023576000</v>
      </c>
      <c r="O59" s="3877"/>
      <c r="P59" s="3877">
        <v>5591325000</v>
      </c>
      <c r="Q59" s="3877">
        <v>6766361000</v>
      </c>
      <c r="R59" s="3877"/>
      <c r="S59" s="3877">
        <v>8243776000</v>
      </c>
      <c r="T59" s="3877">
        <v>9243165000</v>
      </c>
      <c r="U59" s="3878">
        <v>10738456000</v>
      </c>
      <c r="V59" s="3879">
        <v>12332012000</v>
      </c>
      <c r="W59" s="3879">
        <v>11139237000</v>
      </c>
      <c r="X59" s="3879">
        <v>10059010000</v>
      </c>
      <c r="Y59" s="3879">
        <v>10464022000</v>
      </c>
      <c r="Z59" s="3879">
        <v>10570726000</v>
      </c>
      <c r="AA59" s="3879">
        <v>11782848000</v>
      </c>
      <c r="AB59" s="3880">
        <v>13290951000</v>
      </c>
      <c r="AC59" s="3881">
        <v>13814995000</v>
      </c>
      <c r="AD59" s="3881"/>
      <c r="AE59" s="424"/>
      <c r="AF59" s="424"/>
    </row>
    <row r="60" spans="1:32" s="420" customFormat="1" x14ac:dyDescent="0.25">
      <c r="A60" s="418"/>
      <c r="B60" s="419"/>
      <c r="C60" s="421"/>
      <c r="D60" s="3875" t="s">
        <v>203</v>
      </c>
      <c r="E60" s="3876"/>
      <c r="F60" s="3877">
        <v>810618000</v>
      </c>
      <c r="G60" s="3877"/>
      <c r="H60" s="3877"/>
      <c r="I60" s="3877"/>
      <c r="J60" s="3877">
        <v>1380000000</v>
      </c>
      <c r="K60" s="3877"/>
      <c r="L60" s="3877"/>
      <c r="M60" s="3877"/>
      <c r="N60" s="3877">
        <v>203110000</v>
      </c>
      <c r="O60" s="3877"/>
      <c r="P60" s="3877">
        <v>465367000</v>
      </c>
      <c r="Q60" s="3877">
        <v>515331000</v>
      </c>
      <c r="R60" s="3877"/>
      <c r="S60" s="3877">
        <v>844640000</v>
      </c>
      <c r="T60" s="3877">
        <v>1021355000</v>
      </c>
      <c r="U60" s="3878">
        <v>1154399000</v>
      </c>
      <c r="V60" s="3879">
        <v>1139676000</v>
      </c>
      <c r="W60" s="3879">
        <v>1067302000</v>
      </c>
      <c r="X60" s="3879">
        <v>1011340000</v>
      </c>
      <c r="Y60" s="3879">
        <v>1235669000</v>
      </c>
      <c r="Z60" s="3879">
        <v>1437509000</v>
      </c>
      <c r="AA60" s="3879">
        <v>1697151000</v>
      </c>
      <c r="AB60" s="3880">
        <v>1893010000</v>
      </c>
      <c r="AC60" s="3881">
        <v>2013021000</v>
      </c>
      <c r="AD60" s="3881"/>
      <c r="AE60" s="424"/>
      <c r="AF60" s="424"/>
    </row>
    <row r="61" spans="1:32" s="420" customFormat="1" x14ac:dyDescent="0.25">
      <c r="A61" s="418"/>
      <c r="B61" s="419"/>
      <c r="C61" s="421"/>
      <c r="D61" s="3875" t="s">
        <v>204</v>
      </c>
      <c r="E61" s="3876"/>
      <c r="F61" s="3877">
        <v>415648000</v>
      </c>
      <c r="G61" s="3877"/>
      <c r="H61" s="3877"/>
      <c r="I61" s="3877"/>
      <c r="J61" s="3877">
        <v>496000000</v>
      </c>
      <c r="K61" s="3877"/>
      <c r="L61" s="3877"/>
      <c r="M61" s="3877"/>
      <c r="N61" s="3877">
        <v>1896156000</v>
      </c>
      <c r="O61" s="3877"/>
      <c r="P61" s="3877">
        <v>2071351000</v>
      </c>
      <c r="Q61" s="3877">
        <v>2533971000</v>
      </c>
      <c r="R61" s="3877"/>
      <c r="S61" s="3877">
        <v>2732215000</v>
      </c>
      <c r="T61" s="3877">
        <v>3298808000</v>
      </c>
      <c r="U61" s="3878">
        <v>3621862000</v>
      </c>
      <c r="V61" s="3879">
        <v>4191366000</v>
      </c>
      <c r="W61" s="3879">
        <v>5101224000</v>
      </c>
      <c r="X61" s="3879">
        <v>5424602000</v>
      </c>
      <c r="Y61" s="3879">
        <v>6609216000</v>
      </c>
      <c r="Z61" s="3879">
        <v>7333153000</v>
      </c>
      <c r="AA61" s="3879">
        <v>7292853000</v>
      </c>
      <c r="AB61" s="3880">
        <v>8377575000</v>
      </c>
      <c r="AC61" s="3881">
        <v>9876623000</v>
      </c>
      <c r="AD61" s="3881"/>
      <c r="AE61" s="424"/>
      <c r="AF61" s="424"/>
    </row>
    <row r="62" spans="1:32" s="420" customFormat="1" x14ac:dyDescent="0.25">
      <c r="A62" s="418"/>
      <c r="B62" s="419"/>
      <c r="C62" s="421"/>
      <c r="D62" s="3875" t="s">
        <v>205</v>
      </c>
      <c r="E62" s="3876"/>
      <c r="F62" s="3877">
        <v>31615000</v>
      </c>
      <c r="G62" s="3877"/>
      <c r="H62" s="3877"/>
      <c r="I62" s="3877"/>
      <c r="J62" s="3877">
        <v>11000000</v>
      </c>
      <c r="K62" s="3877"/>
      <c r="L62" s="3877"/>
      <c r="M62" s="3877"/>
      <c r="N62" s="3877">
        <v>70778000</v>
      </c>
      <c r="O62" s="3877"/>
      <c r="P62" s="3877">
        <v>209023000</v>
      </c>
      <c r="Q62" s="3877">
        <v>198268000</v>
      </c>
      <c r="R62" s="3877"/>
      <c r="S62" s="3877">
        <v>226514000</v>
      </c>
      <c r="T62" s="3877">
        <v>212538000</v>
      </c>
      <c r="U62" s="3878">
        <v>223202000</v>
      </c>
      <c r="V62" s="3879">
        <v>240649000</v>
      </c>
      <c r="W62" s="3879">
        <v>188840000</v>
      </c>
      <c r="X62" s="3879">
        <v>162830000</v>
      </c>
      <c r="Y62" s="3879">
        <v>170605000</v>
      </c>
      <c r="Z62" s="3879">
        <v>503833000</v>
      </c>
      <c r="AA62" s="3879">
        <v>583165000</v>
      </c>
      <c r="AB62" s="3880">
        <v>778772000</v>
      </c>
      <c r="AC62" s="3881">
        <v>891142000</v>
      </c>
      <c r="AD62" s="3881"/>
      <c r="AE62" s="424"/>
      <c r="AF62" s="424"/>
    </row>
    <row r="63" spans="1:32" s="420" customFormat="1" x14ac:dyDescent="0.25">
      <c r="A63" s="418"/>
      <c r="B63" s="419"/>
      <c r="C63" s="421"/>
      <c r="D63" s="3882" t="s">
        <v>206</v>
      </c>
      <c r="E63" s="3883"/>
      <c r="F63" s="3884"/>
      <c r="G63" s="3884"/>
      <c r="H63" s="3884"/>
      <c r="I63" s="3884"/>
      <c r="J63" s="3884"/>
      <c r="K63" s="3884"/>
      <c r="L63" s="3884"/>
      <c r="M63" s="3884"/>
      <c r="N63" s="3884">
        <v>1294454000</v>
      </c>
      <c r="O63" s="3884"/>
      <c r="P63" s="3884">
        <v>1745493000</v>
      </c>
      <c r="Q63" s="3884">
        <v>1996050000</v>
      </c>
      <c r="R63" s="3884"/>
      <c r="S63" s="3884">
        <v>2102094000</v>
      </c>
      <c r="T63" s="3884">
        <v>2744718000</v>
      </c>
      <c r="U63" s="3885">
        <v>2886094000</v>
      </c>
      <c r="V63" s="3886">
        <v>3137343000</v>
      </c>
      <c r="W63" s="3886">
        <v>3458074000</v>
      </c>
      <c r="X63" s="3886">
        <v>3596023000</v>
      </c>
      <c r="Y63" s="3886">
        <v>3729680000</v>
      </c>
      <c r="Z63" s="3886">
        <v>4025998000</v>
      </c>
      <c r="AA63" s="3886">
        <v>4304556000</v>
      </c>
      <c r="AB63" s="3887">
        <v>5004669000</v>
      </c>
      <c r="AC63" s="3888">
        <v>5740897000</v>
      </c>
      <c r="AD63" s="3888"/>
      <c r="AE63" s="424"/>
      <c r="AF63" s="424"/>
    </row>
    <row r="64" spans="1:32" s="420" customFormat="1" x14ac:dyDescent="0.25">
      <c r="A64" s="418"/>
      <c r="B64" s="419"/>
      <c r="C64" s="421"/>
      <c r="D64" s="3889" t="s">
        <v>207</v>
      </c>
      <c r="E64" s="3890">
        <v>2786087000</v>
      </c>
      <c r="F64" s="3890">
        <f>SUM(F59:F63)</f>
        <v>2594108000</v>
      </c>
      <c r="G64" s="3890"/>
      <c r="H64" s="3890"/>
      <c r="I64" s="3890"/>
      <c r="J64" s="3890">
        <f>SUM(J59:J63)</f>
        <v>4103000000</v>
      </c>
      <c r="K64" s="3890"/>
      <c r="L64" s="3890"/>
      <c r="M64" s="3890"/>
      <c r="N64" s="3890">
        <f>SUM(N59:N63)</f>
        <v>7488074000</v>
      </c>
      <c r="O64" s="3890"/>
      <c r="P64" s="3890">
        <f>SUM(P59:P63)</f>
        <v>10082559000</v>
      </c>
      <c r="Q64" s="3890">
        <f>SUM(Q59:Q63)</f>
        <v>12009981000</v>
      </c>
      <c r="R64" s="3890"/>
      <c r="S64" s="3890">
        <f>SUM(S59:S63)</f>
        <v>14149239000</v>
      </c>
      <c r="T64" s="3890">
        <f>SUM(T59:T63)</f>
        <v>16520584000</v>
      </c>
      <c r="U64" s="3891">
        <f>SUM(U59:U63)</f>
        <v>18624013000</v>
      </c>
      <c r="V64" s="3892">
        <v>21041046000</v>
      </c>
      <c r="W64" s="3892">
        <f>SUM(W59:W63)</f>
        <v>20954677000</v>
      </c>
      <c r="X64" s="3892">
        <v>21041046000</v>
      </c>
      <c r="Y64" s="3892">
        <f>SUM(Y59:Y63)</f>
        <v>22209192000</v>
      </c>
      <c r="Z64" s="3892">
        <v>23871219000</v>
      </c>
      <c r="AA64" s="3892">
        <v>25660573000</v>
      </c>
      <c r="AB64" s="3893">
        <v>29344977000</v>
      </c>
      <c r="AC64" s="3894">
        <v>32336679</v>
      </c>
      <c r="AD64" s="3776"/>
      <c r="AE64" s="424"/>
      <c r="AF64" s="424"/>
    </row>
    <row r="65" spans="1:32" s="420" customFormat="1" x14ac:dyDescent="0.25">
      <c r="A65" s="418"/>
      <c r="B65" s="419"/>
      <c r="C65" s="421"/>
      <c r="D65" s="3875" t="s">
        <v>208</v>
      </c>
      <c r="E65" s="3876">
        <v>1.04</v>
      </c>
      <c r="F65" s="3876">
        <v>0.75</v>
      </c>
      <c r="G65" s="3876"/>
      <c r="H65" s="3876"/>
      <c r="I65" s="3876"/>
      <c r="J65" s="3876">
        <v>0.69</v>
      </c>
      <c r="K65" s="3876"/>
      <c r="L65" s="3876"/>
      <c r="M65" s="3876"/>
      <c r="N65" s="3876">
        <v>0.76</v>
      </c>
      <c r="O65" s="3876"/>
      <c r="P65" s="3876">
        <v>0.81</v>
      </c>
      <c r="Q65" s="3876">
        <v>0.87</v>
      </c>
      <c r="R65" s="3876"/>
      <c r="S65" s="3876">
        <v>0.92</v>
      </c>
      <c r="T65" s="3876">
        <v>0.95</v>
      </c>
      <c r="U65" s="3895">
        <v>0.93</v>
      </c>
      <c r="V65" s="3896">
        <v>0.92</v>
      </c>
      <c r="W65" s="3896">
        <v>0.87</v>
      </c>
      <c r="X65" s="3896">
        <v>0.76</v>
      </c>
      <c r="Y65" s="3896">
        <v>0.76</v>
      </c>
      <c r="Z65" s="3896">
        <v>0.73</v>
      </c>
      <c r="AA65" s="3896">
        <v>0.73</v>
      </c>
      <c r="AB65" s="3897">
        <v>0.77</v>
      </c>
      <c r="AC65" s="3897">
        <v>0.8</v>
      </c>
      <c r="AD65" s="3776">
        <v>0.73</v>
      </c>
      <c r="AE65" s="424"/>
      <c r="AF65" s="424"/>
    </row>
    <row r="66" spans="1:32" s="420" customFormat="1" x14ac:dyDescent="0.25">
      <c r="A66" s="418"/>
      <c r="B66" s="419"/>
      <c r="C66" s="421"/>
      <c r="D66" s="3898" t="s">
        <v>209</v>
      </c>
      <c r="E66" s="3899"/>
      <c r="F66" s="3899"/>
      <c r="G66" s="3899"/>
      <c r="H66" s="3899"/>
      <c r="I66" s="3899"/>
      <c r="J66" s="3899"/>
      <c r="K66" s="3899"/>
      <c r="L66" s="3899"/>
      <c r="M66" s="3899"/>
      <c r="N66" s="3900">
        <v>26913</v>
      </c>
      <c r="O66" s="3900"/>
      <c r="P66" s="3900">
        <v>30703</v>
      </c>
      <c r="Q66" s="3900">
        <v>37001</v>
      </c>
      <c r="R66" s="3900"/>
      <c r="S66" s="3900">
        <v>39264</v>
      </c>
      <c r="T66" s="3900">
        <v>39591</v>
      </c>
      <c r="U66" s="3901">
        <v>40084</v>
      </c>
      <c r="V66" s="3902">
        <v>39955</v>
      </c>
      <c r="W66" s="3902">
        <v>40797</v>
      </c>
      <c r="X66" s="3902">
        <v>37901</v>
      </c>
      <c r="Y66" s="3902">
        <v>40653</v>
      </c>
      <c r="Z66" s="3902">
        <v>42828</v>
      </c>
      <c r="AA66" s="3902">
        <v>45935</v>
      </c>
      <c r="AB66" s="3903">
        <v>48935</v>
      </c>
      <c r="AC66" s="3903"/>
      <c r="AD66" s="3776">
        <v>45935</v>
      </c>
      <c r="AE66" s="424"/>
      <c r="AF66" s="424"/>
    </row>
    <row r="67" spans="1:32" s="420" customFormat="1" x14ac:dyDescent="0.25">
      <c r="A67" s="418"/>
      <c r="B67" s="419"/>
      <c r="C67" s="421"/>
      <c r="D67" s="3904" t="s">
        <v>1790</v>
      </c>
      <c r="E67" s="3905"/>
      <c r="F67" s="3905"/>
      <c r="G67" s="3905"/>
      <c r="H67" s="3905"/>
      <c r="I67" s="3905"/>
      <c r="J67" s="3905"/>
      <c r="K67" s="3905"/>
      <c r="L67" s="3905"/>
      <c r="M67" s="3905"/>
      <c r="N67" s="3906">
        <v>14182</v>
      </c>
      <c r="O67" s="3906"/>
      <c r="P67" s="3906">
        <v>14129</v>
      </c>
      <c r="Q67" s="3906">
        <v>17915</v>
      </c>
      <c r="R67" s="3906"/>
      <c r="S67" s="3906">
        <v>17303</v>
      </c>
      <c r="T67" s="3906">
        <v>18572</v>
      </c>
      <c r="U67" s="3907">
        <v>19320</v>
      </c>
      <c r="V67" s="3908">
        <v>19384</v>
      </c>
      <c r="W67" s="3908">
        <v>19793.099999999999</v>
      </c>
      <c r="X67" s="3908">
        <v>18719.599999999999</v>
      </c>
      <c r="Y67" s="3908">
        <v>20115.099999999999</v>
      </c>
      <c r="Z67" s="3908">
        <v>21382</v>
      </c>
      <c r="AA67" s="3908">
        <v>23346</v>
      </c>
      <c r="AB67" s="3909">
        <v>23571.9</v>
      </c>
      <c r="AC67" s="3909"/>
      <c r="AD67" s="3776">
        <v>23346</v>
      </c>
      <c r="AE67" s="424"/>
      <c r="AF67" s="424"/>
    </row>
    <row r="68" spans="1:32" s="420" customFormat="1" x14ac:dyDescent="0.25">
      <c r="A68" s="418"/>
      <c r="B68" s="419"/>
      <c r="C68" s="421"/>
      <c r="D68" s="3910" t="s">
        <v>1791</v>
      </c>
      <c r="E68" s="3911"/>
      <c r="F68" s="3911"/>
      <c r="G68" s="3911"/>
      <c r="H68" s="3911"/>
      <c r="I68" s="3911"/>
      <c r="J68" s="3911"/>
      <c r="K68" s="3911"/>
      <c r="L68" s="3911"/>
      <c r="M68" s="3911"/>
      <c r="N68" s="3911">
        <v>3.1</v>
      </c>
      <c r="O68" s="3911"/>
      <c r="P68" s="3911">
        <v>1.2</v>
      </c>
      <c r="Q68" s="3911">
        <v>1.6</v>
      </c>
      <c r="R68" s="3911"/>
      <c r="S68" s="3911">
        <v>1.5</v>
      </c>
      <c r="T68" s="3911">
        <v>1.5</v>
      </c>
      <c r="U68" s="3912">
        <v>1.5</v>
      </c>
      <c r="V68" s="3913">
        <v>1.4</v>
      </c>
      <c r="W68" s="3913">
        <v>1.5</v>
      </c>
      <c r="X68" s="3913">
        <v>1.4</v>
      </c>
      <c r="Y68" s="3913">
        <v>1.5</v>
      </c>
      <c r="Z68" s="3913">
        <v>1.5</v>
      </c>
      <c r="AA68" s="3913">
        <v>1.6</v>
      </c>
      <c r="AB68" s="3914">
        <v>1.5</v>
      </c>
      <c r="AC68" s="3914"/>
      <c r="AD68" s="3776">
        <v>1.6</v>
      </c>
      <c r="AE68" s="424"/>
      <c r="AF68" s="424"/>
    </row>
    <row r="69" spans="1:32" s="420" customFormat="1" x14ac:dyDescent="0.25">
      <c r="A69" s="418"/>
      <c r="B69" s="419"/>
      <c r="C69" s="421"/>
      <c r="D69" s="3915"/>
      <c r="E69" s="3915"/>
      <c r="F69" s="3915"/>
      <c r="G69" s="3915"/>
      <c r="H69" s="3915"/>
      <c r="I69" s="3915"/>
      <c r="J69" s="3915"/>
      <c r="K69" s="3915"/>
      <c r="L69" s="3915"/>
      <c r="M69" s="3915"/>
      <c r="N69" s="3915"/>
      <c r="O69" s="3915"/>
      <c r="P69" s="3915"/>
      <c r="Q69" s="3915"/>
      <c r="R69" s="3915"/>
      <c r="S69" s="3915"/>
      <c r="T69" s="3916"/>
      <c r="U69" s="3916"/>
      <c r="V69" s="3915"/>
      <c r="W69" s="3915"/>
      <c r="X69" s="3913"/>
      <c r="Y69" s="3913"/>
      <c r="Z69" s="3896"/>
      <c r="AA69" s="3776"/>
      <c r="AB69" s="3776"/>
      <c r="AC69" s="3776"/>
      <c r="AD69" s="3776"/>
    </row>
    <row r="70" spans="1:32" s="420" customFormat="1" x14ac:dyDescent="0.25">
      <c r="A70" s="418"/>
      <c r="B70" s="419"/>
      <c r="C70" s="421"/>
      <c r="D70" s="422"/>
      <c r="E70" s="422"/>
      <c r="F70" s="422"/>
      <c r="G70" s="422"/>
      <c r="H70" s="422"/>
      <c r="I70" s="422"/>
      <c r="J70" s="422"/>
      <c r="K70" s="422"/>
      <c r="L70" s="422"/>
      <c r="M70" s="422"/>
      <c r="N70" s="422"/>
      <c r="O70" s="422"/>
      <c r="P70" s="422"/>
      <c r="Q70" s="422"/>
      <c r="R70" s="422"/>
      <c r="S70" s="422"/>
      <c r="T70" s="423"/>
      <c r="U70" s="423"/>
      <c r="V70" s="422"/>
      <c r="W70" s="422"/>
      <c r="X70" s="422"/>
      <c r="Y70" s="422"/>
      <c r="Z70" s="422"/>
      <c r="AA70" s="44"/>
    </row>
  </sheetData>
  <mergeCells count="7">
    <mergeCell ref="U5:AB5"/>
    <mergeCell ref="D48:T48"/>
    <mergeCell ref="D49:T49"/>
    <mergeCell ref="D2:T2"/>
    <mergeCell ref="D3:T3"/>
    <mergeCell ref="D4:T4"/>
    <mergeCell ref="D5:T5"/>
  </mergeCells>
  <pageMargins left="0.74803149606299202" right="0.74803149606299202" top="0.98425196850393704" bottom="0.98425196850393704" header="0.511811023622047" footer="0.511811023622047"/>
  <pageSetup paperSize="9" scale="5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P70"/>
  <sheetViews>
    <sheetView showGridLines="0" view="pageBreakPreview" zoomScaleNormal="100" zoomScaleSheetLayoutView="100" workbookViewId="0">
      <selection activeCell="D39" sqref="D39:T39"/>
    </sheetView>
  </sheetViews>
  <sheetFormatPr defaultColWidth="9.28515625" defaultRowHeight="15" x14ac:dyDescent="0.25"/>
  <cols>
    <col min="1" max="1" width="3.7109375" style="429" customWidth="1"/>
    <col min="2" max="2" width="12.7109375" style="426" customWidth="1"/>
    <col min="3" max="3" width="3.7109375" style="427" customWidth="1"/>
    <col min="4" max="4" width="29.7109375" style="428" customWidth="1"/>
    <col min="5" max="16" width="9.7109375" style="428" customWidth="1"/>
    <col min="17" max="17" width="11" style="428" bestFit="1" customWidth="1"/>
    <col min="18" max="18" width="9.7109375" style="428" customWidth="1"/>
    <col min="19" max="21" width="10" style="428" customWidth="1"/>
    <col min="22" max="22" width="9.7109375" style="428" bestFit="1" customWidth="1"/>
    <col min="23" max="23" width="9.7109375" style="428" customWidth="1"/>
    <col min="24" max="25" width="10" style="428" customWidth="1"/>
    <col min="26" max="26" width="9.7109375" style="428" bestFit="1" customWidth="1"/>
    <col min="27" max="27" width="9.42578125" style="428" customWidth="1"/>
    <col min="28" max="29" width="10" style="428" customWidth="1"/>
    <col min="30" max="30" width="9.7109375" style="428" bestFit="1" customWidth="1"/>
    <col min="31" max="31" width="9.7109375" style="428" customWidth="1"/>
    <col min="32" max="33" width="10" style="428" customWidth="1"/>
    <col min="34" max="34" width="9.7109375" style="428" bestFit="1" customWidth="1"/>
    <col min="35" max="35" width="9.7109375" style="428" customWidth="1"/>
    <col min="36" max="37" width="10" style="428" customWidth="1"/>
    <col min="38" max="38" width="9.7109375" style="428" bestFit="1" customWidth="1"/>
    <col min="39" max="39" width="9.7109375" style="428" customWidth="1"/>
    <col min="40" max="41" width="10" style="428" customWidth="1"/>
    <col min="42" max="42" width="9.7109375" style="428" bestFit="1" customWidth="1"/>
    <col min="43" max="43" width="9.7109375" style="428" customWidth="1"/>
    <col min="44" max="45" width="10" style="428" customWidth="1"/>
    <col min="46" max="46" width="9.7109375" style="428" bestFit="1" customWidth="1"/>
    <col min="47" max="47" width="9.7109375" style="428" customWidth="1"/>
    <col min="48" max="49" width="10" style="428" customWidth="1"/>
    <col min="50" max="50" width="9.7109375" style="428" bestFit="1" customWidth="1"/>
    <col min="51" max="51" width="10.7109375" style="428" customWidth="1"/>
    <col min="52" max="52" width="13.28515625" style="428" customWidth="1"/>
    <col min="53" max="53" width="10" style="428" bestFit="1" customWidth="1"/>
    <col min="54" max="55" width="9.7109375" style="428" bestFit="1" customWidth="1"/>
    <col min="56" max="57" width="10" style="428" bestFit="1" customWidth="1"/>
    <col min="58" max="61" width="10.28515625" style="428" bestFit="1" customWidth="1"/>
    <col min="62" max="62" width="9.28515625" style="428" customWidth="1"/>
    <col min="63" max="16384" width="9.28515625" style="428"/>
  </cols>
  <sheetData>
    <row r="1" spans="1:64" x14ac:dyDescent="0.25">
      <c r="A1" s="425"/>
    </row>
    <row r="2" spans="1:64" ht="12.75" customHeight="1" x14ac:dyDescent="0.25">
      <c r="A2" s="429">
        <v>1</v>
      </c>
      <c r="B2" s="430" t="s">
        <v>0</v>
      </c>
      <c r="C2" s="429">
        <v>11</v>
      </c>
      <c r="D2" s="4024" t="s">
        <v>213</v>
      </c>
      <c r="E2" s="4025"/>
      <c r="F2" s="4025"/>
      <c r="G2" s="4025"/>
      <c r="H2" s="4025"/>
      <c r="I2" s="4025"/>
      <c r="J2" s="4025"/>
      <c r="K2" s="4025"/>
      <c r="L2" s="4025"/>
      <c r="M2" s="4025"/>
      <c r="N2" s="4025"/>
      <c r="O2" s="4025"/>
      <c r="P2" s="4025"/>
      <c r="Q2" s="4025"/>
      <c r="R2" s="4025"/>
      <c r="S2" s="4025"/>
      <c r="T2" s="4026"/>
      <c r="U2" s="431"/>
      <c r="V2" s="431"/>
      <c r="W2" s="431"/>
      <c r="X2" s="431"/>
      <c r="Y2" s="431"/>
    </row>
    <row r="3" spans="1:64" ht="12.75" customHeight="1" x14ac:dyDescent="0.25">
      <c r="A3" s="429">
        <v>2</v>
      </c>
      <c r="B3" s="430" t="s">
        <v>2</v>
      </c>
      <c r="C3" s="429"/>
      <c r="D3" s="4027" t="s">
        <v>214</v>
      </c>
      <c r="E3" s="4028"/>
      <c r="F3" s="4028"/>
      <c r="G3" s="4028"/>
      <c r="H3" s="4028"/>
      <c r="I3" s="4028"/>
      <c r="J3" s="4028"/>
      <c r="K3" s="4028"/>
      <c r="L3" s="4028"/>
      <c r="M3" s="4028"/>
      <c r="N3" s="4028"/>
      <c r="O3" s="4028"/>
      <c r="P3" s="4028"/>
      <c r="Q3" s="4028"/>
      <c r="R3" s="4028"/>
      <c r="S3" s="4028"/>
      <c r="T3" s="4029"/>
    </row>
    <row r="4" spans="1:64" ht="12.75" customHeight="1" x14ac:dyDescent="0.25">
      <c r="A4" s="429">
        <v>3</v>
      </c>
      <c r="B4" s="430" t="s">
        <v>4</v>
      </c>
      <c r="C4" s="429"/>
      <c r="D4" s="4116" t="s">
        <v>1793</v>
      </c>
      <c r="E4" s="4117"/>
      <c r="F4" s="4117"/>
      <c r="G4" s="4117"/>
      <c r="H4" s="4117"/>
      <c r="I4" s="4117"/>
      <c r="J4" s="4117"/>
      <c r="K4" s="4117"/>
      <c r="L4" s="4117"/>
      <c r="M4" s="4117"/>
      <c r="N4" s="4117"/>
      <c r="O4" s="4117"/>
      <c r="P4" s="4117"/>
      <c r="Q4" s="4117"/>
      <c r="R4" s="4117"/>
      <c r="S4" s="4117"/>
      <c r="T4" s="4118"/>
    </row>
    <row r="5" spans="1:64" s="44" customFormat="1" ht="17.25" customHeight="1" x14ac:dyDescent="0.25">
      <c r="A5" s="116"/>
      <c r="B5" s="117"/>
      <c r="C5" s="116"/>
      <c r="D5" s="4027"/>
      <c r="E5" s="4028"/>
      <c r="F5" s="4028"/>
      <c r="G5" s="4028"/>
      <c r="H5" s="4028"/>
      <c r="I5" s="4028"/>
      <c r="J5" s="4028"/>
      <c r="K5" s="4028"/>
      <c r="L5" s="4028"/>
      <c r="M5" s="4028"/>
      <c r="N5" s="4028"/>
      <c r="O5" s="4028"/>
      <c r="P5" s="4028"/>
      <c r="Q5" s="4028"/>
      <c r="R5" s="4028"/>
      <c r="S5" s="4028"/>
      <c r="T5" s="4029"/>
      <c r="U5" s="4119"/>
      <c r="V5" s="4119"/>
      <c r="W5" s="4119"/>
      <c r="X5" s="4119"/>
      <c r="Y5" s="4119"/>
      <c r="Z5" s="4119"/>
      <c r="AA5" s="4119"/>
      <c r="AB5" s="4119"/>
    </row>
    <row r="6" spans="1:64" x14ac:dyDescent="0.25">
      <c r="A6" s="429">
        <v>4</v>
      </c>
      <c r="B6" s="432" t="s">
        <v>5</v>
      </c>
      <c r="D6" s="433" t="s">
        <v>40</v>
      </c>
      <c r="E6" s="3660" t="s">
        <v>215</v>
      </c>
      <c r="F6" s="3660"/>
      <c r="G6" s="3660"/>
      <c r="H6" s="3660"/>
      <c r="I6" s="3660"/>
      <c r="J6" s="3660"/>
      <c r="K6" s="434"/>
      <c r="L6" s="434"/>
      <c r="M6" s="434"/>
      <c r="N6" s="435"/>
      <c r="O6" s="435"/>
      <c r="P6" s="435"/>
      <c r="Q6" s="435"/>
      <c r="R6" s="435"/>
      <c r="S6" s="435"/>
      <c r="T6" s="435"/>
      <c r="U6" s="435"/>
      <c r="V6" s="435"/>
      <c r="W6" s="435"/>
      <c r="X6" s="435"/>
      <c r="Y6" s="435"/>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row>
    <row r="7" spans="1:64" s="441" customFormat="1" x14ac:dyDescent="0.25">
      <c r="A7" s="429"/>
      <c r="B7" s="436"/>
      <c r="C7" s="437"/>
      <c r="D7" s="438"/>
      <c r="E7" s="439">
        <v>2000</v>
      </c>
      <c r="F7" s="439">
        <v>2001</v>
      </c>
      <c r="G7" s="439">
        <v>2002</v>
      </c>
      <c r="H7" s="439">
        <v>2003</v>
      </c>
      <c r="I7" s="439">
        <v>2004</v>
      </c>
      <c r="J7" s="439">
        <v>2005</v>
      </c>
      <c r="K7" s="439">
        <v>2006</v>
      </c>
      <c r="L7" s="439">
        <v>2007</v>
      </c>
      <c r="M7" s="439">
        <v>2008</v>
      </c>
      <c r="N7" s="439">
        <v>2009</v>
      </c>
      <c r="O7" s="439">
        <v>2010</v>
      </c>
      <c r="P7" s="439">
        <v>2011</v>
      </c>
      <c r="Q7" s="439">
        <v>2012</v>
      </c>
      <c r="R7" s="439">
        <v>2013</v>
      </c>
      <c r="S7" s="439">
        <v>2014</v>
      </c>
      <c r="T7" s="439">
        <v>2015</v>
      </c>
      <c r="U7" s="836">
        <v>2016</v>
      </c>
      <c r="V7" s="837">
        <v>2017</v>
      </c>
      <c r="W7" s="440"/>
      <c r="X7" s="440"/>
      <c r="Y7" s="44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row>
    <row r="8" spans="1:64" ht="11.65" customHeight="1" x14ac:dyDescent="0.25">
      <c r="D8" s="442" t="s">
        <v>216</v>
      </c>
      <c r="E8" s="443">
        <v>8339000</v>
      </c>
      <c r="F8" s="443">
        <v>10787000</v>
      </c>
      <c r="G8" s="443">
        <v>13702000</v>
      </c>
      <c r="H8" s="443">
        <v>16860000</v>
      </c>
      <c r="I8" s="443">
        <v>20839000</v>
      </c>
      <c r="J8" s="443">
        <v>33959958</v>
      </c>
      <c r="K8" s="443">
        <v>39662000</v>
      </c>
      <c r="L8" s="443">
        <v>42300000</v>
      </c>
      <c r="M8" s="443">
        <v>45000000</v>
      </c>
      <c r="N8" s="443">
        <v>46436000</v>
      </c>
      <c r="O8" s="443">
        <v>50372000</v>
      </c>
      <c r="P8" s="443">
        <v>64000000</v>
      </c>
      <c r="Q8" s="443">
        <v>68394000</v>
      </c>
      <c r="R8" s="443">
        <v>76865278</v>
      </c>
      <c r="S8" s="443">
        <v>79280731</v>
      </c>
      <c r="T8" s="443">
        <v>87999492</v>
      </c>
      <c r="U8" s="838">
        <v>82412880</v>
      </c>
      <c r="V8" s="839">
        <v>91878275</v>
      </c>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row>
    <row r="9" spans="1:64" ht="16.149999999999999" customHeight="1" x14ac:dyDescent="0.25">
      <c r="D9" s="442" t="s">
        <v>217</v>
      </c>
      <c r="E9" s="444">
        <v>18.235966052980501</v>
      </c>
      <c r="F9" s="444">
        <v>23.255359716887799</v>
      </c>
      <c r="G9" s="444">
        <v>29.1369659189575</v>
      </c>
      <c r="H9" s="444">
        <v>35.383946353907803</v>
      </c>
      <c r="I9" s="444">
        <v>43.1919692244524</v>
      </c>
      <c r="J9" s="444">
        <v>69.560734072303006</v>
      </c>
      <c r="K9" s="444">
        <v>80.345053868783907</v>
      </c>
      <c r="L9" s="444">
        <v>84.791321441874999</v>
      </c>
      <c r="M9" s="444">
        <v>89.264232423113896</v>
      </c>
      <c r="N9" s="444">
        <v>91.103109233993493</v>
      </c>
      <c r="O9" s="444">
        <v>97.649179175601105</v>
      </c>
      <c r="P9" s="444">
        <v>122.456361336271</v>
      </c>
      <c r="Q9" s="444">
        <v>129.04963418294901</v>
      </c>
      <c r="R9" s="444">
        <v>142.95890022272999</v>
      </c>
      <c r="S9" s="444">
        <v>145.36368648737599</v>
      </c>
      <c r="T9" s="444">
        <v>159.15634352467299</v>
      </c>
      <c r="U9" s="840">
        <v>147.125205923013</v>
      </c>
      <c r="V9" s="841">
        <v>161.993797784924</v>
      </c>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row>
    <row r="10" spans="1:64" x14ac:dyDescent="0.25">
      <c r="D10" s="442" t="s">
        <v>218</v>
      </c>
      <c r="E10" s="443">
        <v>4961743</v>
      </c>
      <c r="F10" s="443">
        <v>4924458</v>
      </c>
      <c r="G10" s="443">
        <v>4917000</v>
      </c>
      <c r="H10" s="443">
        <v>4910000</v>
      </c>
      <c r="I10" s="443">
        <v>4903000</v>
      </c>
      <c r="J10" s="443">
        <v>4896000</v>
      </c>
      <c r="K10" s="443">
        <v>4889000</v>
      </c>
      <c r="L10" s="443">
        <v>4882000</v>
      </c>
      <c r="M10" s="443">
        <v>4875000</v>
      </c>
      <c r="N10" s="443">
        <v>4868000</v>
      </c>
      <c r="O10" s="443">
        <v>4861000</v>
      </c>
      <c r="P10" s="443">
        <v>4854000</v>
      </c>
      <c r="Q10" s="443">
        <v>4847000</v>
      </c>
      <c r="R10" s="443">
        <v>3875582</v>
      </c>
      <c r="S10" s="443">
        <v>3647770</v>
      </c>
      <c r="T10" s="443">
        <v>4131055</v>
      </c>
      <c r="U10" s="838">
        <v>4522850</v>
      </c>
      <c r="V10" s="839">
        <v>3629141</v>
      </c>
      <c r="W10" s="435"/>
      <c r="X10" s="435"/>
      <c r="Y10" s="435"/>
      <c r="Z10" s="43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row>
    <row r="11" spans="1:64" s="449" customFormat="1" ht="13.5" x14ac:dyDescent="0.25">
      <c r="A11" s="445"/>
      <c r="B11" s="446"/>
      <c r="C11" s="447"/>
      <c r="D11" s="442" t="s">
        <v>219</v>
      </c>
      <c r="E11" s="444">
        <v>10.850482901021</v>
      </c>
      <c r="F11" s="444">
        <v>10.616486715556301</v>
      </c>
      <c r="G11" s="444">
        <v>10.455879537550301</v>
      </c>
      <c r="H11" s="444">
        <v>10.304577496897201</v>
      </c>
      <c r="I11" s="444">
        <v>10.1622066849412</v>
      </c>
      <c r="J11" s="444">
        <v>10.028556396271</v>
      </c>
      <c r="K11" s="444">
        <v>9.9038618416742601</v>
      </c>
      <c r="L11" s="444">
        <v>9.7860811177123797</v>
      </c>
      <c r="M11" s="444">
        <v>9.6702918458373404</v>
      </c>
      <c r="N11" s="444">
        <v>9.5505628338160093</v>
      </c>
      <c r="O11" s="444">
        <v>9.4233435236360794</v>
      </c>
      <c r="P11" s="444">
        <v>9.2875496550978305</v>
      </c>
      <c r="Q11" s="444">
        <v>9.1455913805999494</v>
      </c>
      <c r="R11" s="444">
        <v>7.20805225531101</v>
      </c>
      <c r="S11" s="444">
        <v>6.6882997667876802</v>
      </c>
      <c r="T11" s="444">
        <v>7.4714477749407804</v>
      </c>
      <c r="U11" s="840">
        <v>8.0742869028348707</v>
      </c>
      <c r="V11" s="841">
        <v>6.3986653350531197</v>
      </c>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row>
    <row r="12" spans="1:64" s="449" customFormat="1" ht="13.5" x14ac:dyDescent="0.25">
      <c r="A12" s="445"/>
      <c r="B12" s="446"/>
      <c r="C12" s="447"/>
      <c r="D12" s="442" t="s">
        <v>220</v>
      </c>
      <c r="E12" s="450"/>
      <c r="F12" s="450"/>
      <c r="G12" s="443">
        <v>2669</v>
      </c>
      <c r="H12" s="443">
        <v>20313</v>
      </c>
      <c r="I12" s="443">
        <v>60000</v>
      </c>
      <c r="J12" s="443">
        <v>165290</v>
      </c>
      <c r="K12" s="443">
        <v>335112</v>
      </c>
      <c r="L12" s="443">
        <v>378000</v>
      </c>
      <c r="M12" s="443">
        <v>426000</v>
      </c>
      <c r="N12" s="443">
        <v>481000</v>
      </c>
      <c r="O12" s="443">
        <v>743000</v>
      </c>
      <c r="P12" s="443">
        <v>907000</v>
      </c>
      <c r="Q12" s="443">
        <v>1107200</v>
      </c>
      <c r="R12" s="443">
        <v>1615210</v>
      </c>
      <c r="S12" s="443">
        <v>1706313</v>
      </c>
      <c r="T12" s="443">
        <v>1409347</v>
      </c>
      <c r="U12" s="838">
        <v>1150770</v>
      </c>
      <c r="V12" s="839">
        <v>1698360</v>
      </c>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c r="BD12" s="448"/>
      <c r="BE12" s="448"/>
      <c r="BF12" s="448"/>
      <c r="BG12" s="448"/>
      <c r="BH12" s="448"/>
      <c r="BI12" s="448"/>
      <c r="BJ12" s="448"/>
      <c r="BK12" s="448"/>
      <c r="BL12" s="448"/>
    </row>
    <row r="13" spans="1:64" s="449" customFormat="1" ht="16.899999999999999" customHeight="1" x14ac:dyDescent="0.25">
      <c r="A13" s="445"/>
      <c r="B13" s="446"/>
      <c r="C13" s="447"/>
      <c r="D13" s="442" t="s">
        <v>221</v>
      </c>
      <c r="E13" s="450"/>
      <c r="F13" s="450"/>
      <c r="G13" s="444">
        <v>5.6755628402932103E-3</v>
      </c>
      <c r="H13" s="444">
        <v>4.2630729673008898E-2</v>
      </c>
      <c r="I13" s="444">
        <v>0.124359045705991</v>
      </c>
      <c r="J13" s="444">
        <v>0.338566194187018</v>
      </c>
      <c r="K13" s="444">
        <v>0.67885108396137095</v>
      </c>
      <c r="L13" s="444">
        <v>0.75770968096994695</v>
      </c>
      <c r="M13" s="444">
        <v>0.84503473360547798</v>
      </c>
      <c r="N13" s="444">
        <v>0.94367722330844295</v>
      </c>
      <c r="O13" s="444">
        <v>1.4403505941291099</v>
      </c>
      <c r="P13" s="444">
        <v>1.7354362458124699</v>
      </c>
      <c r="Q13" s="444">
        <v>2.0891270428306701</v>
      </c>
      <c r="R13" s="444">
        <v>3.0040696038171499</v>
      </c>
      <c r="S13" s="444">
        <v>3.1285779640620901</v>
      </c>
      <c r="T13" s="444">
        <v>2.5489523880145502</v>
      </c>
      <c r="U13" s="840">
        <v>2.0543787963729199</v>
      </c>
      <c r="V13" s="841">
        <v>2.9944378734363899</v>
      </c>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row>
    <row r="14" spans="1:64" s="449" customFormat="1" ht="13.5" x14ac:dyDescent="0.25">
      <c r="A14" s="445"/>
      <c r="B14" s="446"/>
      <c r="C14" s="447"/>
      <c r="D14" s="442" t="s">
        <v>222</v>
      </c>
      <c r="E14" s="450"/>
      <c r="F14" s="443">
        <v>521</v>
      </c>
      <c r="G14" s="443"/>
      <c r="H14" s="443">
        <v>648</v>
      </c>
      <c r="I14" s="443">
        <v>909</v>
      </c>
      <c r="J14" s="443">
        <v>962</v>
      </c>
      <c r="K14" s="443">
        <v>1104</v>
      </c>
      <c r="L14" s="443">
        <v>1477</v>
      </c>
      <c r="M14" s="443">
        <v>1792</v>
      </c>
      <c r="N14" s="443">
        <v>1994</v>
      </c>
      <c r="O14" s="443">
        <v>3129</v>
      </c>
      <c r="P14" s="443">
        <v>3737</v>
      </c>
      <c r="Q14" s="443">
        <v>4287</v>
      </c>
      <c r="R14" s="443">
        <v>4575</v>
      </c>
      <c r="S14" s="443">
        <v>6240</v>
      </c>
      <c r="T14" s="443">
        <v>7143</v>
      </c>
      <c r="U14" s="838">
        <v>6962</v>
      </c>
      <c r="V14" s="839"/>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8"/>
      <c r="BA14" s="448"/>
      <c r="BB14" s="448"/>
      <c r="BC14" s="448"/>
      <c r="BD14" s="448"/>
      <c r="BE14" s="448"/>
      <c r="BF14" s="448"/>
      <c r="BG14" s="448"/>
      <c r="BH14" s="448"/>
      <c r="BI14" s="448"/>
      <c r="BJ14" s="448"/>
      <c r="BK14" s="448"/>
      <c r="BL14" s="448"/>
    </row>
    <row r="15" spans="1:64" s="449" customFormat="1" ht="13.5" x14ac:dyDescent="0.25">
      <c r="A15" s="445"/>
      <c r="B15" s="446"/>
      <c r="C15" s="447"/>
      <c r="D15" s="442" t="s">
        <v>223</v>
      </c>
      <c r="E15" s="450"/>
      <c r="F15" s="444">
        <v>11.60104741648682</v>
      </c>
      <c r="G15" s="444"/>
      <c r="H15" s="444">
        <v>14.076544163223959</v>
      </c>
      <c r="I15" s="444">
        <v>19.489247499142547</v>
      </c>
      <c r="J15" s="444">
        <v>20.351146982816587</v>
      </c>
      <c r="K15" s="444">
        <v>23.03758870567189</v>
      </c>
      <c r="L15" s="444">
        <v>30.392959566601746</v>
      </c>
      <c r="M15" s="444">
        <v>36.351669376373927</v>
      </c>
      <c r="N15" s="444">
        <v>39.863322780281642</v>
      </c>
      <c r="O15" s="444">
        <v>61.628667836370518</v>
      </c>
      <c r="P15" s="444">
        <v>72.492784572200804</v>
      </c>
      <c r="Q15" s="444">
        <v>81.881136895233453</v>
      </c>
      <c r="R15" s="444">
        <v>86.008825050642756</v>
      </c>
      <c r="S15" s="444">
        <v>115.43019195430475</v>
      </c>
      <c r="T15" s="444">
        <v>129.97453277949347</v>
      </c>
      <c r="U15" s="840">
        <v>124.5</v>
      </c>
      <c r="V15" s="841"/>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448"/>
      <c r="BC15" s="448"/>
      <c r="BD15" s="448"/>
      <c r="BE15" s="448"/>
      <c r="BF15" s="448"/>
      <c r="BG15" s="448"/>
      <c r="BH15" s="448"/>
      <c r="BI15" s="448"/>
      <c r="BJ15" s="448"/>
      <c r="BK15" s="448"/>
      <c r="BL15" s="448"/>
    </row>
    <row r="16" spans="1:64" x14ac:dyDescent="0.25">
      <c r="D16" s="451" t="s">
        <v>224</v>
      </c>
      <c r="E16" s="452">
        <v>5.3485597320353699</v>
      </c>
      <c r="F16" s="452">
        <v>6.3466193183976802</v>
      </c>
      <c r="G16" s="452">
        <v>6.7103224370540397</v>
      </c>
      <c r="H16" s="452">
        <v>7.00769172611251</v>
      </c>
      <c r="I16" s="452">
        <v>8.4251186825405995</v>
      </c>
      <c r="J16" s="452">
        <v>7.4885425299292097</v>
      </c>
      <c r="K16" s="452">
        <v>7.6071396747738103</v>
      </c>
      <c r="L16" s="452">
        <v>8.0653751735550401</v>
      </c>
      <c r="M16" s="452">
        <v>8.43</v>
      </c>
      <c r="N16" s="452">
        <v>10</v>
      </c>
      <c r="O16" s="452">
        <v>24</v>
      </c>
      <c r="P16" s="452">
        <v>33.97</v>
      </c>
      <c r="Q16" s="452">
        <v>41</v>
      </c>
      <c r="R16" s="452">
        <v>46.5</v>
      </c>
      <c r="S16" s="452">
        <v>49</v>
      </c>
      <c r="T16" s="452">
        <v>51.919115722747001</v>
      </c>
      <c r="U16" s="842">
        <v>54</v>
      </c>
      <c r="V16" s="843"/>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53"/>
      <c r="AT16" s="435"/>
      <c r="AU16" s="435"/>
      <c r="AV16" s="435"/>
      <c r="AW16" s="435"/>
      <c r="AX16" s="435"/>
      <c r="AY16" s="435"/>
      <c r="AZ16" s="435"/>
      <c r="BA16" s="435"/>
      <c r="BB16" s="435"/>
      <c r="BC16" s="435"/>
      <c r="BD16" s="435"/>
      <c r="BE16" s="435"/>
      <c r="BF16" s="435"/>
      <c r="BG16" s="435"/>
      <c r="BH16" s="435"/>
      <c r="BI16" s="435"/>
      <c r="BJ16" s="435"/>
      <c r="BK16" s="435"/>
      <c r="BL16" s="435"/>
    </row>
    <row r="17" spans="1:68" x14ac:dyDescent="0.25">
      <c r="D17" s="454"/>
      <c r="E17" s="454"/>
      <c r="F17" s="454"/>
      <c r="G17" s="454"/>
      <c r="H17" s="454"/>
      <c r="I17" s="454"/>
      <c r="J17" s="454"/>
      <c r="K17" s="454"/>
      <c r="L17" s="454"/>
      <c r="M17" s="454"/>
      <c r="N17" s="454"/>
      <c r="O17" s="454"/>
      <c r="P17" s="454"/>
      <c r="Q17" s="454"/>
      <c r="R17" s="454"/>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53"/>
      <c r="AS17" s="435"/>
      <c r="AT17" s="435"/>
      <c r="AU17" s="435"/>
      <c r="AV17" s="435"/>
      <c r="AW17" s="435"/>
      <c r="AX17" s="435"/>
      <c r="AY17" s="435"/>
      <c r="AZ17" s="435"/>
      <c r="BA17" s="435"/>
      <c r="BB17" s="435"/>
      <c r="BC17" s="435"/>
      <c r="BD17" s="435"/>
      <c r="BE17" s="435"/>
      <c r="BF17" s="435"/>
      <c r="BG17" s="435"/>
      <c r="BH17" s="435"/>
      <c r="BI17" s="435"/>
      <c r="BJ17" s="435"/>
      <c r="BK17" s="435"/>
    </row>
    <row r="18" spans="1:68" x14ac:dyDescent="0.25">
      <c r="D18" s="454"/>
      <c r="E18" s="454"/>
      <c r="F18" s="454"/>
      <c r="G18" s="454"/>
      <c r="H18" s="454"/>
      <c r="I18" s="454"/>
      <c r="J18" s="454"/>
      <c r="K18" s="454"/>
      <c r="L18" s="454"/>
      <c r="M18" s="454"/>
      <c r="N18" s="454"/>
      <c r="O18" s="454"/>
      <c r="P18" s="454"/>
      <c r="Q18" s="454"/>
      <c r="R18" s="454"/>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53"/>
      <c r="AS18" s="435"/>
      <c r="AT18" s="435"/>
      <c r="AU18" s="435"/>
      <c r="AV18" s="435"/>
      <c r="AW18" s="435"/>
      <c r="AX18" s="435"/>
      <c r="AY18" s="435"/>
      <c r="AZ18" s="435"/>
      <c r="BA18" s="435"/>
      <c r="BB18" s="435"/>
      <c r="BC18" s="435"/>
      <c r="BD18" s="435"/>
      <c r="BE18" s="435"/>
      <c r="BF18" s="435"/>
      <c r="BG18" s="435"/>
      <c r="BH18" s="435"/>
      <c r="BI18" s="435"/>
      <c r="BJ18" s="435"/>
      <c r="BK18" s="435"/>
    </row>
    <row r="19" spans="1:68" x14ac:dyDescent="0.25">
      <c r="D19" s="455" t="s">
        <v>67</v>
      </c>
      <c r="E19" s="3661" t="s">
        <v>225</v>
      </c>
      <c r="F19" s="3662"/>
      <c r="G19" s="3663"/>
      <c r="H19" s="457"/>
      <c r="I19" s="458"/>
      <c r="J19" s="457"/>
      <c r="K19" s="457"/>
      <c r="L19" s="457"/>
      <c r="M19" s="457"/>
      <c r="N19" s="457"/>
      <c r="O19" s="459"/>
      <c r="P19" s="459"/>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53"/>
      <c r="AS19" s="435"/>
      <c r="AT19" s="435"/>
      <c r="AU19" s="435"/>
      <c r="AV19" s="435"/>
      <c r="AW19" s="435"/>
      <c r="AX19" s="435"/>
      <c r="AY19" s="435"/>
      <c r="AZ19" s="435"/>
      <c r="BA19" s="435"/>
      <c r="BB19" s="435"/>
      <c r="BC19" s="435"/>
      <c r="BD19" s="435"/>
      <c r="BE19" s="435"/>
      <c r="BF19" s="435"/>
      <c r="BG19" s="435"/>
      <c r="BH19" s="435"/>
      <c r="BI19" s="435"/>
      <c r="BJ19" s="435"/>
      <c r="BK19" s="435"/>
    </row>
    <row r="20" spans="1:68" s="440" customFormat="1" x14ac:dyDescent="0.25">
      <c r="A20" s="460"/>
      <c r="B20" s="461"/>
      <c r="C20" s="462"/>
      <c r="D20" s="463"/>
      <c r="E20" s="464"/>
      <c r="F20" s="465"/>
      <c r="G20" s="465">
        <v>2002</v>
      </c>
      <c r="H20" s="465">
        <v>2003</v>
      </c>
      <c r="I20" s="465">
        <v>2004</v>
      </c>
      <c r="J20" s="465">
        <v>2005</v>
      </c>
      <c r="K20" s="465">
        <v>2006</v>
      </c>
      <c r="L20" s="465">
        <v>2007</v>
      </c>
      <c r="M20" s="465">
        <v>2008</v>
      </c>
      <c r="N20" s="465">
        <v>2009</v>
      </c>
      <c r="O20" s="465">
        <v>2010</v>
      </c>
      <c r="P20" s="465">
        <v>2011</v>
      </c>
      <c r="Q20" s="465">
        <v>2012</v>
      </c>
      <c r="R20" s="466">
        <v>2013</v>
      </c>
      <c r="S20" s="466">
        <v>2014</v>
      </c>
      <c r="T20" s="466">
        <v>2015</v>
      </c>
      <c r="U20" s="465">
        <v>2016</v>
      </c>
      <c r="V20" s="844">
        <v>2017</v>
      </c>
      <c r="W20" s="467"/>
      <c r="AW20" s="468"/>
    </row>
    <row r="21" spans="1:68" x14ac:dyDescent="0.25">
      <c r="D21" s="469" t="s">
        <v>226</v>
      </c>
      <c r="E21" s="470"/>
      <c r="F21" s="471"/>
      <c r="G21" s="471">
        <v>36</v>
      </c>
      <c r="H21" s="471">
        <v>36</v>
      </c>
      <c r="I21" s="471">
        <v>37</v>
      </c>
      <c r="J21" s="471">
        <v>34</v>
      </c>
      <c r="K21" s="471">
        <v>37</v>
      </c>
      <c r="L21" s="471">
        <v>47</v>
      </c>
      <c r="M21" s="471">
        <v>51</v>
      </c>
      <c r="N21" s="471">
        <v>52</v>
      </c>
      <c r="O21" s="471">
        <v>62</v>
      </c>
      <c r="P21" s="471">
        <v>61</v>
      </c>
      <c r="Q21" s="472">
        <v>72</v>
      </c>
      <c r="R21" s="472">
        <v>70</v>
      </c>
      <c r="S21" s="472">
        <v>70</v>
      </c>
      <c r="T21" s="472">
        <v>75</v>
      </c>
      <c r="U21" s="845">
        <v>75</v>
      </c>
      <c r="V21" s="846"/>
      <c r="W21" s="459"/>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53"/>
      <c r="AX21" s="435"/>
      <c r="AY21" s="435"/>
      <c r="AZ21" s="435"/>
      <c r="BA21" s="435"/>
      <c r="BB21" s="435"/>
      <c r="BC21" s="435"/>
      <c r="BD21" s="435"/>
      <c r="BE21" s="435"/>
      <c r="BF21" s="435"/>
      <c r="BG21" s="435"/>
      <c r="BH21" s="435"/>
      <c r="BI21" s="435"/>
      <c r="BJ21" s="435"/>
      <c r="BK21" s="435"/>
      <c r="BL21" s="435"/>
      <c r="BM21" s="435"/>
      <c r="BN21" s="435"/>
      <c r="BO21" s="435"/>
      <c r="BP21" s="435"/>
    </row>
    <row r="22" spans="1:68" x14ac:dyDescent="0.25">
      <c r="D22" s="456"/>
      <c r="E22" s="456"/>
      <c r="F22" s="473"/>
      <c r="G22" s="473"/>
      <c r="H22" s="473"/>
      <c r="I22" s="473"/>
      <c r="J22" s="473"/>
      <c r="K22" s="473"/>
      <c r="L22" s="473"/>
      <c r="M22" s="473"/>
      <c r="N22" s="473"/>
      <c r="O22" s="473"/>
      <c r="P22" s="473"/>
      <c r="Q22" s="474"/>
      <c r="R22" s="457"/>
      <c r="S22" s="457"/>
      <c r="T22" s="457"/>
      <c r="U22" s="457"/>
      <c r="V22" s="457"/>
      <c r="W22" s="435"/>
      <c r="X22" s="435"/>
      <c r="Y22" s="435"/>
      <c r="Z22" s="435"/>
      <c r="AA22" s="435"/>
      <c r="AB22" s="435"/>
      <c r="AC22" s="435"/>
      <c r="AD22" s="435"/>
      <c r="AE22" s="435"/>
      <c r="AF22" s="435"/>
      <c r="AG22" s="435"/>
      <c r="AH22" s="435"/>
      <c r="AI22" s="435"/>
      <c r="AJ22" s="435"/>
      <c r="AK22" s="435"/>
      <c r="AL22" s="435"/>
      <c r="AM22" s="435"/>
      <c r="AN22" s="435"/>
      <c r="AO22" s="435"/>
      <c r="AP22" s="435"/>
      <c r="AQ22" s="435"/>
      <c r="AR22" s="435"/>
      <c r="AS22" s="435"/>
      <c r="AT22" s="435"/>
      <c r="AU22" s="435"/>
      <c r="AV22" s="453"/>
      <c r="AW22" s="435"/>
      <c r="AX22" s="435"/>
      <c r="AY22" s="435"/>
      <c r="AZ22" s="435"/>
      <c r="BA22" s="435"/>
      <c r="BB22" s="435"/>
      <c r="BC22" s="435"/>
      <c r="BD22" s="435"/>
      <c r="BE22" s="435"/>
      <c r="BF22" s="435"/>
      <c r="BG22" s="435"/>
      <c r="BH22" s="435"/>
      <c r="BI22" s="435"/>
      <c r="BJ22" s="435"/>
      <c r="BK22" s="435"/>
      <c r="BL22" s="435"/>
      <c r="BM22" s="435"/>
      <c r="BN22" s="435"/>
      <c r="BO22" s="435"/>
    </row>
    <row r="23" spans="1:68" x14ac:dyDescent="0.25">
      <c r="D23" s="455" t="s">
        <v>227</v>
      </c>
      <c r="E23" s="455" t="s">
        <v>228</v>
      </c>
      <c r="F23" s="473"/>
      <c r="G23" s="473"/>
      <c r="H23" s="473"/>
      <c r="I23" s="473"/>
      <c r="J23" s="473"/>
      <c r="K23" s="473"/>
      <c r="L23" s="473"/>
      <c r="M23" s="473"/>
      <c r="N23" s="473"/>
      <c r="O23" s="473"/>
      <c r="P23" s="473"/>
      <c r="Q23" s="474"/>
      <c r="R23" s="457"/>
      <c r="S23" s="457"/>
      <c r="T23" s="457"/>
      <c r="U23" s="457"/>
      <c r="V23" s="457"/>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53"/>
      <c r="AW23" s="435"/>
      <c r="AX23" s="435"/>
      <c r="AY23" s="435"/>
      <c r="AZ23" s="435"/>
      <c r="BA23" s="435"/>
      <c r="BB23" s="435"/>
      <c r="BC23" s="435"/>
      <c r="BD23" s="435"/>
      <c r="BE23" s="435"/>
      <c r="BF23" s="435"/>
      <c r="BG23" s="435"/>
      <c r="BH23" s="435"/>
      <c r="BI23" s="435"/>
      <c r="BJ23" s="435"/>
      <c r="BK23" s="435"/>
      <c r="BL23" s="435"/>
      <c r="BM23" s="435"/>
      <c r="BN23" s="435"/>
      <c r="BO23" s="435"/>
    </row>
    <row r="24" spans="1:68" x14ac:dyDescent="0.25">
      <c r="D24" s="475"/>
      <c r="E24" s="476"/>
      <c r="F24" s="477">
        <v>2001</v>
      </c>
      <c r="G24" s="477">
        <v>2002</v>
      </c>
      <c r="H24" s="477">
        <v>2003</v>
      </c>
      <c r="I24" s="477">
        <v>2004</v>
      </c>
      <c r="J24" s="477">
        <v>2005</v>
      </c>
      <c r="K24" s="477">
        <v>2006</v>
      </c>
      <c r="L24" s="477">
        <v>2007</v>
      </c>
      <c r="M24" s="477">
        <v>2008</v>
      </c>
      <c r="N24" s="477">
        <v>2009</v>
      </c>
      <c r="O24" s="477">
        <v>2010</v>
      </c>
      <c r="P24" s="477">
        <v>2011</v>
      </c>
      <c r="Q24" s="477">
        <v>2012</v>
      </c>
      <c r="R24" s="477">
        <v>2013</v>
      </c>
      <c r="S24" s="477">
        <v>2014</v>
      </c>
      <c r="T24" s="477">
        <v>2015</v>
      </c>
      <c r="U24" s="847">
        <v>2016</v>
      </c>
      <c r="V24" s="433"/>
      <c r="W24" s="459"/>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53"/>
      <c r="AX24" s="435"/>
      <c r="AY24" s="435"/>
      <c r="AZ24" s="435"/>
      <c r="BA24" s="435"/>
      <c r="BB24" s="435"/>
      <c r="BC24" s="435"/>
      <c r="BD24" s="435"/>
      <c r="BE24" s="435"/>
      <c r="BF24" s="435"/>
      <c r="BG24" s="435"/>
      <c r="BH24" s="435"/>
      <c r="BI24" s="435"/>
      <c r="BJ24" s="435"/>
      <c r="BK24" s="435"/>
      <c r="BL24" s="435"/>
      <c r="BM24" s="435"/>
      <c r="BN24" s="435"/>
      <c r="BO24" s="435"/>
      <c r="BP24" s="435"/>
    </row>
    <row r="25" spans="1:68" x14ac:dyDescent="0.25">
      <c r="D25" s="478" t="s">
        <v>229</v>
      </c>
      <c r="E25" s="479"/>
      <c r="F25" s="480">
        <v>0.31900000000000001</v>
      </c>
      <c r="G25" s="481"/>
      <c r="H25" s="481"/>
      <c r="I25" s="481"/>
      <c r="J25" s="481"/>
      <c r="K25" s="481"/>
      <c r="L25" s="482">
        <v>0.72699999999999998</v>
      </c>
      <c r="M25" s="483"/>
      <c r="N25" s="473"/>
      <c r="O25" s="473"/>
      <c r="P25" s="482">
        <v>0.88900000000000001</v>
      </c>
      <c r="Q25" s="484"/>
      <c r="R25" s="484"/>
      <c r="S25" s="484"/>
      <c r="T25" s="484"/>
      <c r="U25" s="848"/>
      <c r="V25" s="484"/>
      <c r="W25" s="459"/>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53"/>
      <c r="AX25" s="435"/>
      <c r="AY25" s="435"/>
      <c r="AZ25" s="435"/>
      <c r="BA25" s="435"/>
      <c r="BB25" s="435"/>
      <c r="BC25" s="435"/>
      <c r="BD25" s="435"/>
      <c r="BE25" s="435"/>
      <c r="BF25" s="435"/>
      <c r="BG25" s="435"/>
      <c r="BH25" s="435"/>
      <c r="BI25" s="435"/>
      <c r="BJ25" s="435"/>
      <c r="BK25" s="435"/>
      <c r="BL25" s="435"/>
      <c r="BM25" s="435"/>
      <c r="BN25" s="435"/>
      <c r="BO25" s="435"/>
      <c r="BP25" s="435"/>
    </row>
    <row r="26" spans="1:68" x14ac:dyDescent="0.25">
      <c r="D26" s="478" t="s">
        <v>230</v>
      </c>
      <c r="E26" s="479"/>
      <c r="F26" s="480">
        <v>0.72150000000000003</v>
      </c>
      <c r="G26" s="481"/>
      <c r="H26" s="481"/>
      <c r="I26" s="481"/>
      <c r="J26" s="481"/>
      <c r="K26" s="481"/>
      <c r="L26" s="482">
        <v>0.76500000000000001</v>
      </c>
      <c r="M26" s="483"/>
      <c r="N26" s="473"/>
      <c r="O26" s="473"/>
      <c r="P26" s="482">
        <v>0.67500000000000004</v>
      </c>
      <c r="Q26" s="484"/>
      <c r="R26" s="484"/>
      <c r="S26" s="484"/>
      <c r="T26" s="484"/>
      <c r="U26" s="848"/>
      <c r="V26" s="484"/>
      <c r="W26" s="459"/>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53"/>
      <c r="AX26" s="435"/>
      <c r="AY26" s="435"/>
      <c r="AZ26" s="435"/>
      <c r="BA26" s="435"/>
      <c r="BB26" s="435"/>
      <c r="BC26" s="435"/>
      <c r="BD26" s="435"/>
      <c r="BE26" s="435"/>
      <c r="BF26" s="435"/>
      <c r="BG26" s="435"/>
      <c r="BH26" s="435"/>
      <c r="BI26" s="435"/>
      <c r="BJ26" s="435"/>
      <c r="BK26" s="435"/>
      <c r="BL26" s="435"/>
      <c r="BM26" s="435"/>
      <c r="BN26" s="435"/>
      <c r="BO26" s="435"/>
      <c r="BP26" s="435"/>
    </row>
    <row r="27" spans="1:68" x14ac:dyDescent="0.25">
      <c r="D27" s="478" t="s">
        <v>231</v>
      </c>
      <c r="E27" s="479"/>
      <c r="F27" s="480">
        <v>8.5000000000000006E-2</v>
      </c>
      <c r="G27" s="481"/>
      <c r="H27" s="481"/>
      <c r="I27" s="481"/>
      <c r="J27" s="481"/>
      <c r="K27" s="481"/>
      <c r="L27" s="482">
        <v>0.156</v>
      </c>
      <c r="M27" s="483"/>
      <c r="N27" s="473"/>
      <c r="O27" s="473"/>
      <c r="P27" s="482">
        <v>0.2145</v>
      </c>
      <c r="Q27" s="484"/>
      <c r="R27" s="484"/>
      <c r="S27" s="484"/>
      <c r="T27" s="484"/>
      <c r="U27" s="848"/>
      <c r="V27" s="484"/>
      <c r="W27" s="459"/>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53"/>
      <c r="AX27" s="435"/>
      <c r="AY27" s="435"/>
      <c r="AZ27" s="435"/>
      <c r="BA27" s="435"/>
      <c r="BB27" s="435"/>
      <c r="BC27" s="435"/>
      <c r="BD27" s="435"/>
      <c r="BE27" s="435"/>
      <c r="BF27" s="435"/>
      <c r="BG27" s="435"/>
      <c r="BH27" s="435"/>
      <c r="BI27" s="435"/>
      <c r="BJ27" s="435"/>
      <c r="BK27" s="435"/>
      <c r="BL27" s="435"/>
      <c r="BM27" s="435"/>
      <c r="BN27" s="435"/>
      <c r="BO27" s="435"/>
      <c r="BP27" s="435"/>
    </row>
    <row r="28" spans="1:68" x14ac:dyDescent="0.25">
      <c r="D28" s="478" t="s">
        <v>232</v>
      </c>
      <c r="E28" s="485"/>
      <c r="F28" s="480">
        <v>0.52600000000000002</v>
      </c>
      <c r="G28" s="481"/>
      <c r="H28" s="481"/>
      <c r="I28" s="481"/>
      <c r="J28" s="481"/>
      <c r="K28" s="481"/>
      <c r="L28" s="482">
        <v>0.65500000000000003</v>
      </c>
      <c r="M28" s="483"/>
      <c r="N28" s="473"/>
      <c r="O28" s="473"/>
      <c r="P28" s="482">
        <v>0.745</v>
      </c>
      <c r="Q28" s="484"/>
      <c r="R28" s="484"/>
      <c r="S28" s="484"/>
      <c r="T28" s="484"/>
      <c r="U28" s="848"/>
      <c r="V28" s="484"/>
      <c r="W28" s="459"/>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53"/>
      <c r="AX28" s="435"/>
      <c r="AY28" s="435"/>
      <c r="AZ28" s="435"/>
      <c r="BA28" s="435"/>
      <c r="BB28" s="435"/>
      <c r="BC28" s="435"/>
      <c r="BD28" s="435"/>
      <c r="BE28" s="435"/>
      <c r="BF28" s="435"/>
      <c r="BG28" s="435"/>
      <c r="BH28" s="435"/>
      <c r="BI28" s="435"/>
      <c r="BJ28" s="435"/>
      <c r="BK28" s="435"/>
      <c r="BL28" s="435"/>
      <c r="BM28" s="435"/>
      <c r="BN28" s="435"/>
      <c r="BO28" s="435"/>
      <c r="BP28" s="435"/>
    </row>
    <row r="29" spans="1:68" x14ac:dyDescent="0.25">
      <c r="D29" s="486" t="s">
        <v>233</v>
      </c>
      <c r="E29" s="487"/>
      <c r="F29" s="488">
        <v>23.95</v>
      </c>
      <c r="G29" s="489"/>
      <c r="H29" s="489"/>
      <c r="I29" s="489"/>
      <c r="J29" s="489"/>
      <c r="K29" s="489"/>
      <c r="L29" s="490">
        <v>0.155</v>
      </c>
      <c r="M29" s="491"/>
      <c r="N29" s="471"/>
      <c r="O29" s="471"/>
      <c r="P29" s="490">
        <v>0.14499999999999999</v>
      </c>
      <c r="Q29" s="492"/>
      <c r="R29" s="492"/>
      <c r="S29" s="492"/>
      <c r="T29" s="492"/>
      <c r="U29" s="849"/>
      <c r="V29" s="484"/>
      <c r="W29" s="459"/>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53"/>
      <c r="AX29" s="435"/>
      <c r="AY29" s="435"/>
      <c r="AZ29" s="435"/>
      <c r="BA29" s="435"/>
      <c r="BB29" s="435"/>
      <c r="BC29" s="435"/>
      <c r="BD29" s="435"/>
      <c r="BE29" s="435"/>
      <c r="BF29" s="435"/>
      <c r="BG29" s="435"/>
      <c r="BH29" s="435"/>
      <c r="BI29" s="435"/>
      <c r="BJ29" s="435"/>
      <c r="BK29" s="435"/>
      <c r="BL29" s="435"/>
      <c r="BM29" s="435"/>
      <c r="BN29" s="435"/>
      <c r="BO29" s="435"/>
      <c r="BP29" s="435"/>
    </row>
    <row r="30" spans="1:68" x14ac:dyDescent="0.25">
      <c r="D30" s="455" t="s">
        <v>234</v>
      </c>
      <c r="E30" s="485"/>
      <c r="F30" s="493"/>
      <c r="G30" s="481"/>
      <c r="H30" s="481"/>
      <c r="I30" s="481"/>
      <c r="J30" s="481"/>
      <c r="K30" s="481"/>
      <c r="L30" s="482"/>
      <c r="M30" s="483"/>
      <c r="N30" s="473"/>
      <c r="O30" s="473"/>
      <c r="P30" s="482"/>
      <c r="Q30" s="484"/>
      <c r="R30" s="484"/>
      <c r="S30" s="484"/>
      <c r="T30" s="459"/>
      <c r="U30" s="457"/>
      <c r="V30" s="457"/>
      <c r="W30" s="435"/>
      <c r="X30" s="435"/>
      <c r="Y30" s="435"/>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53"/>
      <c r="AW30" s="435"/>
      <c r="AX30" s="435"/>
      <c r="AY30" s="435"/>
      <c r="AZ30" s="435"/>
      <c r="BA30" s="435"/>
      <c r="BB30" s="435"/>
      <c r="BC30" s="435"/>
      <c r="BD30" s="435"/>
      <c r="BE30" s="435"/>
      <c r="BF30" s="435"/>
      <c r="BG30" s="435"/>
      <c r="BH30" s="435"/>
      <c r="BI30" s="435"/>
      <c r="BJ30" s="435"/>
      <c r="BK30" s="435"/>
      <c r="BL30" s="435"/>
      <c r="BM30" s="435"/>
      <c r="BN30" s="435"/>
      <c r="BO30" s="435"/>
    </row>
    <row r="31" spans="1:68" x14ac:dyDescent="0.25">
      <c r="D31" s="475" t="s">
        <v>229</v>
      </c>
      <c r="E31" s="494"/>
      <c r="F31" s="495"/>
      <c r="G31" s="496">
        <v>0.35688851200000005</v>
      </c>
      <c r="H31" s="497">
        <v>0.412909256</v>
      </c>
      <c r="I31" s="497">
        <v>0.50041365300000007</v>
      </c>
      <c r="J31" s="497">
        <v>0.61948103399999999</v>
      </c>
      <c r="K31" s="497">
        <v>0.68213298100000008</v>
      </c>
      <c r="L31" s="498">
        <v>0.73932118099999999</v>
      </c>
      <c r="M31" s="499">
        <v>0.77777310399999999</v>
      </c>
      <c r="N31" s="500">
        <v>0.83576974900000001</v>
      </c>
      <c r="O31" s="500">
        <v>0.86883918100000002</v>
      </c>
      <c r="P31" s="501">
        <v>0.89684816299999992</v>
      </c>
      <c r="Q31" s="502">
        <v>0.92921465600000008</v>
      </c>
      <c r="R31" s="503">
        <v>0.9475415479999999</v>
      </c>
      <c r="S31" s="504">
        <v>0.95637434499999996</v>
      </c>
      <c r="T31" s="503">
        <v>0.96350349199999996</v>
      </c>
      <c r="U31" s="850"/>
      <c r="V31" s="505"/>
      <c r="W31" s="459"/>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53"/>
      <c r="AX31" s="435"/>
      <c r="AY31" s="435"/>
      <c r="AZ31" s="435"/>
      <c r="BA31" s="435"/>
      <c r="BB31" s="435"/>
      <c r="BC31" s="435"/>
      <c r="BD31" s="435"/>
      <c r="BE31" s="435"/>
      <c r="BF31" s="435"/>
      <c r="BG31" s="435"/>
      <c r="BH31" s="435"/>
      <c r="BI31" s="435"/>
      <c r="BJ31" s="435"/>
      <c r="BK31" s="435"/>
      <c r="BL31" s="435"/>
      <c r="BM31" s="435"/>
      <c r="BN31" s="435"/>
      <c r="BO31" s="435"/>
      <c r="BP31" s="435"/>
    </row>
    <row r="32" spans="1:68" x14ac:dyDescent="0.25">
      <c r="D32" s="478" t="s">
        <v>230</v>
      </c>
      <c r="E32" s="479"/>
      <c r="F32" s="480"/>
      <c r="G32" s="505">
        <v>0.79702511499999995</v>
      </c>
      <c r="H32" s="505">
        <v>0.80849722299999993</v>
      </c>
      <c r="I32" s="505">
        <v>0.80900786899999999</v>
      </c>
      <c r="J32" s="505">
        <v>0.78925426900000006</v>
      </c>
      <c r="K32" s="505">
        <v>0.78628499500000004</v>
      </c>
      <c r="L32" s="505">
        <v>0.79513746100000005</v>
      </c>
      <c r="M32" s="505">
        <v>0.77531083699999992</v>
      </c>
      <c r="N32" s="473"/>
      <c r="O32" s="505">
        <v>0.77116662300000005</v>
      </c>
      <c r="P32" s="505">
        <v>0.76174881699999997</v>
      </c>
      <c r="Q32" s="484"/>
      <c r="R32" s="506">
        <v>0.84781977999999991</v>
      </c>
      <c r="S32" s="435"/>
      <c r="T32" s="506">
        <v>0.17426503900000001</v>
      </c>
      <c r="U32" s="851"/>
      <c r="V32" s="505"/>
      <c r="W32" s="459"/>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53"/>
      <c r="AX32" s="435"/>
      <c r="AY32" s="435"/>
      <c r="AZ32" s="435"/>
      <c r="BA32" s="435"/>
      <c r="BB32" s="435"/>
      <c r="BC32" s="435"/>
      <c r="BD32" s="435"/>
      <c r="BE32" s="435"/>
      <c r="BF32" s="435"/>
      <c r="BG32" s="435"/>
      <c r="BH32" s="435"/>
      <c r="BI32" s="435"/>
      <c r="BJ32" s="435"/>
      <c r="BK32" s="435"/>
      <c r="BL32" s="435"/>
      <c r="BM32" s="435"/>
      <c r="BN32" s="435"/>
      <c r="BO32" s="435"/>
      <c r="BP32" s="435"/>
    </row>
    <row r="33" spans="1:68" x14ac:dyDescent="0.25">
      <c r="D33" s="478" t="s">
        <v>231</v>
      </c>
      <c r="E33" s="479"/>
      <c r="F33" s="480"/>
      <c r="G33" s="507"/>
      <c r="H33" s="507"/>
      <c r="I33" s="507"/>
      <c r="J33" s="507"/>
      <c r="K33" s="507"/>
      <c r="L33" s="508">
        <v>0.15600550699999999</v>
      </c>
      <c r="M33" s="483"/>
      <c r="N33" s="473"/>
      <c r="O33" s="473"/>
      <c r="P33" s="484"/>
      <c r="Q33" s="484">
        <v>0.19221838999999999</v>
      </c>
      <c r="R33" s="484">
        <v>0.19141688099999998</v>
      </c>
      <c r="S33" s="484">
        <v>0.20771941999999999</v>
      </c>
      <c r="T33" s="484">
        <v>0.20126053499999999</v>
      </c>
      <c r="U33" s="848"/>
      <c r="V33" s="484"/>
      <c r="W33" s="459"/>
      <c r="X33" s="435"/>
      <c r="Y33" s="435"/>
      <c r="Z33" s="435"/>
      <c r="AA33" s="435"/>
      <c r="AB33" s="435"/>
      <c r="AC33" s="435"/>
      <c r="AD33" s="435"/>
      <c r="AE33" s="435"/>
      <c r="AF33" s="435"/>
      <c r="AG33" s="435"/>
      <c r="AH33" s="435"/>
      <c r="AI33" s="435"/>
      <c r="AJ33" s="435"/>
      <c r="AK33" s="435"/>
      <c r="AL33" s="435"/>
      <c r="AM33" s="435"/>
      <c r="AN33" s="435"/>
      <c r="AO33" s="435"/>
      <c r="AP33" s="435"/>
      <c r="AQ33" s="435"/>
      <c r="AR33" s="435"/>
      <c r="AS33" s="435"/>
      <c r="AT33" s="435"/>
      <c r="AU33" s="435"/>
      <c r="AV33" s="435"/>
      <c r="AW33" s="453"/>
      <c r="AX33" s="435"/>
      <c r="AY33" s="435"/>
      <c r="AZ33" s="435"/>
      <c r="BA33" s="435"/>
      <c r="BB33" s="435"/>
      <c r="BC33" s="435"/>
      <c r="BD33" s="435"/>
      <c r="BE33" s="435"/>
      <c r="BF33" s="435"/>
      <c r="BG33" s="435"/>
      <c r="BH33" s="435"/>
      <c r="BI33" s="435"/>
      <c r="BJ33" s="435"/>
      <c r="BK33" s="435"/>
      <c r="BL33" s="435"/>
      <c r="BM33" s="435"/>
      <c r="BN33" s="435"/>
      <c r="BO33" s="435"/>
      <c r="BP33" s="435"/>
    </row>
    <row r="34" spans="1:68" x14ac:dyDescent="0.25">
      <c r="D34" s="478" t="s">
        <v>232</v>
      </c>
      <c r="E34" s="485"/>
      <c r="F34" s="480"/>
      <c r="G34" s="509">
        <v>0.57567518100000004</v>
      </c>
      <c r="H34" s="509">
        <v>0.59254396100000006</v>
      </c>
      <c r="I34" s="510">
        <v>0.59925978000000002</v>
      </c>
      <c r="J34" s="510">
        <v>0.60641471400000002</v>
      </c>
      <c r="K34" s="510">
        <v>0.64851322700000003</v>
      </c>
      <c r="L34" s="484">
        <v>0.66745162699999994</v>
      </c>
      <c r="M34" s="511">
        <v>0.69533075600000005</v>
      </c>
      <c r="N34" s="473"/>
      <c r="O34" s="512">
        <v>0.75521570800000004</v>
      </c>
      <c r="P34" s="484">
        <v>0.77721346000000002</v>
      </c>
      <c r="Q34" s="513">
        <v>0.77721346000000002</v>
      </c>
      <c r="R34" s="509">
        <v>0.79229503600000006</v>
      </c>
      <c r="S34" s="509">
        <v>0.80932900099999994</v>
      </c>
      <c r="T34" s="509">
        <v>0.80382913200000006</v>
      </c>
      <c r="U34" s="851"/>
      <c r="V34" s="505"/>
      <c r="W34" s="459"/>
      <c r="X34" s="435"/>
      <c r="Y34" s="435"/>
      <c r="Z34" s="435"/>
      <c r="AA34" s="435"/>
      <c r="AB34" s="435"/>
      <c r="AC34" s="435"/>
      <c r="AD34" s="435"/>
      <c r="AE34" s="435"/>
      <c r="AF34" s="435"/>
      <c r="AG34" s="435"/>
      <c r="AH34" s="435"/>
      <c r="AI34" s="435"/>
      <c r="AJ34" s="435"/>
      <c r="AK34" s="435"/>
      <c r="AL34" s="435"/>
      <c r="AM34" s="435"/>
      <c r="AN34" s="435"/>
      <c r="AO34" s="435"/>
      <c r="AP34" s="435"/>
      <c r="AQ34" s="435"/>
      <c r="AR34" s="435"/>
      <c r="AS34" s="435"/>
      <c r="AT34" s="435"/>
      <c r="AU34" s="435"/>
      <c r="AV34" s="435"/>
      <c r="AW34" s="453"/>
      <c r="AX34" s="435"/>
      <c r="AY34" s="435"/>
      <c r="AZ34" s="435"/>
      <c r="BA34" s="435"/>
      <c r="BB34" s="435"/>
      <c r="BC34" s="435"/>
      <c r="BD34" s="435"/>
      <c r="BE34" s="435"/>
      <c r="BF34" s="435"/>
      <c r="BG34" s="435"/>
      <c r="BH34" s="435"/>
      <c r="BI34" s="435"/>
      <c r="BJ34" s="435"/>
      <c r="BK34" s="435"/>
      <c r="BL34" s="435"/>
      <c r="BM34" s="435"/>
      <c r="BN34" s="435"/>
      <c r="BO34" s="435"/>
      <c r="BP34" s="435"/>
    </row>
    <row r="35" spans="1:68" x14ac:dyDescent="0.25">
      <c r="D35" s="486" t="s">
        <v>233</v>
      </c>
      <c r="E35" s="487"/>
      <c r="F35" s="488"/>
      <c r="G35" s="514">
        <v>0.25679812499999999</v>
      </c>
      <c r="H35" s="514">
        <v>0.23536975800000001</v>
      </c>
      <c r="I35" s="514">
        <v>0.22703006100000001</v>
      </c>
      <c r="J35" s="514">
        <v>0.21212214899999998</v>
      </c>
      <c r="K35" s="514">
        <v>0.19598807900000001</v>
      </c>
      <c r="L35" s="514">
        <v>0.181165305</v>
      </c>
      <c r="M35" s="514">
        <v>0.178794335</v>
      </c>
      <c r="N35" s="514">
        <v>0.16526255200000001</v>
      </c>
      <c r="O35" s="514">
        <v>0.16333753099999998</v>
      </c>
      <c r="P35" s="492">
        <v>0.15137735699999999</v>
      </c>
      <c r="Q35" s="492">
        <v>0.14106903300000001</v>
      </c>
      <c r="R35" s="492">
        <v>0.12986304000000001</v>
      </c>
      <c r="S35" s="492">
        <v>0.12703294800000001</v>
      </c>
      <c r="T35" s="492">
        <v>0.10944050399999999</v>
      </c>
      <c r="U35" s="849"/>
      <c r="V35" s="484"/>
      <c r="W35" s="459"/>
      <c r="X35" s="435"/>
      <c r="Y35" s="435"/>
      <c r="Z35" s="435"/>
      <c r="AA35" s="435"/>
      <c r="AB35" s="515"/>
      <c r="AC35" s="435"/>
      <c r="AD35" s="435"/>
      <c r="AE35" s="435"/>
      <c r="AF35" s="435"/>
      <c r="AG35" s="435"/>
      <c r="AH35" s="435"/>
      <c r="AI35" s="435"/>
      <c r="AJ35" s="435"/>
      <c r="AK35" s="435"/>
      <c r="AL35" s="435"/>
      <c r="AM35" s="435"/>
      <c r="AN35" s="435"/>
      <c r="AO35" s="435"/>
      <c r="AP35" s="435"/>
      <c r="AQ35" s="435"/>
      <c r="AR35" s="435"/>
      <c r="AS35" s="435"/>
      <c r="AT35" s="435"/>
      <c r="AU35" s="435"/>
      <c r="AV35" s="435"/>
      <c r="AW35" s="453"/>
      <c r="AX35" s="435"/>
      <c r="AY35" s="435"/>
      <c r="AZ35" s="435"/>
      <c r="BA35" s="435"/>
      <c r="BB35" s="435"/>
      <c r="BC35" s="435"/>
      <c r="BD35" s="435"/>
      <c r="BE35" s="435"/>
      <c r="BF35" s="435"/>
      <c r="BG35" s="435"/>
      <c r="BH35" s="435"/>
      <c r="BI35" s="435"/>
      <c r="BJ35" s="435"/>
      <c r="BK35" s="435"/>
      <c r="BL35" s="435"/>
      <c r="BM35" s="435"/>
      <c r="BN35" s="435"/>
      <c r="BO35" s="435"/>
      <c r="BP35" s="435"/>
    </row>
    <row r="36" spans="1:68" x14ac:dyDescent="0.25">
      <c r="D36" s="456"/>
      <c r="E36" s="456"/>
      <c r="F36" s="473"/>
      <c r="G36" s="473"/>
      <c r="H36" s="473"/>
      <c r="I36" s="473"/>
      <c r="J36" s="473"/>
      <c r="K36" s="473"/>
      <c r="L36" s="473"/>
      <c r="M36" s="473"/>
      <c r="N36" s="473"/>
      <c r="O36" s="473"/>
      <c r="P36" s="473"/>
      <c r="Q36" s="474"/>
      <c r="R36" s="457"/>
      <c r="S36" s="457"/>
      <c r="T36" s="457"/>
      <c r="U36" s="457"/>
      <c r="V36" s="457"/>
      <c r="W36" s="435"/>
      <c r="X36" s="435"/>
      <c r="Y36" s="435"/>
      <c r="Z36" s="435"/>
      <c r="AA36" s="435"/>
      <c r="AB36" s="435"/>
      <c r="AC36" s="435"/>
      <c r="AD36" s="435"/>
      <c r="AE36" s="435"/>
      <c r="AF36" s="435"/>
      <c r="AG36" s="435"/>
      <c r="AH36" s="435"/>
      <c r="AI36" s="435"/>
      <c r="AJ36" s="435"/>
      <c r="AK36" s="435"/>
      <c r="AL36" s="435"/>
      <c r="AM36" s="435"/>
      <c r="AN36" s="435"/>
      <c r="AO36" s="435"/>
      <c r="AP36" s="435"/>
      <c r="AQ36" s="435"/>
      <c r="AR36" s="435"/>
      <c r="AS36" s="435"/>
      <c r="AT36" s="435"/>
      <c r="AU36" s="435"/>
      <c r="AV36" s="453"/>
      <c r="AW36" s="435"/>
      <c r="AX36" s="435"/>
      <c r="AY36" s="435"/>
      <c r="AZ36" s="435"/>
      <c r="BA36" s="435"/>
      <c r="BB36" s="435"/>
      <c r="BC36" s="435"/>
      <c r="BD36" s="435"/>
      <c r="BE36" s="435"/>
      <c r="BF36" s="435"/>
      <c r="BG36" s="435"/>
      <c r="BH36" s="435"/>
      <c r="BI36" s="435"/>
      <c r="BJ36" s="435"/>
      <c r="BK36" s="435"/>
      <c r="BL36" s="435"/>
      <c r="BM36" s="435"/>
      <c r="BN36" s="435"/>
      <c r="BO36" s="435"/>
    </row>
    <row r="37" spans="1:68" x14ac:dyDescent="0.25">
      <c r="D37" s="456"/>
      <c r="E37" s="456"/>
      <c r="F37" s="456"/>
      <c r="G37" s="457"/>
      <c r="H37" s="457"/>
      <c r="I37" s="458"/>
      <c r="J37" s="457"/>
      <c r="K37" s="457"/>
      <c r="L37" s="457"/>
      <c r="M37" s="457"/>
      <c r="N37" s="457"/>
      <c r="O37" s="457"/>
      <c r="P37" s="459"/>
      <c r="Q37" s="435"/>
      <c r="R37" s="435"/>
      <c r="S37" s="435"/>
      <c r="T37" s="435"/>
      <c r="U37" s="435"/>
      <c r="V37" s="435"/>
      <c r="W37" s="435"/>
      <c r="X37" s="435"/>
      <c r="Y37" s="435"/>
      <c r="Z37" s="435"/>
      <c r="AA37" s="435"/>
      <c r="AB37" s="435"/>
      <c r="AC37" s="435"/>
      <c r="AD37" s="435"/>
      <c r="AE37" s="435"/>
      <c r="AF37" s="435"/>
      <c r="AG37" s="435"/>
      <c r="AH37" s="435"/>
      <c r="AI37" s="435"/>
      <c r="AJ37" s="435"/>
      <c r="AK37" s="435"/>
      <c r="AL37" s="435"/>
      <c r="AM37" s="435"/>
      <c r="AN37" s="435"/>
      <c r="AO37" s="435"/>
      <c r="AP37" s="435"/>
      <c r="AQ37" s="435"/>
      <c r="AR37" s="453"/>
      <c r="AS37" s="435"/>
      <c r="AT37" s="435"/>
      <c r="AU37" s="435"/>
      <c r="AV37" s="435"/>
      <c r="AW37" s="435"/>
      <c r="AX37" s="435"/>
      <c r="AY37" s="435"/>
      <c r="AZ37" s="435"/>
      <c r="BA37" s="435"/>
      <c r="BB37" s="435"/>
      <c r="BC37" s="435"/>
      <c r="BD37" s="435"/>
      <c r="BE37" s="435"/>
      <c r="BF37" s="435"/>
      <c r="BG37" s="435"/>
      <c r="BH37" s="435"/>
      <c r="BI37" s="435"/>
      <c r="BJ37" s="435"/>
      <c r="BK37" s="435"/>
    </row>
    <row r="38" spans="1:68" x14ac:dyDescent="0.25">
      <c r="A38" s="429">
        <v>5</v>
      </c>
      <c r="B38" s="430" t="s">
        <v>29</v>
      </c>
      <c r="C38" s="429"/>
      <c r="D38" s="4027" t="s">
        <v>235</v>
      </c>
      <c r="E38" s="4028"/>
      <c r="F38" s="4028"/>
      <c r="G38" s="4028"/>
      <c r="H38" s="4028"/>
      <c r="I38" s="4028"/>
      <c r="J38" s="4028"/>
      <c r="K38" s="4028"/>
      <c r="L38" s="4028"/>
      <c r="M38" s="4028"/>
      <c r="N38" s="4028"/>
      <c r="O38" s="4028"/>
      <c r="P38" s="4028"/>
      <c r="Q38" s="4028"/>
      <c r="R38" s="4028"/>
      <c r="S38" s="4028"/>
      <c r="T38" s="4029"/>
      <c r="AR38" s="453"/>
    </row>
    <row r="39" spans="1:68" ht="117.75" customHeight="1" x14ac:dyDescent="0.25">
      <c r="A39" s="516">
        <v>6</v>
      </c>
      <c r="B39" s="517" t="s">
        <v>32</v>
      </c>
      <c r="C39" s="516"/>
      <c r="D39" s="4120" t="s">
        <v>236</v>
      </c>
      <c r="E39" s="4121"/>
      <c r="F39" s="4121"/>
      <c r="G39" s="4121"/>
      <c r="H39" s="4121"/>
      <c r="I39" s="4121"/>
      <c r="J39" s="4121"/>
      <c r="K39" s="4121"/>
      <c r="L39" s="4121"/>
      <c r="M39" s="4121"/>
      <c r="N39" s="4121"/>
      <c r="O39" s="4121"/>
      <c r="P39" s="4121"/>
      <c r="Q39" s="4121"/>
      <c r="R39" s="4121"/>
      <c r="S39" s="4121"/>
      <c r="T39" s="4122"/>
      <c r="AR39" s="453"/>
    </row>
    <row r="40" spans="1:68" ht="54" customHeight="1" x14ac:dyDescent="0.25">
      <c r="A40" s="429">
        <v>7</v>
      </c>
      <c r="B40" s="430" t="s">
        <v>31</v>
      </c>
      <c r="C40" s="429"/>
      <c r="D40" s="4027" t="s">
        <v>237</v>
      </c>
      <c r="E40" s="4028"/>
      <c r="F40" s="4028"/>
      <c r="G40" s="4028"/>
      <c r="H40" s="4028"/>
      <c r="I40" s="4028"/>
      <c r="J40" s="4028"/>
      <c r="K40" s="4028"/>
      <c r="L40" s="4028"/>
      <c r="M40" s="4028"/>
      <c r="N40" s="4028"/>
      <c r="O40" s="4028"/>
      <c r="P40" s="4028"/>
      <c r="Q40" s="4028"/>
      <c r="R40" s="4028"/>
      <c r="S40" s="4028"/>
      <c r="T40" s="4029"/>
      <c r="AR40" s="453"/>
    </row>
    <row r="41" spans="1:68" ht="51" customHeight="1" x14ac:dyDescent="0.25">
      <c r="A41" s="429">
        <v>8</v>
      </c>
      <c r="B41" s="430" t="s">
        <v>95</v>
      </c>
      <c r="C41" s="429"/>
      <c r="D41" s="4027" t="s">
        <v>238</v>
      </c>
      <c r="E41" s="4028"/>
      <c r="F41" s="4028"/>
      <c r="G41" s="4028"/>
      <c r="H41" s="4028"/>
      <c r="I41" s="4028"/>
      <c r="J41" s="4028"/>
      <c r="K41" s="4028"/>
      <c r="L41" s="4028"/>
      <c r="M41" s="4028"/>
      <c r="N41" s="4028"/>
      <c r="O41" s="4028"/>
      <c r="P41" s="4028"/>
      <c r="Q41" s="4028"/>
      <c r="R41" s="4028"/>
      <c r="S41" s="4028"/>
      <c r="T41" s="4029"/>
      <c r="AR41" s="453"/>
    </row>
    <row r="42" spans="1:68" x14ac:dyDescent="0.25">
      <c r="Q42" s="428" t="s">
        <v>91</v>
      </c>
    </row>
    <row r="46" spans="1:68" x14ac:dyDescent="0.2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c r="AK46" s="435"/>
      <c r="AL46" s="435"/>
      <c r="AM46" s="435"/>
      <c r="AN46" s="435"/>
      <c r="AO46" s="435"/>
    </row>
    <row r="47" spans="1:68" x14ac:dyDescent="0.25">
      <c r="BE47" s="518"/>
      <c r="BF47" s="518"/>
      <c r="BG47" s="518"/>
      <c r="BH47" s="518"/>
      <c r="BI47" s="518"/>
      <c r="BJ47" s="518"/>
    </row>
    <row r="48" spans="1:68" x14ac:dyDescent="0.25">
      <c r="BE48" s="519"/>
      <c r="BF48" s="519"/>
      <c r="BG48" s="519"/>
      <c r="BH48" s="519"/>
      <c r="BI48" s="519"/>
      <c r="BJ48" s="519"/>
    </row>
    <row r="51" spans="2:29" x14ac:dyDescent="0.25">
      <c r="B51" s="430"/>
      <c r="C51" s="429"/>
      <c r="H51" s="520"/>
      <c r="I51" s="520"/>
      <c r="J51" s="520"/>
      <c r="K51" s="520"/>
      <c r="L51" s="520"/>
      <c r="M51" s="520"/>
      <c r="N51" s="520"/>
      <c r="O51" s="520"/>
    </row>
    <row r="52" spans="2:29" x14ac:dyDescent="0.25">
      <c r="B52" s="430"/>
      <c r="C52" s="429"/>
      <c r="H52" s="520"/>
      <c r="I52" s="520"/>
      <c r="J52" s="520"/>
      <c r="K52" s="520"/>
      <c r="L52" s="520"/>
      <c r="M52" s="520"/>
      <c r="N52" s="520"/>
      <c r="O52" s="520"/>
    </row>
    <row r="53" spans="2:29" x14ac:dyDescent="0.25">
      <c r="B53" s="430"/>
      <c r="C53" s="429"/>
      <c r="H53" s="520"/>
      <c r="I53" s="520"/>
      <c r="J53" s="520"/>
      <c r="K53" s="520"/>
      <c r="L53" s="521"/>
      <c r="M53" s="520"/>
      <c r="N53" s="520"/>
      <c r="O53" s="520"/>
    </row>
    <row r="54" spans="2:29" x14ac:dyDescent="0.25">
      <c r="B54" s="430"/>
      <c r="C54" s="429"/>
      <c r="H54" s="520"/>
      <c r="I54" s="520"/>
      <c r="J54" s="520"/>
      <c r="K54" s="520"/>
      <c r="L54" s="521"/>
      <c r="M54" s="520"/>
      <c r="N54" s="520"/>
      <c r="O54" s="520"/>
    </row>
    <row r="55" spans="2:29" x14ac:dyDescent="0.25">
      <c r="B55" s="430"/>
      <c r="C55" s="429"/>
      <c r="H55" s="520"/>
      <c r="I55" s="520"/>
      <c r="J55" s="520"/>
      <c r="K55" s="520"/>
      <c r="L55" s="520"/>
      <c r="M55" s="520"/>
      <c r="N55" s="520"/>
      <c r="O55" s="520"/>
    </row>
    <row r="56" spans="2:29" x14ac:dyDescent="0.25">
      <c r="B56" s="430"/>
      <c r="C56" s="429"/>
      <c r="H56" s="520"/>
      <c r="I56" s="520"/>
      <c r="J56" s="520"/>
      <c r="K56" s="520"/>
      <c r="L56" s="520"/>
      <c r="M56" s="520"/>
      <c r="N56" s="520"/>
      <c r="O56" s="520"/>
    </row>
    <row r="57" spans="2:29" x14ac:dyDescent="0.25">
      <c r="B57" s="430"/>
      <c r="C57" s="429"/>
      <c r="H57" s="520"/>
      <c r="I57" s="520"/>
      <c r="J57" s="520"/>
      <c r="K57" s="520"/>
      <c r="L57" s="520"/>
      <c r="M57" s="520"/>
      <c r="N57" s="520"/>
      <c r="O57" s="520"/>
    </row>
    <row r="58" spans="2:29" x14ac:dyDescent="0.25">
      <c r="B58" s="430"/>
      <c r="C58" s="429"/>
      <c r="H58" s="520"/>
      <c r="I58" s="520"/>
      <c r="J58" s="520"/>
      <c r="K58" s="520"/>
      <c r="L58" s="520"/>
      <c r="M58" s="520"/>
      <c r="N58" s="520"/>
      <c r="O58" s="520"/>
    </row>
    <row r="59" spans="2:29" x14ac:dyDescent="0.25">
      <c r="B59" s="430"/>
      <c r="C59" s="429"/>
    </row>
    <row r="60" spans="2:29" x14ac:dyDescent="0.25">
      <c r="B60" s="430"/>
      <c r="C60" s="429"/>
    </row>
    <row r="61" spans="2:29" x14ac:dyDescent="0.25">
      <c r="B61" s="430"/>
      <c r="C61" s="429"/>
      <c r="AC61" s="428" t="s">
        <v>97</v>
      </c>
    </row>
    <row r="62" spans="2:29" x14ac:dyDescent="0.25">
      <c r="B62" s="430"/>
      <c r="C62" s="429"/>
    </row>
    <row r="63" spans="2:29" x14ac:dyDescent="0.25">
      <c r="B63" s="430"/>
      <c r="C63" s="429"/>
    </row>
    <row r="64" spans="2:29" x14ac:dyDescent="0.25">
      <c r="B64" s="430"/>
      <c r="C64" s="429"/>
    </row>
    <row r="65" spans="2:31" x14ac:dyDescent="0.25">
      <c r="B65" s="430"/>
      <c r="C65" s="429"/>
    </row>
    <row r="66" spans="2:31" x14ac:dyDescent="0.25">
      <c r="B66" s="430"/>
      <c r="C66" s="429"/>
    </row>
    <row r="67" spans="2:31" x14ac:dyDescent="0.25">
      <c r="B67" s="430"/>
      <c r="C67" s="429"/>
    </row>
    <row r="68" spans="2:31" x14ac:dyDescent="0.25">
      <c r="B68" s="430"/>
      <c r="C68" s="429"/>
      <c r="D68" s="522"/>
      <c r="E68" s="522"/>
      <c r="F68" s="522"/>
      <c r="G68" s="4114"/>
      <c r="H68" s="4115"/>
      <c r="I68" s="4115"/>
      <c r="J68" s="4115"/>
      <c r="K68" s="4115"/>
      <c r="L68" s="4115"/>
      <c r="M68" s="4115"/>
      <c r="N68" s="4115"/>
      <c r="O68" s="4115"/>
      <c r="P68" s="4115"/>
      <c r="Q68" s="4115"/>
      <c r="R68" s="4115"/>
      <c r="S68" s="4115"/>
      <c r="T68" s="4115"/>
      <c r="U68" s="4115"/>
      <c r="V68" s="4115"/>
      <c r="W68" s="4115"/>
      <c r="X68" s="4115"/>
      <c r="Y68" s="4115"/>
      <c r="Z68" s="4115"/>
      <c r="AA68" s="4115"/>
      <c r="AB68" s="4115"/>
      <c r="AC68" s="4115"/>
      <c r="AD68" s="4115"/>
      <c r="AE68" s="4123"/>
    </row>
    <row r="69" spans="2:31" x14ac:dyDescent="0.25">
      <c r="B69" s="523"/>
      <c r="C69" s="524"/>
      <c r="D69" s="525"/>
      <c r="E69" s="525"/>
      <c r="F69" s="525"/>
      <c r="G69" s="4124"/>
      <c r="H69" s="4125"/>
      <c r="I69" s="4125"/>
      <c r="J69" s="4125"/>
      <c r="K69" s="4125"/>
      <c r="L69" s="4125"/>
      <c r="M69" s="4125"/>
      <c r="N69" s="4125"/>
      <c r="O69" s="4125"/>
      <c r="P69" s="4125"/>
      <c r="Q69" s="4125"/>
      <c r="R69" s="4125"/>
      <c r="S69" s="4125"/>
      <c r="T69" s="4125"/>
      <c r="U69" s="4125"/>
      <c r="V69" s="4125"/>
      <c r="W69" s="4125"/>
      <c r="X69" s="526"/>
      <c r="Y69" s="526"/>
      <c r="Z69" s="526"/>
      <c r="AA69" s="526"/>
      <c r="AB69" s="526"/>
      <c r="AC69" s="526"/>
      <c r="AD69" s="526"/>
      <c r="AE69" s="527"/>
    </row>
    <row r="70" spans="2:31" x14ac:dyDescent="0.25">
      <c r="B70" s="528"/>
      <c r="C70" s="529"/>
      <c r="D70" s="530"/>
      <c r="E70" s="530"/>
      <c r="F70" s="530"/>
      <c r="G70" s="4114"/>
      <c r="H70" s="4115"/>
      <c r="I70" s="4115"/>
      <c r="J70" s="4115"/>
      <c r="K70" s="4115"/>
      <c r="L70" s="4115"/>
      <c r="M70" s="4115"/>
      <c r="N70" s="4115"/>
      <c r="O70" s="4115"/>
      <c r="P70" s="4115"/>
      <c r="Q70" s="4115"/>
      <c r="R70" s="4115"/>
      <c r="S70" s="4115"/>
      <c r="T70" s="4115"/>
      <c r="U70" s="4115"/>
      <c r="V70" s="4115"/>
      <c r="W70" s="4115"/>
      <c r="X70" s="526"/>
      <c r="Y70" s="526"/>
      <c r="Z70" s="526"/>
      <c r="AA70" s="526"/>
      <c r="AB70" s="526"/>
      <c r="AC70" s="526"/>
      <c r="AD70" s="526"/>
      <c r="AE70" s="527"/>
    </row>
  </sheetData>
  <mergeCells count="12">
    <mergeCell ref="G70:W70"/>
    <mergeCell ref="D2:T2"/>
    <mergeCell ref="D3:T3"/>
    <mergeCell ref="D4:T4"/>
    <mergeCell ref="D5:T5"/>
    <mergeCell ref="U5:AB5"/>
    <mergeCell ref="D38:T38"/>
    <mergeCell ref="D39:T39"/>
    <mergeCell ref="D40:T40"/>
    <mergeCell ref="D41:T41"/>
    <mergeCell ref="G68:AE68"/>
    <mergeCell ref="G69:W69"/>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Q62"/>
  <sheetViews>
    <sheetView showGridLines="0" view="pageBreakPreview" zoomScale="90" zoomScaleNormal="100" zoomScaleSheetLayoutView="90" workbookViewId="0">
      <selection activeCell="G40" sqref="G40"/>
    </sheetView>
  </sheetViews>
  <sheetFormatPr defaultColWidth="9.28515625" defaultRowHeight="15" x14ac:dyDescent="0.25"/>
  <cols>
    <col min="1" max="1" width="3.7109375" style="116" customWidth="1"/>
    <col min="2" max="2" width="14.42578125" style="113" customWidth="1"/>
    <col min="3" max="3" width="3.7109375" style="114" customWidth="1"/>
    <col min="4" max="4" width="22" style="44" customWidth="1"/>
    <col min="5" max="5" width="10.5703125" style="44" customWidth="1"/>
    <col min="6" max="6" width="10.42578125" style="44" customWidth="1"/>
    <col min="7" max="7" width="10.28515625" style="44" bestFit="1" customWidth="1"/>
    <col min="8" max="8" width="10.5703125" style="44" customWidth="1"/>
    <col min="9" max="17" width="8.7109375" style="44" customWidth="1"/>
    <col min="18" max="19" width="9.28515625" style="53"/>
    <col min="20" max="16384" width="9.28515625" style="44"/>
  </cols>
  <sheetData>
    <row r="1" spans="1:28" x14ac:dyDescent="0.25">
      <c r="D1" s="115"/>
      <c r="E1" s="115"/>
      <c r="F1" s="115"/>
      <c r="G1" s="115"/>
      <c r="H1" s="115"/>
      <c r="I1" s="115"/>
      <c r="J1" s="115"/>
      <c r="K1" s="115"/>
      <c r="L1" s="115"/>
      <c r="M1" s="115"/>
      <c r="N1" s="115"/>
      <c r="O1" s="115"/>
      <c r="P1" s="115"/>
      <c r="Q1" s="115"/>
    </row>
    <row r="2" spans="1:28" ht="12.75" customHeight="1" x14ac:dyDescent="0.25">
      <c r="A2" s="116">
        <v>1</v>
      </c>
      <c r="B2" s="117" t="s">
        <v>0</v>
      </c>
      <c r="C2" s="116">
        <f>1+[5]ICT!C2</f>
        <v>12</v>
      </c>
      <c r="D2" s="4126" t="s">
        <v>239</v>
      </c>
      <c r="E2" s="4127"/>
      <c r="F2" s="4127"/>
      <c r="G2" s="4127"/>
      <c r="H2" s="4127"/>
      <c r="I2" s="4127"/>
      <c r="J2" s="4127"/>
      <c r="K2" s="4127"/>
      <c r="L2" s="4127"/>
      <c r="M2" s="4127"/>
      <c r="N2" s="4127"/>
      <c r="O2" s="4127"/>
      <c r="P2" s="4127"/>
      <c r="Q2" s="4127"/>
      <c r="R2" s="4127"/>
      <c r="S2" s="4127"/>
      <c r="T2" s="4127"/>
      <c r="U2" s="4127"/>
      <c r="V2" s="4127"/>
      <c r="W2" s="4127"/>
      <c r="X2" s="4127"/>
      <c r="Y2" s="4128"/>
      <c r="Z2" s="256"/>
    </row>
    <row r="3" spans="1:28" x14ac:dyDescent="0.25">
      <c r="A3" s="116">
        <v>2</v>
      </c>
      <c r="B3" s="117" t="s">
        <v>2</v>
      </c>
      <c r="C3" s="116"/>
      <c r="D3" s="4048" t="s">
        <v>198</v>
      </c>
      <c r="E3" s="4049"/>
      <c r="F3" s="4049"/>
      <c r="G3" s="4049"/>
      <c r="H3" s="4049"/>
      <c r="I3" s="4049"/>
      <c r="J3" s="4049"/>
      <c r="K3" s="4049"/>
      <c r="L3" s="4049"/>
      <c r="M3" s="4049"/>
      <c r="N3" s="4049"/>
      <c r="O3" s="4049"/>
      <c r="P3" s="4049"/>
      <c r="Q3" s="4049"/>
      <c r="R3" s="4049"/>
      <c r="S3" s="4049"/>
      <c r="T3" s="4049"/>
      <c r="U3" s="4049"/>
      <c r="V3" s="4049"/>
      <c r="W3" s="4049"/>
      <c r="X3" s="4049"/>
      <c r="Y3" s="4050"/>
      <c r="Z3" s="142"/>
    </row>
    <row r="4" spans="1:28" ht="12.75" customHeight="1" x14ac:dyDescent="0.25">
      <c r="A4" s="116">
        <v>3</v>
      </c>
      <c r="B4" s="117" t="s">
        <v>4</v>
      </c>
      <c r="C4" s="116"/>
      <c r="D4" s="4048" t="s">
        <v>240</v>
      </c>
      <c r="E4" s="4049"/>
      <c r="F4" s="4049"/>
      <c r="G4" s="4049"/>
      <c r="H4" s="4049"/>
      <c r="I4" s="4049"/>
      <c r="J4" s="4049"/>
      <c r="K4" s="4049"/>
      <c r="L4" s="4049"/>
      <c r="M4" s="4049"/>
      <c r="N4" s="4049"/>
      <c r="O4" s="4049"/>
      <c r="P4" s="4049"/>
      <c r="Q4" s="4049"/>
      <c r="R4" s="4049"/>
      <c r="S4" s="4049"/>
      <c r="T4" s="4049"/>
      <c r="U4" s="4049"/>
      <c r="V4" s="4049"/>
      <c r="W4" s="4049"/>
      <c r="X4" s="4049"/>
      <c r="Y4" s="4050"/>
      <c r="Z4" s="142"/>
    </row>
    <row r="5" spans="1:28" ht="15" customHeight="1" x14ac:dyDescent="0.25">
      <c r="B5" s="117"/>
      <c r="C5" s="116"/>
      <c r="D5" s="4129"/>
      <c r="E5" s="4130"/>
      <c r="F5" s="4130"/>
      <c r="G5" s="4130"/>
      <c r="H5" s="4130"/>
      <c r="I5" s="4130"/>
      <c r="J5" s="4130"/>
      <c r="K5" s="4130"/>
      <c r="L5" s="4130"/>
      <c r="M5" s="4130"/>
      <c r="N5" s="4130"/>
      <c r="O5" s="4130"/>
      <c r="P5" s="4130"/>
      <c r="Q5" s="4130"/>
      <c r="R5" s="4130"/>
      <c r="S5" s="4130"/>
      <c r="T5" s="4130"/>
      <c r="U5" s="4130"/>
      <c r="V5" s="4130"/>
      <c r="W5" s="4130"/>
      <c r="X5" s="4130"/>
      <c r="Y5" s="4131"/>
      <c r="Z5" s="4110"/>
      <c r="AA5" s="4110"/>
      <c r="AB5" s="4110"/>
    </row>
    <row r="6" spans="1:28" x14ac:dyDescent="0.25">
      <c r="A6" s="116">
        <v>4</v>
      </c>
      <c r="B6" s="117" t="s">
        <v>5</v>
      </c>
      <c r="D6" s="368"/>
      <c r="E6" s="368"/>
      <c r="F6" s="369"/>
      <c r="G6" s="370"/>
      <c r="H6" s="370"/>
      <c r="I6" s="370"/>
      <c r="J6" s="370"/>
      <c r="K6" s="370"/>
      <c r="L6" s="370"/>
      <c r="M6" s="370"/>
      <c r="N6" s="370"/>
      <c r="O6" s="370"/>
      <c r="P6" s="370"/>
      <c r="Q6" s="125"/>
    </row>
    <row r="7" spans="1:28" s="74" customFormat="1" ht="11.25" x14ac:dyDescent="0.2">
      <c r="A7" s="131"/>
      <c r="B7" s="132"/>
      <c r="C7" s="133"/>
      <c r="D7" s="123" t="s">
        <v>40</v>
      </c>
      <c r="E7" s="123"/>
      <c r="F7" s="123" t="s">
        <v>241</v>
      </c>
      <c r="G7" s="123"/>
      <c r="H7" s="123"/>
      <c r="I7" s="123"/>
      <c r="J7" s="123"/>
      <c r="K7" s="531"/>
      <c r="L7" s="531"/>
      <c r="M7" s="531"/>
      <c r="N7" s="531"/>
      <c r="O7" s="531"/>
      <c r="P7" s="370"/>
      <c r="Q7" s="371"/>
      <c r="R7" s="52"/>
      <c r="S7" s="52"/>
    </row>
    <row r="8" spans="1:28" s="74" customFormat="1" ht="11.25" x14ac:dyDescent="0.2">
      <c r="A8" s="131"/>
      <c r="B8" s="132"/>
      <c r="C8" s="133"/>
      <c r="D8" s="532"/>
      <c r="E8" s="533">
        <v>2003</v>
      </c>
      <c r="F8" s="533">
        <v>2004</v>
      </c>
      <c r="G8" s="533">
        <v>2005</v>
      </c>
      <c r="H8" s="533">
        <v>2006</v>
      </c>
      <c r="I8" s="533">
        <v>2007</v>
      </c>
      <c r="J8" s="533">
        <v>2008</v>
      </c>
      <c r="K8" s="533">
        <v>2009</v>
      </c>
      <c r="L8" s="533">
        <v>2010</v>
      </c>
      <c r="M8" s="533">
        <v>2011</v>
      </c>
      <c r="N8" s="533">
        <v>2012</v>
      </c>
      <c r="O8" s="533">
        <v>2013</v>
      </c>
      <c r="P8" s="533">
        <v>2014</v>
      </c>
      <c r="Q8" s="533">
        <v>2015</v>
      </c>
      <c r="R8" s="878">
        <v>2016</v>
      </c>
      <c r="S8" s="52"/>
      <c r="T8" s="52"/>
    </row>
    <row r="9" spans="1:28" s="74" customFormat="1" ht="11.25" x14ac:dyDescent="0.2">
      <c r="A9" s="131"/>
      <c r="B9" s="132"/>
      <c r="C9" s="133"/>
      <c r="D9" s="534" t="s">
        <v>242</v>
      </c>
      <c r="E9" s="535">
        <v>10029</v>
      </c>
      <c r="F9" s="535">
        <v>10493</v>
      </c>
      <c r="G9" s="535">
        <v>10464</v>
      </c>
      <c r="H9" s="535">
        <v>10753</v>
      </c>
      <c r="I9" s="535">
        <v>10830</v>
      </c>
      <c r="J9" s="535">
        <v>10191</v>
      </c>
      <c r="K9" s="536">
        <v>9271</v>
      </c>
      <c r="L9" s="536">
        <v>9352</v>
      </c>
      <c r="M9" s="536">
        <v>9426</v>
      </c>
      <c r="N9" s="536">
        <v>8906</v>
      </c>
      <c r="O9" s="536">
        <v>10676</v>
      </c>
      <c r="P9" s="536">
        <v>9421</v>
      </c>
      <c r="Q9" s="536">
        <v>9314</v>
      </c>
      <c r="R9" s="879">
        <v>9017</v>
      </c>
      <c r="S9" s="52"/>
      <c r="T9" s="52"/>
    </row>
    <row r="10" spans="1:28" s="74" customFormat="1" ht="11.25" x14ac:dyDescent="0.2">
      <c r="A10" s="131"/>
      <c r="B10" s="132"/>
      <c r="C10" s="133"/>
      <c r="D10" s="534" t="s">
        <v>243</v>
      </c>
      <c r="E10" s="535">
        <v>5806</v>
      </c>
      <c r="F10" s="535">
        <v>6709</v>
      </c>
      <c r="G10" s="535">
        <v>5432</v>
      </c>
      <c r="H10" s="535">
        <v>6513</v>
      </c>
      <c r="I10" s="535">
        <v>7285</v>
      </c>
      <c r="J10" s="535">
        <v>7740</v>
      </c>
      <c r="K10" s="536">
        <v>10042</v>
      </c>
      <c r="L10" s="536"/>
      <c r="M10" s="536"/>
      <c r="N10" s="536"/>
      <c r="O10" s="536"/>
      <c r="P10" s="536"/>
      <c r="Q10" s="536"/>
      <c r="R10" s="879"/>
      <c r="S10" s="52"/>
      <c r="T10" s="52"/>
    </row>
    <row r="11" spans="1:28" s="74" customFormat="1" ht="11.25" x14ac:dyDescent="0.2">
      <c r="A11" s="131"/>
      <c r="B11" s="132"/>
      <c r="C11" s="133"/>
      <c r="D11" s="534" t="s">
        <v>244</v>
      </c>
      <c r="E11" s="535">
        <v>36194</v>
      </c>
      <c r="F11" s="535">
        <v>35942</v>
      </c>
      <c r="G11" s="535">
        <v>38395</v>
      </c>
      <c r="H11" s="535">
        <v>39194</v>
      </c>
      <c r="I11" s="535">
        <v>41379</v>
      </c>
      <c r="J11" s="535">
        <v>44310</v>
      </c>
      <c r="K11" s="536">
        <v>45296</v>
      </c>
      <c r="L11" s="536"/>
      <c r="M11" s="536"/>
      <c r="N11" s="536"/>
      <c r="O11" s="536"/>
      <c r="P11" s="536"/>
      <c r="Q11" s="536"/>
      <c r="R11" s="879"/>
      <c r="S11" s="52"/>
      <c r="T11" s="52"/>
    </row>
    <row r="12" spans="1:28" s="74" customFormat="1" ht="11.25" x14ac:dyDescent="0.2">
      <c r="A12" s="131"/>
      <c r="B12" s="132"/>
      <c r="C12" s="133"/>
      <c r="D12" s="537" t="s">
        <v>245</v>
      </c>
      <c r="E12" s="538">
        <v>186</v>
      </c>
      <c r="F12" s="538">
        <v>179</v>
      </c>
      <c r="G12" s="538">
        <v>168</v>
      </c>
      <c r="H12" s="538">
        <v>124</v>
      </c>
      <c r="I12" s="538">
        <v>96</v>
      </c>
      <c r="J12" s="538">
        <v>126</v>
      </c>
      <c r="K12" s="539">
        <v>101</v>
      </c>
      <c r="L12" s="539"/>
      <c r="M12" s="539"/>
      <c r="N12" s="539"/>
      <c r="O12" s="539"/>
      <c r="P12" s="539"/>
      <c r="Q12" s="539"/>
      <c r="R12" s="880"/>
      <c r="S12" s="52"/>
      <c r="T12" s="52"/>
    </row>
    <row r="13" spans="1:28" s="74" customFormat="1" ht="11.25" x14ac:dyDescent="0.2">
      <c r="A13" s="131"/>
      <c r="B13" s="132"/>
      <c r="C13" s="133"/>
      <c r="D13" s="122"/>
      <c r="E13" s="122"/>
      <c r="F13" s="122"/>
      <c r="G13" s="122"/>
      <c r="H13" s="122"/>
      <c r="I13" s="122"/>
      <c r="J13" s="122"/>
      <c r="K13" s="370"/>
      <c r="L13" s="370"/>
      <c r="M13" s="370"/>
      <c r="N13" s="370"/>
      <c r="O13" s="370"/>
      <c r="P13" s="371"/>
      <c r="Q13" s="371"/>
      <c r="R13" s="52"/>
      <c r="S13" s="52"/>
    </row>
    <row r="14" spans="1:28" s="74" customFormat="1" ht="11.25" x14ac:dyDescent="0.2">
      <c r="A14" s="131"/>
      <c r="B14" s="132"/>
      <c r="C14" s="133"/>
      <c r="D14" s="122" t="s">
        <v>67</v>
      </c>
      <c r="E14" s="122"/>
      <c r="F14" s="122" t="s">
        <v>246</v>
      </c>
      <c r="G14" s="122"/>
      <c r="H14" s="122"/>
      <c r="I14" s="122"/>
      <c r="J14" s="122"/>
      <c r="K14" s="122"/>
      <c r="L14" s="370"/>
      <c r="M14" s="370"/>
      <c r="N14" s="370"/>
      <c r="O14" s="370"/>
      <c r="P14" s="371"/>
      <c r="Q14" s="371"/>
      <c r="R14" s="52"/>
      <c r="S14" s="52"/>
    </row>
    <row r="15" spans="1:28" s="74" customFormat="1" ht="11.25" x14ac:dyDescent="0.2">
      <c r="A15" s="131"/>
      <c r="B15" s="132"/>
      <c r="C15" s="133"/>
      <c r="D15" s="532"/>
      <c r="E15" s="184">
        <v>2002</v>
      </c>
      <c r="F15" s="184">
        <v>2003</v>
      </c>
      <c r="G15" s="184">
        <v>2004</v>
      </c>
      <c r="H15" s="184">
        <v>2005</v>
      </c>
      <c r="I15" s="184">
        <v>2006</v>
      </c>
      <c r="J15" s="184">
        <v>2007</v>
      </c>
      <c r="K15" s="184">
        <v>2008</v>
      </c>
      <c r="L15" s="184">
        <v>2009</v>
      </c>
      <c r="M15" s="184">
        <v>2010</v>
      </c>
      <c r="N15" s="184">
        <v>2011</v>
      </c>
      <c r="O15" s="184">
        <v>2012</v>
      </c>
      <c r="P15" s="184">
        <v>2013</v>
      </c>
      <c r="Q15" s="184">
        <v>2014</v>
      </c>
      <c r="R15" s="852">
        <v>2015</v>
      </c>
      <c r="S15" s="52"/>
      <c r="T15" s="52"/>
    </row>
    <row r="16" spans="1:28" s="74" customFormat="1" ht="11.25" x14ac:dyDescent="0.2">
      <c r="A16" s="131"/>
      <c r="B16" s="132"/>
      <c r="C16" s="133"/>
      <c r="D16" s="534" t="s">
        <v>247</v>
      </c>
      <c r="E16" s="540">
        <v>114</v>
      </c>
      <c r="F16" s="540">
        <v>112</v>
      </c>
      <c r="G16" s="540">
        <v>100</v>
      </c>
      <c r="H16" s="540">
        <v>87</v>
      </c>
      <c r="I16" s="540">
        <v>109</v>
      </c>
      <c r="J16" s="540">
        <v>82</v>
      </c>
      <c r="K16" s="541">
        <v>91</v>
      </c>
      <c r="L16" s="541">
        <v>93</v>
      </c>
      <c r="M16" s="541">
        <v>116</v>
      </c>
      <c r="N16" s="541">
        <v>123</v>
      </c>
      <c r="O16" s="541">
        <v>142</v>
      </c>
      <c r="P16" s="541">
        <v>161</v>
      </c>
      <c r="Q16" s="853">
        <v>152</v>
      </c>
      <c r="R16" s="854"/>
      <c r="S16" s="52"/>
      <c r="T16" s="52"/>
    </row>
    <row r="17" spans="1:21" s="74" customFormat="1" ht="11.25" x14ac:dyDescent="0.2">
      <c r="A17" s="131"/>
      <c r="B17" s="132"/>
      <c r="C17" s="133"/>
      <c r="D17" s="534" t="s">
        <v>72</v>
      </c>
      <c r="E17" s="540">
        <v>52</v>
      </c>
      <c r="F17" s="540">
        <v>64</v>
      </c>
      <c r="G17" s="540">
        <v>59</v>
      </c>
      <c r="H17" s="540">
        <v>55</v>
      </c>
      <c r="I17" s="540">
        <v>34</v>
      </c>
      <c r="J17" s="540">
        <v>44</v>
      </c>
      <c r="K17" s="541">
        <v>31</v>
      </c>
      <c r="L17" s="542">
        <v>59</v>
      </c>
      <c r="M17" s="542">
        <v>76</v>
      </c>
      <c r="N17" s="542">
        <v>84</v>
      </c>
      <c r="O17" s="542">
        <v>73</v>
      </c>
      <c r="P17" s="542">
        <v>40</v>
      </c>
      <c r="Q17" s="540">
        <v>66</v>
      </c>
      <c r="R17" s="855"/>
      <c r="S17" s="52"/>
      <c r="T17" s="52"/>
    </row>
    <row r="18" spans="1:21" s="74" customFormat="1" ht="11.25" x14ac:dyDescent="0.2">
      <c r="A18" s="131"/>
      <c r="B18" s="132"/>
      <c r="C18" s="133"/>
      <c r="D18" s="534" t="s">
        <v>248</v>
      </c>
      <c r="E18" s="540">
        <v>35</v>
      </c>
      <c r="F18" s="540">
        <v>35</v>
      </c>
      <c r="G18" s="540">
        <v>56</v>
      </c>
      <c r="H18" s="540">
        <v>55</v>
      </c>
      <c r="I18" s="540">
        <v>59</v>
      </c>
      <c r="J18" s="540">
        <v>58</v>
      </c>
      <c r="K18" s="541">
        <v>53</v>
      </c>
      <c r="L18" s="541">
        <v>49</v>
      </c>
      <c r="M18" s="541">
        <v>53</v>
      </c>
      <c r="N18" s="541">
        <v>53</v>
      </c>
      <c r="O18" s="541">
        <v>65</v>
      </c>
      <c r="P18" s="541">
        <v>54</v>
      </c>
      <c r="Q18" s="853">
        <v>50</v>
      </c>
      <c r="R18" s="854"/>
      <c r="S18" s="52"/>
      <c r="T18" s="52"/>
    </row>
    <row r="19" spans="1:21" s="74" customFormat="1" ht="11.25" x14ac:dyDescent="0.2">
      <c r="A19" s="131"/>
      <c r="B19" s="132"/>
      <c r="C19" s="133"/>
      <c r="D19" s="534" t="s">
        <v>249</v>
      </c>
      <c r="E19" s="540">
        <v>8</v>
      </c>
      <c r="F19" s="540">
        <v>32</v>
      </c>
      <c r="G19" s="540">
        <v>21</v>
      </c>
      <c r="H19" s="540">
        <v>37</v>
      </c>
      <c r="I19" s="540">
        <v>28</v>
      </c>
      <c r="J19" s="540">
        <v>37</v>
      </c>
      <c r="K19" s="541">
        <v>38</v>
      </c>
      <c r="L19" s="542">
        <v>47</v>
      </c>
      <c r="M19" s="542">
        <v>34</v>
      </c>
      <c r="N19" s="542">
        <v>44</v>
      </c>
      <c r="O19" s="542">
        <v>73</v>
      </c>
      <c r="P19" s="542">
        <v>47</v>
      </c>
      <c r="Q19" s="540">
        <v>52</v>
      </c>
      <c r="R19" s="855"/>
      <c r="S19" s="52"/>
      <c r="T19" s="52"/>
    </row>
    <row r="20" spans="1:21" s="74" customFormat="1" ht="11.25" x14ac:dyDescent="0.2">
      <c r="A20" s="131"/>
      <c r="B20" s="132"/>
      <c r="C20" s="133"/>
      <c r="D20" s="534" t="s">
        <v>75</v>
      </c>
      <c r="E20" s="540">
        <v>11</v>
      </c>
      <c r="F20" s="540">
        <v>11</v>
      </c>
      <c r="G20" s="540">
        <v>18</v>
      </c>
      <c r="H20" s="540">
        <v>22</v>
      </c>
      <c r="I20" s="540">
        <v>21</v>
      </c>
      <c r="J20" s="540">
        <v>23</v>
      </c>
      <c r="K20" s="541">
        <v>34</v>
      </c>
      <c r="L20" s="541">
        <v>26</v>
      </c>
      <c r="M20" s="541">
        <v>40</v>
      </c>
      <c r="N20" s="541">
        <v>41</v>
      </c>
      <c r="O20" s="541">
        <v>44</v>
      </c>
      <c r="P20" s="541">
        <v>36</v>
      </c>
      <c r="Q20" s="540">
        <v>41</v>
      </c>
      <c r="R20" s="854"/>
      <c r="S20" s="52"/>
      <c r="T20" s="52"/>
    </row>
    <row r="21" spans="1:21" s="74" customFormat="1" ht="11.25" x14ac:dyDescent="0.2">
      <c r="A21" s="131"/>
      <c r="B21" s="132"/>
      <c r="C21" s="133"/>
      <c r="D21" s="534" t="s">
        <v>250</v>
      </c>
      <c r="E21" s="540">
        <v>19</v>
      </c>
      <c r="F21" s="540">
        <v>16</v>
      </c>
      <c r="G21" s="540">
        <v>24</v>
      </c>
      <c r="H21" s="540">
        <v>15</v>
      </c>
      <c r="I21" s="540">
        <v>8</v>
      </c>
      <c r="J21" s="540">
        <v>7</v>
      </c>
      <c r="K21" s="541">
        <v>10</v>
      </c>
      <c r="L21" s="541">
        <v>9</v>
      </c>
      <c r="M21" s="541">
        <v>6</v>
      </c>
      <c r="N21" s="541">
        <v>7</v>
      </c>
      <c r="O21" s="541">
        <v>9</v>
      </c>
      <c r="P21" s="541">
        <v>6</v>
      </c>
      <c r="Q21" s="544"/>
      <c r="R21" s="854"/>
      <c r="S21" s="52"/>
      <c r="T21" s="52"/>
    </row>
    <row r="22" spans="1:21" s="74" customFormat="1" ht="11.25" x14ac:dyDescent="0.2">
      <c r="A22" s="131"/>
      <c r="B22" s="132"/>
      <c r="C22" s="133"/>
      <c r="D22" s="534" t="s">
        <v>251</v>
      </c>
      <c r="E22" s="540">
        <v>8</v>
      </c>
      <c r="F22" s="544">
        <v>18</v>
      </c>
      <c r="G22" s="544">
        <v>13</v>
      </c>
      <c r="H22" s="544">
        <v>13</v>
      </c>
      <c r="I22" s="544">
        <v>4</v>
      </c>
      <c r="J22" s="544">
        <v>10</v>
      </c>
      <c r="K22" s="543">
        <v>6</v>
      </c>
      <c r="L22" s="543">
        <v>7</v>
      </c>
      <c r="M22" s="543">
        <v>14</v>
      </c>
      <c r="N22" s="543">
        <v>13</v>
      </c>
      <c r="O22" s="543">
        <v>25</v>
      </c>
      <c r="P22" s="543">
        <v>13</v>
      </c>
      <c r="Q22" s="544">
        <v>7</v>
      </c>
      <c r="R22" s="856"/>
      <c r="S22" s="52"/>
      <c r="T22" s="52"/>
    </row>
    <row r="23" spans="1:21" s="74" customFormat="1" ht="11.25" x14ac:dyDescent="0.2">
      <c r="A23" s="131"/>
      <c r="B23" s="132"/>
      <c r="C23" s="133"/>
      <c r="D23" s="534" t="s">
        <v>252</v>
      </c>
      <c r="E23" s="540">
        <v>10</v>
      </c>
      <c r="F23" s="544">
        <v>12</v>
      </c>
      <c r="G23" s="544">
        <v>7</v>
      </c>
      <c r="H23" s="544">
        <v>6</v>
      </c>
      <c r="I23" s="544">
        <v>10</v>
      </c>
      <c r="J23" s="544">
        <v>9</v>
      </c>
      <c r="K23" s="543">
        <v>6</v>
      </c>
      <c r="L23" s="543">
        <v>2</v>
      </c>
      <c r="M23" s="543">
        <v>6</v>
      </c>
      <c r="N23" s="543">
        <v>8</v>
      </c>
      <c r="O23" s="543">
        <v>9</v>
      </c>
      <c r="P23" s="543">
        <v>6</v>
      </c>
      <c r="Q23" s="544">
        <v>6</v>
      </c>
      <c r="R23" s="856"/>
      <c r="S23" s="52"/>
      <c r="T23" s="52"/>
    </row>
    <row r="24" spans="1:21" s="74" customFormat="1" ht="11.25" x14ac:dyDescent="0.2">
      <c r="A24" s="131"/>
      <c r="B24" s="132"/>
      <c r="C24" s="133"/>
      <c r="D24" s="534" t="s">
        <v>253</v>
      </c>
      <c r="E24" s="540">
        <v>5</v>
      </c>
      <c r="F24" s="544">
        <v>9</v>
      </c>
      <c r="G24" s="544">
        <v>8</v>
      </c>
      <c r="H24" s="544">
        <v>13</v>
      </c>
      <c r="I24" s="544">
        <v>7</v>
      </c>
      <c r="J24" s="544">
        <v>11</v>
      </c>
      <c r="K24" s="543">
        <v>10</v>
      </c>
      <c r="L24" s="543">
        <v>16</v>
      </c>
      <c r="M24" s="543">
        <v>16</v>
      </c>
      <c r="N24" s="543">
        <v>15</v>
      </c>
      <c r="O24" s="543">
        <v>21</v>
      </c>
      <c r="P24" s="543">
        <v>27</v>
      </c>
      <c r="Q24" s="544">
        <v>25</v>
      </c>
      <c r="R24" s="856"/>
      <c r="S24" s="52"/>
      <c r="T24" s="52"/>
    </row>
    <row r="25" spans="1:21" s="74" customFormat="1" ht="11.25" x14ac:dyDescent="0.2">
      <c r="A25" s="131"/>
      <c r="B25" s="132"/>
      <c r="C25" s="133"/>
      <c r="D25" s="534" t="s">
        <v>85</v>
      </c>
      <c r="E25" s="540">
        <v>5</v>
      </c>
      <c r="F25" s="544">
        <v>10</v>
      </c>
      <c r="G25" s="544">
        <v>7</v>
      </c>
      <c r="H25" s="544">
        <v>7</v>
      </c>
      <c r="I25" s="544">
        <v>6</v>
      </c>
      <c r="J25" s="544">
        <v>9</v>
      </c>
      <c r="K25" s="543">
        <v>12</v>
      </c>
      <c r="L25" s="543">
        <v>16</v>
      </c>
      <c r="M25" s="543">
        <v>12</v>
      </c>
      <c r="N25" s="543">
        <v>14</v>
      </c>
      <c r="O25" s="543">
        <v>21</v>
      </c>
      <c r="P25" s="543">
        <v>11</v>
      </c>
      <c r="Q25" s="544">
        <v>9</v>
      </c>
      <c r="R25" s="856"/>
      <c r="S25" s="52"/>
      <c r="T25" s="52"/>
    </row>
    <row r="26" spans="1:21" s="74" customFormat="1" ht="11.25" x14ac:dyDescent="0.2">
      <c r="A26" s="131"/>
      <c r="B26" s="132"/>
      <c r="C26" s="133"/>
      <c r="D26" s="534" t="s">
        <v>254</v>
      </c>
      <c r="E26" s="540">
        <v>1</v>
      </c>
      <c r="F26" s="544">
        <v>6</v>
      </c>
      <c r="G26" s="544"/>
      <c r="H26" s="544">
        <v>10</v>
      </c>
      <c r="I26" s="544">
        <v>12</v>
      </c>
      <c r="J26" s="544">
        <v>12</v>
      </c>
      <c r="K26" s="543">
        <v>17</v>
      </c>
      <c r="L26" s="543">
        <v>5</v>
      </c>
      <c r="M26" s="543">
        <v>7</v>
      </c>
      <c r="N26" s="543">
        <v>7</v>
      </c>
      <c r="O26" s="543">
        <v>9</v>
      </c>
      <c r="P26" s="543">
        <v>20</v>
      </c>
      <c r="Q26" s="544">
        <v>17</v>
      </c>
      <c r="R26" s="856"/>
      <c r="S26" s="52"/>
      <c r="T26" s="52"/>
    </row>
    <row r="27" spans="1:21" s="74" customFormat="1" ht="11.25" x14ac:dyDescent="0.2">
      <c r="A27" s="131"/>
      <c r="B27" s="132"/>
      <c r="C27" s="133"/>
      <c r="D27" s="545" t="s">
        <v>255</v>
      </c>
      <c r="E27" s="540">
        <v>8</v>
      </c>
      <c r="F27" s="544">
        <v>9</v>
      </c>
      <c r="G27" s="546"/>
      <c r="H27" s="544">
        <v>2</v>
      </c>
      <c r="I27" s="544">
        <v>8</v>
      </c>
      <c r="J27" s="544">
        <v>10</v>
      </c>
      <c r="K27" s="543">
        <v>18</v>
      </c>
      <c r="L27" s="543">
        <v>23</v>
      </c>
      <c r="M27" s="543">
        <v>30</v>
      </c>
      <c r="N27" s="543">
        <v>26</v>
      </c>
      <c r="O27" s="543">
        <v>36</v>
      </c>
      <c r="P27" s="543">
        <v>63</v>
      </c>
      <c r="Q27" s="544">
        <v>50</v>
      </c>
      <c r="R27" s="856"/>
      <c r="S27" s="52"/>
      <c r="T27" s="52"/>
    </row>
    <row r="28" spans="1:21" s="74" customFormat="1" ht="11.25" x14ac:dyDescent="0.2">
      <c r="A28" s="131"/>
      <c r="B28" s="132"/>
      <c r="C28" s="133"/>
      <c r="D28" s="547" t="s">
        <v>256</v>
      </c>
      <c r="E28" s="548">
        <v>57</v>
      </c>
      <c r="F28" s="549">
        <v>61</v>
      </c>
      <c r="G28" s="550">
        <v>48</v>
      </c>
      <c r="H28" s="549">
        <v>44</v>
      </c>
      <c r="I28" s="549">
        <v>48</v>
      </c>
      <c r="J28" s="549">
        <v>44</v>
      </c>
      <c r="K28" s="551">
        <v>77</v>
      </c>
      <c r="L28" s="551">
        <v>55</v>
      </c>
      <c r="M28" s="551">
        <v>85</v>
      </c>
      <c r="N28" s="551">
        <v>88</v>
      </c>
      <c r="O28" s="551">
        <v>85</v>
      </c>
      <c r="P28" s="551">
        <v>132</v>
      </c>
      <c r="Q28" s="549">
        <v>149</v>
      </c>
      <c r="R28" s="857"/>
      <c r="S28" s="52"/>
      <c r="T28" s="52"/>
    </row>
    <row r="29" spans="1:21" s="74" customFormat="1" ht="11.25" x14ac:dyDescent="0.2">
      <c r="A29" s="131"/>
      <c r="B29" s="132"/>
      <c r="C29" s="133"/>
      <c r="D29" s="552" t="s">
        <v>257</v>
      </c>
      <c r="E29" s="553">
        <f>SUM(E16:E28)</f>
        <v>333</v>
      </c>
      <c r="F29" s="553">
        <f t="shared" ref="F29:Q29" si="0">SUM(F16:F28)</f>
        <v>395</v>
      </c>
      <c r="G29" s="553">
        <f t="shared" si="0"/>
        <v>361</v>
      </c>
      <c r="H29" s="553">
        <f t="shared" si="0"/>
        <v>366</v>
      </c>
      <c r="I29" s="553">
        <f t="shared" si="0"/>
        <v>354</v>
      </c>
      <c r="J29" s="553">
        <f t="shared" si="0"/>
        <v>356</v>
      </c>
      <c r="K29" s="553">
        <f t="shared" si="0"/>
        <v>403</v>
      </c>
      <c r="L29" s="553">
        <f t="shared" si="0"/>
        <v>407</v>
      </c>
      <c r="M29" s="553">
        <f t="shared" si="0"/>
        <v>495</v>
      </c>
      <c r="N29" s="553">
        <f t="shared" si="0"/>
        <v>523</v>
      </c>
      <c r="O29" s="553">
        <f t="shared" si="0"/>
        <v>612</v>
      </c>
      <c r="P29" s="554">
        <f t="shared" si="0"/>
        <v>616</v>
      </c>
      <c r="Q29" s="553">
        <f t="shared" si="0"/>
        <v>624</v>
      </c>
      <c r="R29" s="858"/>
      <c r="S29" s="555"/>
      <c r="T29" s="555"/>
      <c r="U29" s="556"/>
    </row>
    <row r="30" spans="1:21" s="74" customFormat="1" ht="11.25" x14ac:dyDescent="0.2">
      <c r="A30" s="131"/>
      <c r="B30" s="132"/>
      <c r="C30" s="133"/>
      <c r="D30" s="122"/>
      <c r="E30" s="540"/>
      <c r="F30" s="540"/>
      <c r="G30" s="540"/>
      <c r="H30" s="540"/>
      <c r="I30" s="540"/>
      <c r="J30" s="540"/>
      <c r="K30" s="540"/>
      <c r="L30" s="540"/>
      <c r="M30" s="540"/>
      <c r="N30" s="540"/>
      <c r="O30" s="540"/>
      <c r="P30" s="540"/>
      <c r="Q30" s="555"/>
      <c r="R30" s="555"/>
      <c r="S30" s="555"/>
      <c r="T30" s="555"/>
    </row>
    <row r="31" spans="1:21" s="74" customFormat="1" ht="11.25" x14ac:dyDescent="0.2">
      <c r="A31" s="131"/>
      <c r="B31" s="132"/>
      <c r="C31" s="133"/>
      <c r="D31" s="122"/>
      <c r="E31" s="540"/>
      <c r="F31" s="540"/>
      <c r="G31" s="540"/>
      <c r="H31" s="540"/>
      <c r="I31" s="540"/>
      <c r="J31" s="540"/>
      <c r="K31" s="540"/>
      <c r="L31" s="540"/>
      <c r="M31" s="540"/>
      <c r="N31" s="540"/>
      <c r="O31" s="540"/>
      <c r="P31" s="540"/>
      <c r="Q31" s="555"/>
      <c r="R31" s="555"/>
      <c r="S31" s="555"/>
      <c r="T31" s="555"/>
    </row>
    <row r="32" spans="1:21" s="74" customFormat="1" ht="12.75" x14ac:dyDescent="0.2">
      <c r="A32" s="116">
        <v>5</v>
      </c>
      <c r="B32" s="117" t="s">
        <v>1794</v>
      </c>
      <c r="C32" s="133"/>
      <c r="D32" s="122" t="s">
        <v>258</v>
      </c>
      <c r="E32" s="122" t="s">
        <v>259</v>
      </c>
      <c r="G32" s="540"/>
      <c r="H32" s="540"/>
      <c r="I32" s="540"/>
      <c r="J32" s="540"/>
      <c r="K32" s="540"/>
      <c r="L32" s="540"/>
      <c r="M32" s="540"/>
      <c r="N32" s="540"/>
      <c r="O32" s="540"/>
      <c r="P32" s="540"/>
      <c r="Q32" s="555"/>
      <c r="R32" s="555"/>
      <c r="S32" s="555"/>
      <c r="T32" s="555"/>
    </row>
    <row r="33" spans="1:31" s="74" customFormat="1" ht="12.75" x14ac:dyDescent="0.2">
      <c r="A33" s="116"/>
      <c r="B33" s="117"/>
      <c r="C33" s="133"/>
      <c r="D33" s="532"/>
      <c r="E33" s="557" t="s">
        <v>260</v>
      </c>
      <c r="F33" s="557" t="s">
        <v>261</v>
      </c>
      <c r="G33" s="557" t="s">
        <v>262</v>
      </c>
      <c r="H33" s="859" t="s">
        <v>263</v>
      </c>
      <c r="I33" s="540"/>
      <c r="J33" s="540"/>
      <c r="K33" s="540"/>
      <c r="L33" s="540"/>
      <c r="M33" s="540"/>
      <c r="N33" s="540"/>
      <c r="O33" s="540"/>
      <c r="P33" s="540"/>
      <c r="Q33" s="540"/>
      <c r="R33" s="540"/>
      <c r="S33" s="555"/>
      <c r="T33" s="555"/>
      <c r="U33" s="555"/>
      <c r="V33" s="555"/>
    </row>
    <row r="34" spans="1:31" s="74" customFormat="1" ht="11.25" x14ac:dyDescent="0.2">
      <c r="A34" s="131"/>
      <c r="B34" s="132"/>
      <c r="C34" s="133"/>
      <c r="D34" s="558" t="s">
        <v>264</v>
      </c>
      <c r="E34" s="559" t="s">
        <v>265</v>
      </c>
      <c r="F34" s="560" t="s">
        <v>265</v>
      </c>
      <c r="G34" s="560" t="s">
        <v>265</v>
      </c>
      <c r="H34" s="860" t="s">
        <v>265</v>
      </c>
      <c r="I34" s="540"/>
      <c r="J34" s="540"/>
      <c r="K34" s="540"/>
      <c r="L34" s="540"/>
      <c r="M34" s="540"/>
      <c r="N34" s="540"/>
      <c r="O34" s="540"/>
      <c r="P34" s="540"/>
      <c r="Q34" s="540"/>
      <c r="R34" s="540"/>
      <c r="S34" s="555"/>
      <c r="T34" s="555"/>
      <c r="U34" s="555"/>
      <c r="V34" s="555"/>
    </row>
    <row r="35" spans="1:31" s="74" customFormat="1" ht="11.25" x14ac:dyDescent="0.2">
      <c r="A35" s="131"/>
      <c r="B35" s="132"/>
      <c r="C35" s="133"/>
      <c r="D35" s="561" t="s">
        <v>266</v>
      </c>
      <c r="E35" s="562">
        <v>6.86</v>
      </c>
      <c r="F35" s="541">
        <v>9.99</v>
      </c>
      <c r="G35" s="541">
        <v>9.61</v>
      </c>
      <c r="H35" s="854"/>
      <c r="I35" s="540"/>
      <c r="J35" s="540"/>
      <c r="K35" s="540"/>
      <c r="L35" s="540"/>
      <c r="M35" s="540"/>
      <c r="N35" s="540"/>
      <c r="O35" s="540"/>
      <c r="P35" s="540"/>
      <c r="Q35" s="540"/>
      <c r="R35" s="540"/>
      <c r="S35" s="555"/>
      <c r="T35" s="555"/>
      <c r="U35" s="555"/>
      <c r="V35" s="555"/>
    </row>
    <row r="36" spans="1:31" s="74" customFormat="1" ht="15.75" x14ac:dyDescent="0.2">
      <c r="A36" s="131"/>
      <c r="B36" s="132"/>
      <c r="C36" s="133"/>
      <c r="D36" s="561" t="s">
        <v>267</v>
      </c>
      <c r="E36" s="562">
        <v>6.71</v>
      </c>
      <c r="F36" s="541">
        <v>5.15</v>
      </c>
      <c r="G36" s="541">
        <v>5.2</v>
      </c>
      <c r="H36" s="854"/>
      <c r="I36" s="540"/>
      <c r="J36" s="540"/>
      <c r="K36" s="540"/>
      <c r="L36" s="540"/>
      <c r="M36" s="540"/>
      <c r="N36" s="540"/>
      <c r="O36" s="540"/>
      <c r="P36" s="540"/>
      <c r="Q36" s="540"/>
      <c r="R36" s="540"/>
      <c r="S36" s="555"/>
      <c r="T36" s="555"/>
      <c r="U36" s="555"/>
      <c r="V36" s="555"/>
      <c r="AB36" s="563"/>
      <c r="AD36" s="564"/>
      <c r="AE36" s="565"/>
    </row>
    <row r="37" spans="1:31" s="74" customFormat="1" ht="11.25" x14ac:dyDescent="0.2">
      <c r="A37" s="131"/>
      <c r="B37" s="132"/>
      <c r="C37" s="133"/>
      <c r="D37" s="561" t="s">
        <v>268</v>
      </c>
      <c r="E37" s="562">
        <v>6.4</v>
      </c>
      <c r="F37" s="541">
        <v>4.95</v>
      </c>
      <c r="G37" s="541">
        <v>4.97</v>
      </c>
      <c r="H37" s="854"/>
      <c r="I37" s="540"/>
      <c r="J37" s="540"/>
      <c r="K37" s="540"/>
      <c r="L37" s="540"/>
      <c r="M37" s="540"/>
      <c r="N37" s="540"/>
      <c r="O37" s="540"/>
      <c r="P37" s="540"/>
      <c r="Q37" s="540"/>
      <c r="R37" s="540"/>
      <c r="S37" s="555"/>
      <c r="T37" s="555"/>
      <c r="U37" s="555"/>
      <c r="V37" s="555"/>
      <c r="AD37" s="566"/>
      <c r="AE37" s="567"/>
    </row>
    <row r="38" spans="1:31" s="74" customFormat="1" ht="11.25" x14ac:dyDescent="0.2">
      <c r="A38" s="131"/>
      <c r="B38" s="132"/>
      <c r="C38" s="133"/>
      <c r="D38" s="561" t="s">
        <v>269</v>
      </c>
      <c r="E38" s="562">
        <v>6.17</v>
      </c>
      <c r="F38" s="541">
        <v>5.7</v>
      </c>
      <c r="G38" s="541">
        <v>5.72</v>
      </c>
      <c r="H38" s="854"/>
      <c r="I38" s="540"/>
      <c r="J38" s="540"/>
      <c r="K38" s="540"/>
      <c r="L38" s="540"/>
      <c r="M38" s="540"/>
      <c r="N38" s="540"/>
      <c r="O38" s="540"/>
      <c r="P38" s="540"/>
      <c r="Q38" s="540"/>
      <c r="R38" s="540"/>
      <c r="S38" s="555"/>
      <c r="T38" s="555"/>
      <c r="U38" s="555"/>
      <c r="V38" s="555"/>
      <c r="AD38" s="566"/>
      <c r="AE38" s="567"/>
    </row>
    <row r="39" spans="1:31" s="74" customFormat="1" ht="11.25" x14ac:dyDescent="0.2">
      <c r="A39" s="131"/>
      <c r="B39" s="132"/>
      <c r="C39" s="133"/>
      <c r="D39" s="561" t="s">
        <v>270</v>
      </c>
      <c r="E39" s="562">
        <v>5.54</v>
      </c>
      <c r="F39" s="541">
        <v>5.01</v>
      </c>
      <c r="G39" s="541">
        <v>5.09</v>
      </c>
      <c r="H39" s="854"/>
      <c r="I39" s="540"/>
      <c r="J39" s="540"/>
      <c r="K39" s="540"/>
      <c r="L39" s="540"/>
      <c r="M39" s="540"/>
      <c r="N39" s="540"/>
      <c r="O39" s="540"/>
      <c r="P39" s="540"/>
      <c r="Q39" s="540"/>
      <c r="R39" s="540"/>
      <c r="S39" s="555"/>
      <c r="T39" s="555"/>
      <c r="U39" s="555"/>
      <c r="V39" s="555"/>
      <c r="AD39" s="566"/>
      <c r="AE39" s="567"/>
    </row>
    <row r="40" spans="1:31" s="74" customFormat="1" ht="11.25" x14ac:dyDescent="0.2">
      <c r="A40" s="131"/>
      <c r="B40" s="132"/>
      <c r="C40" s="133"/>
      <c r="D40" s="561" t="s">
        <v>271</v>
      </c>
      <c r="E40" s="562">
        <v>4.92</v>
      </c>
      <c r="F40" s="541">
        <v>5.75</v>
      </c>
      <c r="G40" s="541">
        <v>5.55</v>
      </c>
      <c r="H40" s="854"/>
      <c r="I40" s="540"/>
      <c r="J40" s="540"/>
      <c r="K40" s="540"/>
      <c r="L40" s="540"/>
      <c r="M40" s="540"/>
      <c r="N40" s="540"/>
      <c r="O40" s="540"/>
      <c r="P40" s="540"/>
      <c r="Q40" s="540"/>
      <c r="R40" s="540"/>
      <c r="S40" s="555"/>
      <c r="T40" s="555"/>
      <c r="U40" s="555"/>
      <c r="V40" s="555"/>
      <c r="AD40" s="566"/>
      <c r="AE40" s="567"/>
    </row>
    <row r="41" spans="1:31" s="74" customFormat="1" ht="11.25" x14ac:dyDescent="0.2">
      <c r="A41" s="131"/>
      <c r="B41" s="132"/>
      <c r="C41" s="133"/>
      <c r="D41" s="561" t="s">
        <v>272</v>
      </c>
      <c r="E41" s="562">
        <v>4.47</v>
      </c>
      <c r="F41" s="541">
        <v>5.57</v>
      </c>
      <c r="G41" s="541">
        <v>5.36</v>
      </c>
      <c r="H41" s="854"/>
      <c r="I41" s="540"/>
      <c r="J41" s="540"/>
      <c r="K41" s="540"/>
      <c r="L41" s="540"/>
      <c r="M41" s="540"/>
      <c r="N41" s="540"/>
      <c r="O41" s="540"/>
      <c r="P41" s="540"/>
      <c r="Q41" s="540"/>
      <c r="R41" s="540"/>
      <c r="S41" s="555"/>
      <c r="T41" s="555"/>
      <c r="U41" s="555"/>
      <c r="V41" s="555"/>
      <c r="AD41" s="566"/>
      <c r="AE41" s="567"/>
    </row>
    <row r="42" spans="1:31" s="74" customFormat="1" ht="11.25" x14ac:dyDescent="0.2">
      <c r="A42" s="131"/>
      <c r="B42" s="132"/>
      <c r="C42" s="133"/>
      <c r="D42" s="561" t="s">
        <v>273</v>
      </c>
      <c r="E42" s="562">
        <v>4.53</v>
      </c>
      <c r="F42" s="541">
        <v>4.7699999999999996</v>
      </c>
      <c r="G42" s="541">
        <v>4.7300000000000004</v>
      </c>
      <c r="H42" s="854"/>
      <c r="I42" s="540"/>
      <c r="J42" s="540"/>
      <c r="K42" s="540"/>
      <c r="L42" s="540"/>
      <c r="M42" s="540"/>
      <c r="N42" s="540"/>
      <c r="O42" s="540"/>
      <c r="P42" s="540"/>
      <c r="Q42" s="540"/>
      <c r="R42" s="540"/>
      <c r="S42" s="555"/>
      <c r="T42" s="555"/>
      <c r="U42" s="555"/>
      <c r="V42" s="555"/>
      <c r="AD42" s="566"/>
      <c r="AE42" s="567"/>
    </row>
    <row r="43" spans="1:31" s="74" customFormat="1" ht="11.25" x14ac:dyDescent="0.2">
      <c r="A43" s="131"/>
      <c r="B43" s="132"/>
      <c r="C43" s="133"/>
      <c r="D43" s="561" t="s">
        <v>274</v>
      </c>
      <c r="E43" s="562">
        <v>3.78</v>
      </c>
      <c r="F43" s="541">
        <v>4.32</v>
      </c>
      <c r="G43" s="541">
        <v>4.33</v>
      </c>
      <c r="H43" s="854"/>
      <c r="I43" s="540"/>
      <c r="J43" s="540"/>
      <c r="K43" s="540"/>
      <c r="L43" s="540"/>
      <c r="M43" s="540"/>
      <c r="N43" s="540"/>
      <c r="O43" s="540"/>
      <c r="P43" s="540"/>
      <c r="Q43" s="540"/>
      <c r="R43" s="540"/>
      <c r="S43" s="555"/>
      <c r="T43" s="555"/>
      <c r="U43" s="555"/>
      <c r="V43" s="555"/>
      <c r="AD43" s="566"/>
      <c r="AE43" s="567"/>
    </row>
    <row r="44" spans="1:31" s="74" customFormat="1" ht="22.5" x14ac:dyDescent="0.2">
      <c r="A44" s="131"/>
      <c r="B44" s="132"/>
      <c r="C44" s="133"/>
      <c r="D44" s="561" t="s">
        <v>275</v>
      </c>
      <c r="E44" s="562">
        <v>3.62</v>
      </c>
      <c r="F44" s="541">
        <v>3.97</v>
      </c>
      <c r="G44" s="541">
        <v>3.95</v>
      </c>
      <c r="H44" s="854"/>
      <c r="I44" s="540"/>
      <c r="J44" s="540"/>
      <c r="K44" s="540"/>
      <c r="L44" s="540"/>
      <c r="M44" s="540"/>
      <c r="N44" s="540"/>
      <c r="O44" s="540"/>
      <c r="P44" s="540"/>
      <c r="Q44" s="540"/>
      <c r="R44" s="540"/>
      <c r="S44" s="555"/>
      <c r="T44" s="555"/>
      <c r="U44" s="555"/>
      <c r="V44" s="555"/>
      <c r="AD44" s="566"/>
      <c r="AE44" s="567"/>
    </row>
    <row r="45" spans="1:31" s="74" customFormat="1" ht="11.25" x14ac:dyDescent="0.2">
      <c r="A45" s="131"/>
      <c r="B45" s="132"/>
      <c r="C45" s="133"/>
      <c r="D45" s="568" t="s">
        <v>256</v>
      </c>
      <c r="E45" s="569">
        <v>47</v>
      </c>
      <c r="F45" s="570">
        <v>44.82</v>
      </c>
      <c r="G45" s="570">
        <v>45.49</v>
      </c>
      <c r="H45" s="861"/>
      <c r="I45" s="540"/>
      <c r="J45" s="540"/>
      <c r="K45" s="540"/>
      <c r="L45" s="540"/>
      <c r="M45" s="540"/>
      <c r="N45" s="540"/>
      <c r="O45" s="540"/>
      <c r="P45" s="540"/>
      <c r="Q45" s="540"/>
      <c r="R45" s="540"/>
      <c r="S45" s="555"/>
      <c r="T45" s="555"/>
      <c r="U45" s="555"/>
      <c r="V45" s="555"/>
      <c r="AD45" s="566"/>
      <c r="AE45" s="567"/>
    </row>
    <row r="46" spans="1:31" s="74" customFormat="1" ht="11.25" x14ac:dyDescent="0.2">
      <c r="A46" s="131"/>
      <c r="B46" s="132"/>
      <c r="C46" s="133"/>
      <c r="D46" s="122"/>
      <c r="E46" s="540"/>
      <c r="F46" s="540"/>
      <c r="G46" s="540"/>
      <c r="H46" s="540"/>
      <c r="I46" s="540"/>
      <c r="J46" s="540"/>
      <c r="K46" s="540"/>
      <c r="L46" s="540"/>
      <c r="M46" s="540"/>
      <c r="N46" s="540"/>
      <c r="O46" s="540"/>
      <c r="P46" s="540"/>
      <c r="Q46" s="555"/>
      <c r="R46" s="555"/>
      <c r="S46" s="555"/>
      <c r="T46" s="555"/>
      <c r="AB46" s="566"/>
      <c r="AC46" s="567"/>
    </row>
    <row r="47" spans="1:31" s="74" customFormat="1" ht="11.25" x14ac:dyDescent="0.2">
      <c r="A47" s="131"/>
      <c r="B47" s="132"/>
      <c r="C47" s="133"/>
      <c r="D47" s="122"/>
      <c r="E47" s="540"/>
      <c r="F47" s="540"/>
      <c r="G47" s="540"/>
      <c r="H47" s="540"/>
      <c r="I47" s="540"/>
      <c r="J47" s="540"/>
      <c r="K47" s="540"/>
      <c r="L47" s="540"/>
      <c r="M47" s="540"/>
      <c r="N47" s="540"/>
      <c r="O47" s="540"/>
      <c r="P47" s="540"/>
      <c r="Q47" s="555"/>
      <c r="R47" s="555"/>
      <c r="S47" s="555"/>
      <c r="T47" s="555"/>
      <c r="AB47" s="566"/>
      <c r="AC47" s="567"/>
    </row>
    <row r="48" spans="1:31" s="74" customFormat="1" ht="11.25" x14ac:dyDescent="0.2">
      <c r="A48" s="131"/>
      <c r="B48" s="132"/>
      <c r="C48" s="133"/>
      <c r="D48" s="122" t="s">
        <v>276</v>
      </c>
      <c r="E48" s="122" t="s">
        <v>277</v>
      </c>
      <c r="F48" s="540"/>
      <c r="G48" s="540"/>
      <c r="H48" s="540"/>
      <c r="I48" s="540"/>
      <c r="J48" s="540"/>
      <c r="K48" s="540"/>
      <c r="L48" s="540"/>
      <c r="M48" s="540"/>
      <c r="N48" s="540"/>
      <c r="O48" s="540"/>
      <c r="P48" s="540"/>
      <c r="Q48" s="555"/>
      <c r="R48" s="555"/>
      <c r="S48" s="555"/>
      <c r="T48" s="555"/>
      <c r="AB48" s="52"/>
      <c r="AC48" s="52"/>
    </row>
    <row r="49" spans="1:43" s="74" customFormat="1" ht="11.25" x14ac:dyDescent="0.2">
      <c r="A49" s="131"/>
      <c r="B49" s="132"/>
      <c r="C49" s="133"/>
      <c r="D49" s="571"/>
      <c r="E49" s="572">
        <v>1997</v>
      </c>
      <c r="F49" s="572">
        <v>1998</v>
      </c>
      <c r="G49" s="572">
        <v>1999</v>
      </c>
      <c r="H49" s="572">
        <v>2000</v>
      </c>
      <c r="I49" s="572">
        <v>2001</v>
      </c>
      <c r="J49" s="572">
        <v>2002</v>
      </c>
      <c r="K49" s="572">
        <v>2003</v>
      </c>
      <c r="L49" s="572">
        <v>2004</v>
      </c>
      <c r="M49" s="572">
        <v>2005</v>
      </c>
      <c r="N49" s="572">
        <v>2006</v>
      </c>
      <c r="O49" s="572">
        <v>2007</v>
      </c>
      <c r="P49" s="572">
        <v>2008</v>
      </c>
      <c r="Q49" s="572">
        <v>2009</v>
      </c>
      <c r="R49" s="572">
        <v>2010</v>
      </c>
      <c r="S49" s="572">
        <v>2011</v>
      </c>
      <c r="T49" s="572">
        <v>2012</v>
      </c>
      <c r="U49" s="572">
        <v>2013</v>
      </c>
      <c r="V49" s="572">
        <v>2014</v>
      </c>
      <c r="W49" s="862">
        <v>2015</v>
      </c>
      <c r="X49" s="863">
        <v>2016</v>
      </c>
    </row>
    <row r="50" spans="1:43" s="74" customFormat="1" ht="11.25" x14ac:dyDescent="0.2">
      <c r="A50" s="131"/>
      <c r="B50" s="132"/>
      <c r="C50" s="133"/>
      <c r="D50" s="561" t="s">
        <v>278</v>
      </c>
      <c r="E50" s="573">
        <v>355</v>
      </c>
      <c r="F50" s="872">
        <v>200</v>
      </c>
      <c r="G50" s="872">
        <v>140</v>
      </c>
      <c r="H50" s="574">
        <v>902</v>
      </c>
      <c r="I50" s="574">
        <v>968</v>
      </c>
      <c r="J50" s="574">
        <v>983</v>
      </c>
      <c r="K50" s="574">
        <v>924</v>
      </c>
      <c r="L50" s="574">
        <v>957</v>
      </c>
      <c r="M50" s="574" t="s">
        <v>279</v>
      </c>
      <c r="N50" s="574">
        <v>868</v>
      </c>
      <c r="O50" s="574">
        <v>918</v>
      </c>
      <c r="P50" s="574">
        <v>863</v>
      </c>
      <c r="Q50" s="574">
        <v>833</v>
      </c>
      <c r="R50" s="574">
        <v>822</v>
      </c>
      <c r="S50" s="574">
        <v>567</v>
      </c>
      <c r="T50" s="574">
        <v>685</v>
      </c>
      <c r="U50" s="574">
        <v>474</v>
      </c>
      <c r="V50" s="574">
        <v>445</v>
      </c>
      <c r="W50" s="864">
        <v>453</v>
      </c>
      <c r="X50" s="865">
        <v>403</v>
      </c>
    </row>
    <row r="51" spans="1:43" s="582" customFormat="1" ht="12" x14ac:dyDescent="0.2">
      <c r="A51" s="575"/>
      <c r="B51" s="576"/>
      <c r="C51" s="577"/>
      <c r="D51" s="578" t="s">
        <v>226</v>
      </c>
      <c r="E51" s="579">
        <v>38</v>
      </c>
      <c r="F51" s="873">
        <v>37</v>
      </c>
      <c r="G51" s="873">
        <v>43</v>
      </c>
      <c r="H51" s="580">
        <v>21</v>
      </c>
      <c r="I51" s="580">
        <v>20</v>
      </c>
      <c r="J51" s="580">
        <v>18</v>
      </c>
      <c r="K51" s="580">
        <v>22</v>
      </c>
      <c r="L51" s="580">
        <v>19</v>
      </c>
      <c r="M51" s="580">
        <v>23</v>
      </c>
      <c r="N51" s="580">
        <v>25</v>
      </c>
      <c r="O51" s="580">
        <v>24</v>
      </c>
      <c r="P51" s="580">
        <v>23</v>
      </c>
      <c r="Q51" s="580">
        <v>26</v>
      </c>
      <c r="R51" s="580">
        <v>26</v>
      </c>
      <c r="S51" s="580">
        <v>30</v>
      </c>
      <c r="T51" s="580">
        <v>26</v>
      </c>
      <c r="U51" s="580">
        <v>31</v>
      </c>
      <c r="V51" s="580">
        <v>31</v>
      </c>
      <c r="W51" s="866">
        <v>30</v>
      </c>
      <c r="X51" s="867"/>
      <c r="Y51" s="874"/>
      <c r="Z51" s="581"/>
      <c r="AA51" s="581"/>
      <c r="AB51" s="581"/>
    </row>
    <row r="52" spans="1:43" s="74" customFormat="1" ht="12" x14ac:dyDescent="0.2">
      <c r="A52" s="131"/>
      <c r="B52" s="132"/>
      <c r="C52" s="133"/>
      <c r="D52" s="561" t="s">
        <v>280</v>
      </c>
      <c r="E52" s="583">
        <v>6917</v>
      </c>
      <c r="F52" s="875" t="s">
        <v>281</v>
      </c>
      <c r="G52" s="875" t="s">
        <v>282</v>
      </c>
      <c r="H52" s="584" t="s">
        <v>283</v>
      </c>
      <c r="I52" s="584" t="s">
        <v>284</v>
      </c>
      <c r="J52" s="584" t="s">
        <v>285</v>
      </c>
      <c r="K52" s="584" t="s">
        <v>286</v>
      </c>
      <c r="L52" s="584">
        <v>846</v>
      </c>
      <c r="M52" s="584">
        <v>821</v>
      </c>
      <c r="N52" s="584">
        <v>572</v>
      </c>
      <c r="O52" s="584">
        <v>537</v>
      </c>
      <c r="P52" s="584">
        <v>879</v>
      </c>
      <c r="Q52" s="584">
        <v>806</v>
      </c>
      <c r="R52" s="584" t="s">
        <v>287</v>
      </c>
      <c r="S52" s="584" t="s">
        <v>288</v>
      </c>
      <c r="T52" s="584" t="s">
        <v>289</v>
      </c>
      <c r="U52" s="584" t="s">
        <v>290</v>
      </c>
      <c r="V52" s="584" t="s">
        <v>291</v>
      </c>
      <c r="W52" s="868" t="s">
        <v>292</v>
      </c>
      <c r="X52" s="869">
        <v>3852</v>
      </c>
      <c r="Y52" s="876"/>
      <c r="Z52" s="586"/>
      <c r="AA52" s="586"/>
      <c r="AB52" s="585"/>
    </row>
    <row r="53" spans="1:43" s="582" customFormat="1" ht="12" x14ac:dyDescent="0.2">
      <c r="A53" s="575"/>
      <c r="B53" s="576"/>
      <c r="C53" s="577"/>
      <c r="D53" s="578" t="s">
        <v>226</v>
      </c>
      <c r="E53" s="579">
        <v>14</v>
      </c>
      <c r="F53" s="873">
        <v>7</v>
      </c>
      <c r="G53" s="873">
        <v>7</v>
      </c>
      <c r="H53" s="580">
        <v>15</v>
      </c>
      <c r="I53" s="580">
        <v>18</v>
      </c>
      <c r="J53" s="580">
        <v>11</v>
      </c>
      <c r="K53" s="580">
        <v>11</v>
      </c>
      <c r="L53" s="580">
        <v>24</v>
      </c>
      <c r="M53" s="580">
        <v>26</v>
      </c>
      <c r="N53" s="580">
        <v>31</v>
      </c>
      <c r="O53" s="580">
        <v>29</v>
      </c>
      <c r="P53" s="580">
        <v>30</v>
      </c>
      <c r="Q53" s="580">
        <v>29</v>
      </c>
      <c r="R53" s="580">
        <v>12</v>
      </c>
      <c r="S53" s="580">
        <v>12</v>
      </c>
      <c r="T53" s="580">
        <v>11</v>
      </c>
      <c r="U53" s="580">
        <v>14</v>
      </c>
      <c r="V53" s="580">
        <v>14</v>
      </c>
      <c r="W53" s="866">
        <v>14</v>
      </c>
      <c r="X53" s="867"/>
      <c r="Y53" s="877"/>
      <c r="Z53" s="586"/>
      <c r="AA53" s="586"/>
      <c r="AB53" s="586"/>
    </row>
    <row r="54" spans="1:43" s="74" customFormat="1" ht="12" x14ac:dyDescent="0.2">
      <c r="A54" s="131"/>
      <c r="B54" s="132"/>
      <c r="C54" s="133"/>
      <c r="D54" s="561" t="s">
        <v>293</v>
      </c>
      <c r="E54" s="583">
        <v>458</v>
      </c>
      <c r="F54" s="875">
        <v>379</v>
      </c>
      <c r="G54" s="875">
        <v>386</v>
      </c>
      <c r="H54" s="584">
        <v>420</v>
      </c>
      <c r="I54" s="584">
        <v>415</v>
      </c>
      <c r="J54" s="584">
        <v>425</v>
      </c>
      <c r="K54" s="584">
        <v>433</v>
      </c>
      <c r="L54" s="584">
        <v>431</v>
      </c>
      <c r="M54" s="584">
        <v>483</v>
      </c>
      <c r="N54" s="584">
        <v>378</v>
      </c>
      <c r="O54" s="584">
        <v>428</v>
      </c>
      <c r="P54" s="584">
        <v>467</v>
      </c>
      <c r="Q54" s="584">
        <v>415</v>
      </c>
      <c r="R54" s="584">
        <v>559</v>
      </c>
      <c r="S54" s="584">
        <v>555</v>
      </c>
      <c r="T54" s="584">
        <v>667</v>
      </c>
      <c r="U54" s="584">
        <v>965</v>
      </c>
      <c r="V54" s="584">
        <v>889</v>
      </c>
      <c r="W54" s="868">
        <v>773</v>
      </c>
      <c r="X54" s="869">
        <v>683</v>
      </c>
      <c r="Y54" s="876"/>
      <c r="Z54" s="586"/>
      <c r="AA54" s="586"/>
      <c r="AB54" s="585"/>
    </row>
    <row r="55" spans="1:43" s="582" customFormat="1" ht="12" x14ac:dyDescent="0.2">
      <c r="A55" s="575"/>
      <c r="B55" s="576"/>
      <c r="C55" s="577"/>
      <c r="D55" s="587" t="s">
        <v>226</v>
      </c>
      <c r="E55" s="588">
        <v>21</v>
      </c>
      <c r="F55" s="588">
        <v>22</v>
      </c>
      <c r="G55" s="588">
        <v>21</v>
      </c>
      <c r="H55" s="589">
        <v>21</v>
      </c>
      <c r="I55" s="589">
        <v>22</v>
      </c>
      <c r="J55" s="589">
        <v>23</v>
      </c>
      <c r="K55" s="589">
        <v>26</v>
      </c>
      <c r="L55" s="589">
        <v>26</v>
      </c>
      <c r="M55" s="589">
        <v>25</v>
      </c>
      <c r="N55" s="589">
        <v>28</v>
      </c>
      <c r="O55" s="589">
        <v>28</v>
      </c>
      <c r="P55" s="589">
        <v>27</v>
      </c>
      <c r="Q55" s="589">
        <v>32</v>
      </c>
      <c r="R55" s="589">
        <v>29</v>
      </c>
      <c r="S55" s="589">
        <v>30</v>
      </c>
      <c r="T55" s="589">
        <v>28</v>
      </c>
      <c r="U55" s="589">
        <v>26</v>
      </c>
      <c r="V55" s="589">
        <v>27</v>
      </c>
      <c r="W55" s="870">
        <v>29</v>
      </c>
      <c r="X55" s="871"/>
      <c r="Y55" s="586"/>
      <c r="Z55" s="586"/>
      <c r="AA55" s="586"/>
      <c r="AB55" s="586"/>
    </row>
    <row r="56" spans="1:43" s="582" customFormat="1" ht="12" x14ac:dyDescent="0.2">
      <c r="A56" s="575"/>
      <c r="B56" s="576"/>
      <c r="C56" s="577"/>
      <c r="D56" s="590"/>
      <c r="E56" s="591"/>
      <c r="F56" s="591"/>
      <c r="G56" s="591"/>
      <c r="H56" s="591"/>
      <c r="I56" s="591"/>
      <c r="J56" s="591"/>
      <c r="K56" s="591"/>
      <c r="L56" s="591"/>
      <c r="M56" s="591"/>
      <c r="N56" s="591"/>
      <c r="O56" s="591"/>
      <c r="P56" s="591"/>
      <c r="Q56" s="591"/>
      <c r="R56" s="591"/>
      <c r="S56" s="591"/>
      <c r="T56" s="591"/>
      <c r="U56" s="591"/>
      <c r="V56" s="592"/>
      <c r="W56" s="593"/>
      <c r="X56" s="586"/>
      <c r="Y56" s="586"/>
      <c r="Z56" s="586"/>
      <c r="AA56" s="586"/>
      <c r="AB56" s="590"/>
      <c r="AC56" s="591"/>
      <c r="AD56" s="591"/>
      <c r="AE56" s="591"/>
      <c r="AF56" s="591"/>
      <c r="AG56" s="591"/>
      <c r="AH56" s="591"/>
      <c r="AI56" s="591"/>
      <c r="AJ56" s="591"/>
      <c r="AK56" s="591"/>
      <c r="AL56" s="591"/>
      <c r="AM56" s="591"/>
      <c r="AN56" s="591"/>
      <c r="AO56" s="591"/>
      <c r="AP56" s="591"/>
      <c r="AQ56" s="591"/>
    </row>
    <row r="57" spans="1:43" ht="12.75" customHeight="1" x14ac:dyDescent="0.25">
      <c r="A57" s="116">
        <v>6</v>
      </c>
      <c r="B57" s="117" t="s">
        <v>29</v>
      </c>
      <c r="C57" s="116"/>
      <c r="D57" s="4048" t="s">
        <v>294</v>
      </c>
      <c r="E57" s="4049"/>
      <c r="F57" s="4049"/>
      <c r="G57" s="4049"/>
      <c r="H57" s="4049"/>
      <c r="I57" s="4049"/>
      <c r="J57" s="4049"/>
      <c r="K57" s="4049"/>
      <c r="L57" s="4049"/>
      <c r="M57" s="4049"/>
      <c r="N57" s="4049"/>
      <c r="O57" s="4049"/>
      <c r="P57" s="4049"/>
      <c r="Q57" s="4049"/>
      <c r="R57" s="4049"/>
      <c r="S57" s="4049"/>
      <c r="T57" s="4049"/>
      <c r="U57" s="4049"/>
      <c r="V57" s="4049"/>
      <c r="W57" s="4049"/>
      <c r="X57" s="4049"/>
      <c r="Y57" s="4050"/>
      <c r="Z57" s="142"/>
      <c r="AA57" s="586"/>
      <c r="AB57" s="585"/>
      <c r="AC57" s="586"/>
    </row>
    <row r="58" spans="1:43" ht="39.75" customHeight="1" x14ac:dyDescent="0.25">
      <c r="A58" s="143">
        <v>7</v>
      </c>
      <c r="B58" s="144" t="s">
        <v>32</v>
      </c>
      <c r="C58" s="143"/>
      <c r="D58" s="4078" t="s">
        <v>295</v>
      </c>
      <c r="E58" s="4079"/>
      <c r="F58" s="4079"/>
      <c r="G58" s="4079"/>
      <c r="H58" s="4079"/>
      <c r="I58" s="4079"/>
      <c r="J58" s="4079"/>
      <c r="K58" s="4079"/>
      <c r="L58" s="4079"/>
      <c r="M58" s="4079"/>
      <c r="N58" s="4079"/>
      <c r="O58" s="4079"/>
      <c r="P58" s="4079"/>
      <c r="Q58" s="4079"/>
      <c r="R58" s="4079"/>
      <c r="S58" s="4079"/>
      <c r="T58" s="4079"/>
      <c r="U58" s="4079"/>
      <c r="V58" s="4079"/>
      <c r="W58" s="4079"/>
      <c r="X58" s="4079"/>
      <c r="Y58" s="4080"/>
      <c r="Z58" s="230"/>
      <c r="AA58" s="585"/>
      <c r="AB58" s="586"/>
      <c r="AC58" s="585"/>
      <c r="AD58" s="586"/>
      <c r="AE58" s="585"/>
      <c r="AF58" s="586"/>
    </row>
    <row r="59" spans="1:43" ht="30" customHeight="1" x14ac:dyDescent="0.25">
      <c r="A59" s="116">
        <v>8</v>
      </c>
      <c r="B59" s="117" t="s">
        <v>31</v>
      </c>
      <c r="C59" s="116"/>
      <c r="D59" s="4072" t="s">
        <v>296</v>
      </c>
      <c r="E59" s="4073"/>
      <c r="F59" s="4073"/>
      <c r="G59" s="4073"/>
      <c r="H59" s="4073"/>
      <c r="I59" s="4073"/>
      <c r="J59" s="4073"/>
      <c r="K59" s="4073"/>
      <c r="L59" s="4073"/>
      <c r="M59" s="4073"/>
      <c r="N59" s="4073"/>
      <c r="O59" s="4073"/>
      <c r="P59" s="4073"/>
      <c r="Q59" s="4073"/>
      <c r="R59" s="4073"/>
      <c r="S59" s="4073"/>
      <c r="T59" s="4073"/>
      <c r="U59" s="4073"/>
      <c r="V59" s="4073"/>
      <c r="W59" s="4073"/>
      <c r="X59" s="4073"/>
      <c r="Y59" s="4074"/>
      <c r="Z59" s="229"/>
      <c r="AA59" s="585"/>
      <c r="AB59" s="586"/>
      <c r="AC59" s="585"/>
      <c r="AD59" s="586"/>
      <c r="AE59" s="585"/>
      <c r="AF59" s="586"/>
    </row>
    <row r="60" spans="1:43" ht="46.15" customHeight="1" x14ac:dyDescent="0.25">
      <c r="A60" s="116">
        <v>9</v>
      </c>
      <c r="B60" s="117" t="s">
        <v>95</v>
      </c>
      <c r="D60" s="4072" t="s">
        <v>297</v>
      </c>
      <c r="E60" s="4073"/>
      <c r="F60" s="4073"/>
      <c r="G60" s="4073"/>
      <c r="H60" s="4073"/>
      <c r="I60" s="4073"/>
      <c r="J60" s="4073"/>
      <c r="K60" s="4073"/>
      <c r="L60" s="4073"/>
      <c r="M60" s="4073"/>
      <c r="N60" s="4073"/>
      <c r="O60" s="4073"/>
      <c r="P60" s="4073"/>
      <c r="Q60" s="4073"/>
      <c r="R60" s="4073"/>
      <c r="S60" s="4073"/>
      <c r="T60" s="4073"/>
      <c r="U60" s="4073"/>
      <c r="V60" s="4073"/>
      <c r="W60" s="4073"/>
      <c r="X60" s="4073"/>
      <c r="Y60" s="4074"/>
      <c r="Z60" s="229"/>
      <c r="AA60" s="585"/>
      <c r="AB60" s="586"/>
      <c r="AC60" s="585"/>
      <c r="AD60" s="586"/>
      <c r="AE60" s="585"/>
      <c r="AF60" s="586"/>
    </row>
    <row r="62" spans="1:43" x14ac:dyDescent="0.25">
      <c r="AC62" s="44" t="s">
        <v>97</v>
      </c>
    </row>
  </sheetData>
  <mergeCells count="9">
    <mergeCell ref="D57:Y57"/>
    <mergeCell ref="D58:Y58"/>
    <mergeCell ref="D59:Y59"/>
    <mergeCell ref="D60:Y60"/>
    <mergeCell ref="D2:Y2"/>
    <mergeCell ref="D3:Y3"/>
    <mergeCell ref="D4:Y4"/>
    <mergeCell ref="D5:Y5"/>
    <mergeCell ref="Z5:AB5"/>
  </mergeCells>
  <pageMargins left="0.74803149606299202" right="0.74803149606299202" top="0.98425196850393704" bottom="0.98425196850393704" header="0.511811023622047" footer="0.511811023622047"/>
  <pageSetup paperSize="9" scale="5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E132"/>
  <sheetViews>
    <sheetView showGridLines="0" view="pageBreakPreview" zoomScaleNormal="100" zoomScaleSheetLayoutView="100" workbookViewId="0">
      <selection activeCell="D36" sqref="D36:AA36"/>
    </sheetView>
  </sheetViews>
  <sheetFormatPr defaultColWidth="9.28515625" defaultRowHeight="15" x14ac:dyDescent="0.25"/>
  <cols>
    <col min="1" max="1" width="3.7109375" style="594" customWidth="1"/>
    <col min="2" max="2" width="11.85546875" style="113" customWidth="1"/>
    <col min="3" max="3" width="4.5703125" style="595" customWidth="1"/>
    <col min="4" max="4" width="20.42578125" style="599" customWidth="1"/>
    <col min="5" max="5" width="7" style="599" customWidth="1"/>
    <col min="6" max="6" width="5.42578125" style="599" customWidth="1"/>
    <col min="7" max="7" width="5.7109375" style="599" customWidth="1"/>
    <col min="8" max="18" width="8.28515625" style="599" customWidth="1"/>
    <col min="19" max="19" width="7.140625" style="598" customWidth="1"/>
    <col min="20" max="23" width="8.28515625" style="598" customWidth="1"/>
    <col min="24" max="24" width="6.140625" style="598" customWidth="1"/>
    <col min="25" max="26" width="6.28515625" style="598" customWidth="1"/>
    <col min="27" max="27" width="5.140625" style="598" customWidth="1"/>
    <col min="28" max="28" width="5.85546875" style="598" customWidth="1"/>
    <col min="29" max="29" width="10" style="598" bestFit="1" customWidth="1"/>
    <col min="30" max="30" width="10" style="598" customWidth="1"/>
    <col min="31" max="31" width="10" style="598" bestFit="1" customWidth="1"/>
    <col min="32" max="32" width="9.7109375" style="598" bestFit="1" customWidth="1"/>
    <col min="33" max="35" width="10" style="598" bestFit="1" customWidth="1"/>
    <col min="36" max="36" width="9.7109375" style="598" bestFit="1" customWidth="1"/>
    <col min="37" max="37" width="10" style="598" bestFit="1" customWidth="1"/>
    <col min="38" max="38" width="10" style="598" customWidth="1"/>
    <col min="39" max="39" width="10" style="598" bestFit="1" customWidth="1"/>
    <col min="40" max="40" width="9.7109375" style="598" bestFit="1" customWidth="1"/>
    <col min="41" max="43" width="10" style="598" bestFit="1" customWidth="1"/>
    <col min="44" max="44" width="9.7109375" style="598" bestFit="1" customWidth="1"/>
    <col min="45" max="47" width="10" style="598" bestFit="1" customWidth="1"/>
    <col min="48" max="48" width="9.7109375" style="598" bestFit="1" customWidth="1"/>
    <col min="49" max="51" width="10" style="598" bestFit="1" customWidth="1"/>
    <col min="52" max="52" width="9.7109375" style="598" bestFit="1" customWidth="1"/>
    <col min="53" max="55" width="10" style="598" bestFit="1" customWidth="1"/>
    <col min="56" max="56" width="9.7109375" style="598" bestFit="1" customWidth="1"/>
    <col min="57" max="59" width="10" style="598" bestFit="1" customWidth="1"/>
    <col min="60" max="60" width="9.7109375" style="598" bestFit="1" customWidth="1"/>
    <col min="61" max="63" width="10" style="598" bestFit="1" customWidth="1"/>
    <col min="64" max="65" width="9.7109375" style="598" bestFit="1" customWidth="1"/>
    <col min="66" max="67" width="10" style="598" bestFit="1" customWidth="1"/>
    <col min="68" max="68" width="11.5703125" style="598" customWidth="1"/>
    <col min="69" max="70" width="10.42578125" style="598" customWidth="1"/>
    <col min="71" max="71" width="10.42578125" style="599" customWidth="1"/>
    <col min="72" max="16384" width="9.28515625" style="599"/>
  </cols>
  <sheetData>
    <row r="1" spans="1:72" x14ac:dyDescent="0.25">
      <c r="D1" s="596"/>
      <c r="E1" s="596"/>
      <c r="F1" s="596"/>
      <c r="G1" s="597"/>
      <c r="H1" s="597"/>
      <c r="I1" s="597"/>
      <c r="J1" s="597"/>
      <c r="K1" s="597"/>
      <c r="L1" s="597"/>
      <c r="M1" s="597"/>
      <c r="N1" s="597"/>
      <c r="O1" s="597"/>
      <c r="P1" s="597"/>
      <c r="Q1" s="597"/>
      <c r="R1" s="597"/>
      <c r="S1" s="596"/>
      <c r="T1" s="596"/>
      <c r="U1" s="596"/>
      <c r="V1" s="596"/>
      <c r="BS1" s="598"/>
    </row>
    <row r="2" spans="1:72" ht="15" customHeight="1" x14ac:dyDescent="0.25">
      <c r="A2" s="117">
        <v>1</v>
      </c>
      <c r="B2" s="117" t="s">
        <v>0</v>
      </c>
      <c r="C2" s="117">
        <v>13</v>
      </c>
      <c r="D2" s="4075" t="s">
        <v>298</v>
      </c>
      <c r="E2" s="4076"/>
      <c r="F2" s="4076"/>
      <c r="G2" s="4076"/>
      <c r="H2" s="4076"/>
      <c r="I2" s="4076"/>
      <c r="J2" s="4076"/>
      <c r="K2" s="4076"/>
      <c r="L2" s="4076"/>
      <c r="M2" s="4076"/>
      <c r="N2" s="4076"/>
      <c r="O2" s="4076"/>
      <c r="P2" s="4076"/>
      <c r="Q2" s="4076"/>
      <c r="R2" s="4076"/>
      <c r="S2" s="4076"/>
      <c r="T2" s="4076"/>
      <c r="U2" s="4076"/>
      <c r="V2" s="4076"/>
      <c r="W2" s="4076"/>
      <c r="X2" s="4076"/>
      <c r="Y2" s="4076"/>
      <c r="Z2" s="4076"/>
      <c r="AA2" s="4077"/>
      <c r="AB2" s="339"/>
      <c r="AC2" s="600"/>
      <c r="AD2" s="600"/>
      <c r="AE2" s="600"/>
      <c r="AF2" s="600"/>
      <c r="AG2" s="600"/>
      <c r="AH2" s="600"/>
      <c r="AI2" s="600"/>
      <c r="AJ2" s="600"/>
      <c r="AK2" s="600"/>
      <c r="AL2" s="600"/>
      <c r="AM2" s="600"/>
      <c r="AN2" s="600"/>
      <c r="AO2" s="600"/>
      <c r="AP2" s="600"/>
      <c r="BS2" s="598"/>
    </row>
    <row r="3" spans="1:72" ht="15" customHeight="1" x14ac:dyDescent="0.25">
      <c r="A3" s="117">
        <v>2</v>
      </c>
      <c r="B3" s="117" t="s">
        <v>2</v>
      </c>
      <c r="C3" s="594"/>
      <c r="D3" s="4075" t="s">
        <v>299</v>
      </c>
      <c r="E3" s="4076"/>
      <c r="F3" s="4076"/>
      <c r="G3" s="4076"/>
      <c r="H3" s="4076"/>
      <c r="I3" s="4076"/>
      <c r="J3" s="4076"/>
      <c r="K3" s="4076"/>
      <c r="L3" s="4076"/>
      <c r="M3" s="4076"/>
      <c r="N3" s="4076"/>
      <c r="O3" s="4076"/>
      <c r="P3" s="4076"/>
      <c r="Q3" s="4076"/>
      <c r="R3" s="4076"/>
      <c r="S3" s="4076"/>
      <c r="T3" s="4076"/>
      <c r="U3" s="4076"/>
      <c r="V3" s="4076"/>
      <c r="W3" s="4076"/>
      <c r="X3" s="4076"/>
      <c r="Y3" s="4076"/>
      <c r="Z3" s="4076"/>
      <c r="AA3" s="4077"/>
      <c r="AB3" s="339"/>
      <c r="AC3" s="338"/>
      <c r="AD3" s="338"/>
      <c r="AE3" s="338"/>
      <c r="AF3" s="338"/>
      <c r="AG3" s="338"/>
      <c r="AH3" s="338"/>
      <c r="AI3" s="338"/>
      <c r="AJ3" s="338"/>
      <c r="AK3" s="338"/>
      <c r="AL3" s="338"/>
      <c r="AM3" s="338"/>
      <c r="AN3" s="338"/>
      <c r="AO3" s="338"/>
      <c r="AP3" s="338"/>
      <c r="BS3" s="598"/>
    </row>
    <row r="4" spans="1:72" ht="15" customHeight="1" x14ac:dyDescent="0.25">
      <c r="A4" s="117">
        <v>3</v>
      </c>
      <c r="B4" s="117" t="s">
        <v>4</v>
      </c>
      <c r="C4" s="594"/>
      <c r="D4" s="4075" t="s">
        <v>300</v>
      </c>
      <c r="E4" s="4076"/>
      <c r="F4" s="4076"/>
      <c r="G4" s="4076"/>
      <c r="H4" s="4076"/>
      <c r="I4" s="4076"/>
      <c r="J4" s="4076"/>
      <c r="K4" s="4076"/>
      <c r="L4" s="4076"/>
      <c r="M4" s="4076"/>
      <c r="N4" s="4076"/>
      <c r="O4" s="4076"/>
      <c r="P4" s="4076"/>
      <c r="Q4" s="4076"/>
      <c r="R4" s="4076"/>
      <c r="S4" s="4076"/>
      <c r="T4" s="4076"/>
      <c r="U4" s="4076"/>
      <c r="V4" s="4076"/>
      <c r="W4" s="4076"/>
      <c r="X4" s="4076"/>
      <c r="Y4" s="4076"/>
      <c r="Z4" s="4076"/>
      <c r="AA4" s="4077"/>
      <c r="AB4" s="339"/>
      <c r="AC4" s="338"/>
      <c r="AD4" s="338"/>
      <c r="AE4" s="338"/>
      <c r="AF4" s="338"/>
      <c r="AG4" s="338"/>
      <c r="AH4" s="338"/>
      <c r="AI4" s="338"/>
      <c r="AJ4" s="338"/>
      <c r="AK4" s="338"/>
      <c r="AL4" s="338"/>
      <c r="AM4" s="338"/>
      <c r="AN4" s="338"/>
      <c r="AO4" s="338"/>
      <c r="AP4" s="338"/>
      <c r="BS4" s="598"/>
    </row>
    <row r="5" spans="1:72" s="44" customFormat="1" ht="15" customHeight="1" x14ac:dyDescent="0.25">
      <c r="A5" s="117"/>
      <c r="B5" s="117"/>
      <c r="C5" s="116"/>
      <c r="D5" s="4057"/>
      <c r="E5" s="4058"/>
      <c r="F5" s="4058"/>
      <c r="G5" s="4058"/>
      <c r="H5" s="4058"/>
      <c r="I5" s="4058"/>
      <c r="J5" s="4058"/>
      <c r="K5" s="4058"/>
      <c r="L5" s="4058"/>
      <c r="M5" s="4058"/>
      <c r="N5" s="4058"/>
      <c r="O5" s="4058"/>
      <c r="P5" s="4058"/>
      <c r="Q5" s="4058"/>
      <c r="R5" s="4058"/>
      <c r="S5" s="4058"/>
      <c r="T5" s="4058"/>
      <c r="U5" s="4058"/>
      <c r="V5" s="4058"/>
      <c r="W5" s="4058"/>
      <c r="X5" s="4058"/>
      <c r="Y5" s="4058"/>
      <c r="Z5" s="4058"/>
      <c r="AA5" s="4059"/>
      <c r="AB5" s="339"/>
      <c r="AC5" s="178"/>
      <c r="AD5" s="178"/>
      <c r="AE5" s="178"/>
      <c r="AF5" s="178"/>
      <c r="AG5" s="178"/>
      <c r="AH5" s="178"/>
      <c r="AI5" s="178"/>
      <c r="AJ5" s="178"/>
      <c r="AK5" s="178"/>
      <c r="AL5" s="178"/>
      <c r="AM5" s="178"/>
      <c r="AN5" s="178"/>
      <c r="AO5" s="178"/>
      <c r="AP5" s="178"/>
      <c r="AQ5" s="178"/>
      <c r="AR5" s="178"/>
      <c r="AS5" s="178"/>
      <c r="AT5" s="178"/>
    </row>
    <row r="6" spans="1:72" x14ac:dyDescent="0.25">
      <c r="A6" s="117">
        <v>4</v>
      </c>
      <c r="B6" s="117" t="s">
        <v>5</v>
      </c>
      <c r="C6" s="594"/>
      <c r="D6" s="601"/>
      <c r="E6" s="601" t="s">
        <v>301</v>
      </c>
      <c r="F6" s="602"/>
      <c r="G6" s="603"/>
      <c r="H6" s="603"/>
      <c r="I6" s="603"/>
      <c r="J6" s="603"/>
      <c r="K6" s="603"/>
      <c r="L6" s="603"/>
      <c r="M6" s="603"/>
      <c r="N6" s="603"/>
      <c r="O6" s="603"/>
      <c r="P6" s="603"/>
      <c r="Q6" s="604"/>
      <c r="R6" s="604"/>
      <c r="S6" s="605"/>
      <c r="T6" s="605"/>
      <c r="U6" s="605"/>
      <c r="V6" s="605"/>
      <c r="BS6" s="598"/>
    </row>
    <row r="7" spans="1:72" x14ac:dyDescent="0.25">
      <c r="A7" s="117"/>
      <c r="B7" s="132"/>
      <c r="C7" s="594"/>
      <c r="D7" s="606" t="s">
        <v>208</v>
      </c>
      <c r="E7" s="607">
        <v>34699</v>
      </c>
      <c r="F7" s="607">
        <v>35064</v>
      </c>
      <c r="G7" s="607">
        <v>35430</v>
      </c>
      <c r="H7" s="607">
        <v>35795</v>
      </c>
      <c r="I7" s="607">
        <v>36160</v>
      </c>
      <c r="J7" s="607">
        <v>36525</v>
      </c>
      <c r="K7" s="608">
        <v>36891</v>
      </c>
      <c r="L7" s="608">
        <v>37256</v>
      </c>
      <c r="M7" s="608">
        <v>37621</v>
      </c>
      <c r="N7" s="608">
        <v>37986</v>
      </c>
      <c r="O7" s="608">
        <v>38352</v>
      </c>
      <c r="P7" s="609">
        <v>38717</v>
      </c>
      <c r="Q7" s="609">
        <v>39082</v>
      </c>
      <c r="R7" s="609">
        <v>39083</v>
      </c>
      <c r="S7" s="609">
        <v>39448</v>
      </c>
      <c r="T7" s="610">
        <v>2009</v>
      </c>
      <c r="U7" s="610" t="s">
        <v>58</v>
      </c>
      <c r="V7" s="610" t="s">
        <v>59</v>
      </c>
      <c r="W7" s="610">
        <v>2012</v>
      </c>
      <c r="X7" s="610" t="s">
        <v>61</v>
      </c>
      <c r="Y7" s="610" t="s">
        <v>62</v>
      </c>
      <c r="Z7" s="610" t="s">
        <v>63</v>
      </c>
      <c r="AA7" s="610" t="s">
        <v>64</v>
      </c>
      <c r="AB7" s="611" t="s">
        <v>65</v>
      </c>
      <c r="AC7" s="612"/>
      <c r="AO7" s="598">
        <v>2013</v>
      </c>
      <c r="BS7" s="598"/>
      <c r="BT7" s="598"/>
    </row>
    <row r="8" spans="1:72" ht="15.75" customHeight="1" x14ac:dyDescent="0.25">
      <c r="A8" s="117"/>
      <c r="B8" s="132"/>
      <c r="C8" s="594"/>
      <c r="D8" s="613" t="s">
        <v>302</v>
      </c>
      <c r="E8" s="614">
        <v>15.7</v>
      </c>
      <c r="F8" s="615">
        <v>17.600000000000001</v>
      </c>
      <c r="G8" s="615">
        <v>18.7</v>
      </c>
      <c r="H8" s="615">
        <v>18.899999999999999</v>
      </c>
      <c r="I8" s="615">
        <v>19.8</v>
      </c>
      <c r="J8" s="615">
        <v>18</v>
      </c>
      <c r="K8" s="616">
        <v>20</v>
      </c>
      <c r="L8" s="616">
        <v>21.1</v>
      </c>
      <c r="M8" s="616">
        <v>23.2</v>
      </c>
      <c r="N8" s="616">
        <v>20</v>
      </c>
      <c r="O8" s="616">
        <v>21.1</v>
      </c>
      <c r="P8" s="616">
        <v>22</v>
      </c>
      <c r="Q8" s="616">
        <v>25.8</v>
      </c>
      <c r="R8" s="616">
        <v>27.1</v>
      </c>
      <c r="S8" s="616">
        <v>31.4</v>
      </c>
      <c r="T8" s="616">
        <v>22.4</v>
      </c>
      <c r="U8" s="616">
        <v>22.2</v>
      </c>
      <c r="V8" s="616">
        <v>24.7</v>
      </c>
      <c r="W8" s="616">
        <v>26.4</v>
      </c>
      <c r="X8" s="617">
        <v>28.4</v>
      </c>
      <c r="Y8" s="617">
        <v>28.1</v>
      </c>
      <c r="Z8" s="618">
        <v>26.6</v>
      </c>
      <c r="AA8" s="618">
        <v>25.1</v>
      </c>
      <c r="AB8" s="619">
        <v>23.8</v>
      </c>
      <c r="AC8" s="618"/>
      <c r="BS8" s="598"/>
      <c r="BT8" s="598"/>
    </row>
    <row r="9" spans="1:72" x14ac:dyDescent="0.25">
      <c r="A9" s="117"/>
      <c r="B9" s="132"/>
      <c r="C9" s="594"/>
      <c r="D9" s="620" t="s">
        <v>303</v>
      </c>
      <c r="E9" s="614">
        <v>18.8</v>
      </c>
      <c r="F9" s="621">
        <v>19.2</v>
      </c>
      <c r="G9" s="621">
        <v>20.7</v>
      </c>
      <c r="H9" s="621">
        <v>20.5</v>
      </c>
      <c r="I9" s="621">
        <v>21.1</v>
      </c>
      <c r="J9" s="621">
        <v>20.9</v>
      </c>
      <c r="K9" s="622">
        <v>23.5</v>
      </c>
      <c r="L9" s="622">
        <v>25.4</v>
      </c>
      <c r="M9" s="622">
        <v>27.4</v>
      </c>
      <c r="N9" s="622">
        <v>22</v>
      </c>
      <c r="O9" s="622">
        <v>21</v>
      </c>
      <c r="P9" s="622">
        <v>21.9</v>
      </c>
      <c r="Q9" s="622">
        <v>24.5</v>
      </c>
      <c r="R9" s="622">
        <v>26.2</v>
      </c>
      <c r="S9" s="622">
        <v>30.8</v>
      </c>
      <c r="T9" s="622">
        <v>23.5</v>
      </c>
      <c r="U9" s="622">
        <v>24.3</v>
      </c>
      <c r="V9" s="622">
        <v>26.3</v>
      </c>
      <c r="W9" s="622">
        <v>25.3</v>
      </c>
      <c r="X9" s="623">
        <v>26.4</v>
      </c>
      <c r="Y9" s="623">
        <v>26.7</v>
      </c>
      <c r="Z9" s="623">
        <v>25.4</v>
      </c>
      <c r="AA9" s="623">
        <v>25.9</v>
      </c>
      <c r="AB9" s="624">
        <v>25.3</v>
      </c>
      <c r="AC9" s="623"/>
      <c r="BS9" s="598"/>
      <c r="BT9" s="598"/>
    </row>
    <row r="10" spans="1:72" x14ac:dyDescent="0.25">
      <c r="A10" s="117"/>
      <c r="B10" s="132"/>
      <c r="D10" s="620" t="s">
        <v>304</v>
      </c>
      <c r="E10" s="625">
        <v>3.1</v>
      </c>
      <c r="F10" s="625">
        <v>1.5</v>
      </c>
      <c r="G10" s="625">
        <v>2</v>
      </c>
      <c r="H10" s="625">
        <v>1.5</v>
      </c>
      <c r="I10" s="625">
        <v>1.3</v>
      </c>
      <c r="J10" s="625">
        <v>2.9</v>
      </c>
      <c r="K10" s="626">
        <v>3.5</v>
      </c>
      <c r="L10" s="626">
        <v>4.3</v>
      </c>
      <c r="M10" s="626">
        <v>4.0999999999999996</v>
      </c>
      <c r="N10" s="626">
        <v>2</v>
      </c>
      <c r="O10" s="626">
        <v>-0.1</v>
      </c>
      <c r="P10" s="626">
        <v>-0.1</v>
      </c>
      <c r="Q10" s="626">
        <v>-1.3</v>
      </c>
      <c r="R10" s="626">
        <v>-0.9</v>
      </c>
      <c r="S10" s="626">
        <v>-0.6</v>
      </c>
      <c r="T10" s="626">
        <v>1.1000000000000001</v>
      </c>
      <c r="U10" s="626">
        <v>2.2000000000000002</v>
      </c>
      <c r="V10" s="626">
        <v>1.6</v>
      </c>
      <c r="W10" s="626">
        <v>-1.1000000000000001</v>
      </c>
      <c r="X10" s="627">
        <v>-2</v>
      </c>
      <c r="Y10" s="627">
        <v>-1.4</v>
      </c>
      <c r="Z10" s="627">
        <v>-1.1000000000000001</v>
      </c>
      <c r="AA10" s="627">
        <v>0.8</v>
      </c>
      <c r="AB10" s="628">
        <v>1.5</v>
      </c>
      <c r="AC10" s="623"/>
      <c r="BS10" s="598"/>
      <c r="BT10" s="598"/>
    </row>
    <row r="11" spans="1:72" x14ac:dyDescent="0.25">
      <c r="A11" s="117"/>
      <c r="B11" s="132"/>
      <c r="D11" s="629" t="s">
        <v>305</v>
      </c>
      <c r="E11" s="630">
        <v>0</v>
      </c>
      <c r="F11" s="631">
        <v>-1.6</v>
      </c>
      <c r="G11" s="631">
        <v>-1.1000000000000001</v>
      </c>
      <c r="H11" s="631">
        <v>-1.5</v>
      </c>
      <c r="I11" s="631">
        <v>-1.7</v>
      </c>
      <c r="J11" s="631">
        <v>-0.5</v>
      </c>
      <c r="K11" s="632">
        <v>-0.1</v>
      </c>
      <c r="L11" s="632">
        <v>0.3</v>
      </c>
      <c r="M11" s="632">
        <v>0.9</v>
      </c>
      <c r="N11" s="632">
        <v>-0.8</v>
      </c>
      <c r="O11" s="632">
        <v>-2.8</v>
      </c>
      <c r="P11" s="632">
        <v>-3.1</v>
      </c>
      <c r="Q11" s="632">
        <v>-4.5</v>
      </c>
      <c r="R11" s="632">
        <v>-5.4</v>
      </c>
      <c r="S11" s="632">
        <v>-5.5</v>
      </c>
      <c r="T11" s="632">
        <v>-2.7</v>
      </c>
      <c r="U11" s="632">
        <v>-1.5</v>
      </c>
      <c r="V11" s="632">
        <v>-2.2000000000000002</v>
      </c>
      <c r="W11" s="632">
        <v>-5.0999999999999996</v>
      </c>
      <c r="X11" s="633">
        <v>-5.8</v>
      </c>
      <c r="Y11" s="634">
        <v>-5.0999999999999996</v>
      </c>
      <c r="Z11" s="634">
        <v>-4.5999999999999996</v>
      </c>
      <c r="AA11" s="634">
        <v>-2.8</v>
      </c>
      <c r="AB11" s="635">
        <v>-2.5</v>
      </c>
      <c r="AC11" s="636"/>
      <c r="BS11" s="598"/>
    </row>
    <row r="12" spans="1:72" x14ac:dyDescent="0.25">
      <c r="A12" s="117"/>
      <c r="B12" s="132"/>
      <c r="F12" s="637"/>
      <c r="G12" s="637"/>
      <c r="H12" s="637"/>
      <c r="I12" s="637"/>
      <c r="J12" s="637"/>
      <c r="K12" s="637"/>
      <c r="L12" s="637"/>
      <c r="M12" s="637"/>
      <c r="N12" s="637"/>
      <c r="O12" s="637"/>
      <c r="P12" s="637"/>
      <c r="Q12" s="637"/>
      <c r="R12" s="637"/>
      <c r="S12" s="637"/>
      <c r="T12" s="637"/>
      <c r="U12" s="637"/>
      <c r="V12" s="637"/>
      <c r="W12" s="637"/>
      <c r="X12" s="637"/>
      <c r="Y12" s="637"/>
      <c r="Z12" s="637"/>
    </row>
    <row r="13" spans="1:72" x14ac:dyDescent="0.25">
      <c r="A13" s="117"/>
      <c r="B13" s="132"/>
      <c r="D13" s="638"/>
      <c r="E13" s="638"/>
      <c r="F13" s="621"/>
      <c r="G13" s="621"/>
      <c r="H13" s="621"/>
      <c r="I13" s="621"/>
      <c r="J13" s="621"/>
      <c r="K13" s="621"/>
      <c r="L13" s="621"/>
      <c r="M13" s="621"/>
      <c r="N13" s="621"/>
      <c r="O13" s="621"/>
      <c r="P13" s="621"/>
      <c r="Q13" s="621"/>
      <c r="R13" s="621"/>
      <c r="S13" s="621"/>
      <c r="T13" s="621"/>
      <c r="U13" s="621"/>
      <c r="V13" s="621"/>
      <c r="W13" s="621"/>
      <c r="X13" s="621"/>
      <c r="Y13" s="621"/>
      <c r="Z13" s="639"/>
    </row>
    <row r="14" spans="1:72" x14ac:dyDescent="0.25">
      <c r="A14" s="117">
        <v>5</v>
      </c>
      <c r="B14" s="117" t="s">
        <v>90</v>
      </c>
      <c r="D14" s="597"/>
      <c r="E14" s="597"/>
      <c r="F14" s="640"/>
      <c r="G14" s="640"/>
      <c r="H14" s="640"/>
      <c r="I14" s="640"/>
      <c r="J14" s="640"/>
      <c r="K14" s="640"/>
      <c r="L14" s="640"/>
      <c r="M14" s="640"/>
      <c r="N14" s="640"/>
      <c r="O14" s="640"/>
      <c r="P14" s="640"/>
      <c r="Q14" s="640"/>
      <c r="R14" s="640"/>
      <c r="S14" s="596"/>
      <c r="T14" s="596"/>
      <c r="U14" s="596"/>
      <c r="V14" s="596"/>
      <c r="W14" s="641"/>
      <c r="Y14" s="642"/>
      <c r="Z14" s="639"/>
      <c r="BS14" s="598"/>
    </row>
    <row r="15" spans="1:72" x14ac:dyDescent="0.25">
      <c r="A15" s="117"/>
      <c r="B15" s="132"/>
      <c r="C15" s="594"/>
      <c r="D15" s="597"/>
      <c r="E15" s="597"/>
      <c r="F15" s="640"/>
      <c r="G15" s="640"/>
      <c r="H15" s="640"/>
      <c r="I15" s="640"/>
      <c r="J15" s="640"/>
      <c r="K15" s="640"/>
      <c r="L15" s="640"/>
      <c r="M15" s="640"/>
      <c r="N15" s="640"/>
      <c r="O15" s="640"/>
      <c r="P15" s="643"/>
      <c r="Q15" s="640"/>
      <c r="R15" s="640"/>
      <c r="S15" s="596"/>
      <c r="T15" s="596"/>
      <c r="U15" s="596"/>
      <c r="V15" s="596"/>
      <c r="W15" s="641"/>
      <c r="Y15" s="642"/>
      <c r="BS15" s="598"/>
    </row>
    <row r="16" spans="1:72" x14ac:dyDescent="0.25">
      <c r="A16" s="117"/>
      <c r="B16" s="132"/>
      <c r="D16" s="597"/>
      <c r="E16" s="597"/>
      <c r="F16" s="640"/>
      <c r="G16" s="640"/>
      <c r="H16" s="640"/>
      <c r="I16" s="640"/>
      <c r="J16" s="640"/>
      <c r="K16" s="640"/>
      <c r="L16" s="640"/>
      <c r="M16" s="640"/>
      <c r="N16" s="640"/>
      <c r="O16" s="640"/>
      <c r="P16" s="643"/>
      <c r="Q16" s="640"/>
      <c r="R16" s="640"/>
      <c r="S16" s="596"/>
      <c r="T16" s="596"/>
      <c r="U16" s="596"/>
      <c r="V16" s="596"/>
      <c r="W16" s="641"/>
      <c r="BS16" s="598"/>
    </row>
    <row r="17" spans="1:71" x14ac:dyDescent="0.25">
      <c r="A17" s="117"/>
      <c r="B17" s="132"/>
      <c r="D17" s="597"/>
      <c r="E17" s="597"/>
      <c r="F17" s="640"/>
      <c r="G17" s="640"/>
      <c r="H17" s="640"/>
      <c r="I17" s="640"/>
      <c r="J17" s="640"/>
      <c r="K17" s="640"/>
      <c r="L17" s="640"/>
      <c r="M17" s="640"/>
      <c r="N17" s="640"/>
      <c r="O17" s="640"/>
      <c r="P17" s="643"/>
      <c r="Q17" s="640"/>
      <c r="R17" s="640"/>
      <c r="S17" s="596"/>
      <c r="T17" s="596"/>
      <c r="U17" s="596"/>
      <c r="V17" s="596"/>
      <c r="W17" s="641"/>
      <c r="BS17" s="598"/>
    </row>
    <row r="18" spans="1:71" x14ac:dyDescent="0.25">
      <c r="A18" s="117"/>
      <c r="B18" s="132"/>
      <c r="D18" s="597"/>
      <c r="E18" s="597"/>
      <c r="F18" s="640"/>
      <c r="G18" s="640"/>
      <c r="H18" s="640"/>
      <c r="I18" s="640"/>
      <c r="J18" s="640"/>
      <c r="K18" s="640"/>
      <c r="L18" s="640"/>
      <c r="M18" s="640"/>
      <c r="N18" s="640"/>
      <c r="O18" s="640"/>
      <c r="P18" s="643"/>
      <c r="Q18" s="640"/>
      <c r="R18" s="640"/>
      <c r="S18" s="596"/>
      <c r="T18" s="596"/>
      <c r="U18" s="596"/>
      <c r="V18" s="596"/>
      <c r="W18" s="641"/>
      <c r="BS18" s="598"/>
    </row>
    <row r="19" spans="1:71" x14ac:dyDescent="0.25">
      <c r="A19" s="117"/>
      <c r="B19" s="132"/>
      <c r="D19" s="597"/>
      <c r="E19" s="597"/>
      <c r="F19" s="640"/>
      <c r="G19" s="640"/>
      <c r="H19" s="640"/>
      <c r="I19" s="640"/>
      <c r="J19" s="640"/>
      <c r="K19" s="640"/>
      <c r="L19" s="640"/>
      <c r="M19" s="640"/>
      <c r="N19" s="640"/>
      <c r="O19" s="640"/>
      <c r="P19" s="643"/>
      <c r="Q19" s="640"/>
      <c r="R19" s="640"/>
      <c r="S19" s="596"/>
      <c r="T19" s="596"/>
      <c r="U19" s="596"/>
      <c r="V19" s="596"/>
      <c r="W19" s="641"/>
      <c r="BS19" s="598"/>
    </row>
    <row r="20" spans="1:71" x14ac:dyDescent="0.25">
      <c r="A20" s="117"/>
      <c r="B20" s="132"/>
      <c r="D20" s="597"/>
      <c r="E20" s="597"/>
      <c r="F20" s="640"/>
      <c r="G20" s="640"/>
      <c r="H20" s="640"/>
      <c r="I20" s="640"/>
      <c r="J20" s="640"/>
      <c r="K20" s="640"/>
      <c r="L20" s="640"/>
      <c r="M20" s="640"/>
      <c r="N20" s="640"/>
      <c r="O20" s="640"/>
      <c r="P20" s="640"/>
      <c r="Q20" s="640"/>
      <c r="R20" s="640"/>
      <c r="S20" s="596"/>
      <c r="T20" s="596"/>
      <c r="U20" s="596"/>
      <c r="V20" s="596"/>
      <c r="W20" s="644"/>
      <c r="BS20" s="598"/>
    </row>
    <row r="21" spans="1:71" x14ac:dyDescent="0.25">
      <c r="A21" s="117"/>
      <c r="B21" s="132"/>
      <c r="D21" s="597"/>
      <c r="E21" s="597"/>
      <c r="F21" s="640"/>
      <c r="G21" s="640"/>
      <c r="H21" s="640"/>
      <c r="I21" s="640"/>
      <c r="J21" s="640"/>
      <c r="K21" s="640"/>
      <c r="L21" s="640"/>
      <c r="M21" s="640"/>
      <c r="N21" s="640"/>
      <c r="O21" s="640"/>
      <c r="P21" s="640"/>
      <c r="Q21" s="640"/>
      <c r="R21" s="640"/>
      <c r="S21" s="596"/>
      <c r="T21" s="596"/>
      <c r="U21" s="596"/>
      <c r="V21" s="596"/>
      <c r="W21" s="644"/>
      <c r="BS21" s="598"/>
    </row>
    <row r="22" spans="1:71" x14ac:dyDescent="0.25">
      <c r="A22" s="117"/>
      <c r="B22" s="132"/>
      <c r="D22" s="597"/>
      <c r="E22" s="597"/>
      <c r="F22" s="640"/>
      <c r="G22" s="640"/>
      <c r="H22" s="640"/>
      <c r="I22" s="640"/>
      <c r="J22" s="640"/>
      <c r="K22" s="640"/>
      <c r="L22" s="640"/>
      <c r="M22" s="640"/>
      <c r="N22" s="640"/>
      <c r="O22" s="640"/>
      <c r="P22" s="640"/>
      <c r="Q22" s="640"/>
      <c r="R22" s="640"/>
      <c r="S22" s="596"/>
      <c r="T22" s="596"/>
      <c r="U22" s="596"/>
      <c r="V22" s="596"/>
      <c r="W22" s="641"/>
      <c r="BS22" s="598"/>
    </row>
    <row r="23" spans="1:71" x14ac:dyDescent="0.25">
      <c r="A23" s="117"/>
      <c r="B23" s="132"/>
      <c r="D23" s="597"/>
      <c r="E23" s="597"/>
      <c r="F23" s="640"/>
      <c r="G23" s="640"/>
      <c r="H23" s="640"/>
      <c r="I23" s="640"/>
      <c r="J23" s="640"/>
      <c r="K23" s="640"/>
      <c r="L23" s="640"/>
      <c r="M23" s="640"/>
      <c r="N23" s="640"/>
      <c r="O23" s="640"/>
      <c r="P23" s="640"/>
      <c r="Q23" s="640"/>
      <c r="R23" s="640"/>
      <c r="S23" s="596"/>
      <c r="T23" s="596"/>
      <c r="U23" s="596"/>
      <c r="V23" s="596"/>
      <c r="W23" s="641"/>
      <c r="BS23" s="598"/>
    </row>
    <row r="24" spans="1:71" x14ac:dyDescent="0.25">
      <c r="A24" s="117"/>
      <c r="B24" s="132"/>
      <c r="D24" s="597"/>
      <c r="E24" s="597"/>
      <c r="F24" s="640"/>
      <c r="G24" s="640"/>
      <c r="H24" s="640"/>
      <c r="I24" s="640"/>
      <c r="J24" s="640"/>
      <c r="K24" s="640"/>
      <c r="L24" s="640"/>
      <c r="M24" s="640"/>
      <c r="N24" s="640"/>
      <c r="O24" s="640"/>
      <c r="P24" s="640"/>
      <c r="Q24" s="640"/>
      <c r="R24" s="640"/>
      <c r="S24" s="596"/>
      <c r="T24" s="596"/>
      <c r="U24" s="596"/>
      <c r="V24" s="596"/>
      <c r="W24" s="641"/>
      <c r="BS24" s="598"/>
    </row>
    <row r="25" spans="1:71" x14ac:dyDescent="0.25">
      <c r="A25" s="117"/>
      <c r="B25" s="132"/>
      <c r="D25" s="597"/>
      <c r="E25" s="597"/>
      <c r="F25" s="640"/>
      <c r="G25" s="640"/>
      <c r="H25" s="640"/>
      <c r="I25" s="640"/>
      <c r="J25" s="640"/>
      <c r="K25" s="640"/>
      <c r="L25" s="640"/>
      <c r="M25" s="640"/>
      <c r="N25" s="640"/>
      <c r="O25" s="640"/>
      <c r="P25" s="640"/>
      <c r="Q25" s="640"/>
      <c r="R25" s="640"/>
      <c r="S25" s="596"/>
      <c r="T25" s="596"/>
      <c r="U25" s="596"/>
      <c r="V25" s="596"/>
      <c r="W25" s="641"/>
      <c r="BS25" s="598"/>
    </row>
    <row r="26" spans="1:71" x14ac:dyDescent="0.25">
      <c r="A26" s="117"/>
      <c r="B26" s="132"/>
      <c r="D26" s="597"/>
      <c r="E26" s="597"/>
      <c r="F26" s="640"/>
      <c r="G26" s="640"/>
      <c r="H26" s="640"/>
      <c r="I26" s="640"/>
      <c r="J26" s="640"/>
      <c r="K26" s="640"/>
      <c r="L26" s="640"/>
      <c r="M26" s="640"/>
      <c r="N26" s="640"/>
      <c r="O26" s="640"/>
      <c r="P26" s="640"/>
      <c r="Q26" s="640"/>
      <c r="R26" s="640"/>
      <c r="S26" s="596"/>
      <c r="T26" s="596"/>
      <c r="U26" s="596"/>
      <c r="V26" s="596"/>
      <c r="W26" s="641" t="s">
        <v>167</v>
      </c>
      <c r="BS26" s="598"/>
    </row>
    <row r="27" spans="1:71" x14ac:dyDescent="0.25">
      <c r="A27" s="117"/>
      <c r="B27" s="132"/>
      <c r="D27" s="597"/>
      <c r="E27" s="597"/>
      <c r="F27" s="640"/>
      <c r="G27" s="640"/>
      <c r="H27" s="640"/>
      <c r="I27" s="640"/>
      <c r="J27" s="640"/>
      <c r="K27" s="640"/>
      <c r="L27" s="640"/>
      <c r="M27" s="640"/>
      <c r="N27" s="640"/>
      <c r="O27" s="640"/>
      <c r="P27" s="640"/>
      <c r="Q27" s="640"/>
      <c r="R27" s="640"/>
      <c r="S27" s="596"/>
      <c r="T27" s="596"/>
      <c r="U27" s="596"/>
      <c r="V27" s="596"/>
      <c r="W27" s="641"/>
      <c r="BS27" s="598"/>
    </row>
    <row r="28" spans="1:71" x14ac:dyDescent="0.25">
      <c r="A28" s="117"/>
      <c r="B28" s="132"/>
      <c r="D28" s="597"/>
      <c r="E28" s="597"/>
      <c r="F28" s="597"/>
      <c r="G28" s="597"/>
      <c r="H28" s="597"/>
      <c r="I28" s="597"/>
      <c r="J28" s="597"/>
      <c r="K28" s="597"/>
      <c r="L28" s="597"/>
      <c r="M28" s="597"/>
      <c r="N28" s="597"/>
      <c r="O28" s="597"/>
      <c r="P28" s="597"/>
      <c r="Q28" s="597"/>
      <c r="R28" s="597"/>
      <c r="S28" s="596"/>
      <c r="T28" s="596"/>
      <c r="U28" s="596"/>
      <c r="V28" s="596"/>
      <c r="W28" s="641"/>
      <c r="BS28" s="598"/>
    </row>
    <row r="29" spans="1:71" x14ac:dyDescent="0.25">
      <c r="A29" s="117"/>
      <c r="B29" s="132"/>
      <c r="D29" s="597"/>
      <c r="E29" s="597"/>
      <c r="F29" s="597"/>
      <c r="G29" s="597"/>
      <c r="H29" s="597"/>
      <c r="I29" s="597"/>
      <c r="J29" s="597"/>
      <c r="K29" s="597"/>
      <c r="L29" s="597"/>
      <c r="M29" s="597"/>
      <c r="N29" s="597"/>
      <c r="O29" s="597"/>
      <c r="P29" s="597"/>
      <c r="Q29" s="597"/>
      <c r="R29" s="597"/>
      <c r="S29" s="596"/>
      <c r="T29" s="596"/>
      <c r="U29" s="596"/>
      <c r="V29" s="596"/>
      <c r="W29" s="641"/>
      <c r="BS29" s="598"/>
    </row>
    <row r="30" spans="1:71" x14ac:dyDescent="0.25">
      <c r="A30" s="117"/>
      <c r="B30" s="132"/>
      <c r="D30" s="597"/>
      <c r="E30" s="597"/>
      <c r="F30" s="597"/>
      <c r="G30" s="597"/>
      <c r="H30" s="597"/>
      <c r="I30" s="597"/>
      <c r="J30" s="597"/>
      <c r="K30" s="597"/>
      <c r="L30" s="597"/>
      <c r="M30" s="597"/>
      <c r="N30" s="597"/>
      <c r="O30" s="597"/>
      <c r="P30" s="597"/>
      <c r="Q30" s="597"/>
      <c r="R30" s="597"/>
      <c r="S30" s="596"/>
      <c r="T30" s="596"/>
      <c r="U30" s="596"/>
      <c r="V30" s="596"/>
      <c r="W30" s="641"/>
      <c r="BS30" s="598"/>
    </row>
    <row r="31" spans="1:71" x14ac:dyDescent="0.25">
      <c r="A31" s="117"/>
      <c r="B31" s="117"/>
      <c r="D31" s="597"/>
      <c r="E31" s="597"/>
      <c r="F31" s="597"/>
      <c r="G31" s="597"/>
      <c r="H31" s="597"/>
      <c r="I31" s="597"/>
      <c r="J31" s="597"/>
      <c r="K31" s="597"/>
      <c r="L31" s="597"/>
      <c r="M31" s="597"/>
      <c r="N31" s="597"/>
      <c r="O31" s="597"/>
      <c r="P31" s="597"/>
      <c r="Q31" s="597"/>
      <c r="R31" s="597"/>
      <c r="S31" s="596"/>
      <c r="T31" s="596"/>
      <c r="U31" s="596"/>
      <c r="V31" s="596"/>
      <c r="W31" s="641"/>
      <c r="BS31" s="598"/>
    </row>
    <row r="32" spans="1:71" x14ac:dyDescent="0.25">
      <c r="A32" s="117"/>
      <c r="B32" s="117"/>
      <c r="D32" s="597"/>
      <c r="E32" s="597"/>
      <c r="F32" s="597"/>
      <c r="G32" s="597"/>
      <c r="H32" s="597"/>
      <c r="I32" s="597"/>
      <c r="J32" s="597"/>
      <c r="K32" s="597"/>
      <c r="L32" s="597"/>
      <c r="M32" s="597"/>
      <c r="N32" s="597"/>
      <c r="O32" s="597"/>
      <c r="P32" s="597"/>
      <c r="Q32" s="597"/>
      <c r="R32" s="597"/>
      <c r="S32" s="596"/>
      <c r="T32" s="596"/>
      <c r="U32" s="596"/>
      <c r="V32" s="596"/>
      <c r="W32" s="641"/>
      <c r="BS32" s="598"/>
    </row>
    <row r="33" spans="1:71" ht="19.5" customHeight="1" x14ac:dyDescent="0.25">
      <c r="A33" s="117"/>
      <c r="B33" s="132"/>
      <c r="D33" s="597"/>
      <c r="E33" s="597"/>
      <c r="F33" s="597"/>
      <c r="G33" s="597"/>
      <c r="H33" s="597"/>
      <c r="I33" s="597"/>
      <c r="J33" s="597"/>
      <c r="K33" s="597"/>
      <c r="L33" s="597"/>
      <c r="M33" s="597"/>
      <c r="N33" s="597"/>
      <c r="O33" s="597"/>
      <c r="P33" s="597"/>
      <c r="Q33" s="597"/>
      <c r="R33" s="597"/>
      <c r="S33" s="596"/>
      <c r="T33" s="596"/>
      <c r="U33" s="596"/>
      <c r="V33" s="596"/>
      <c r="W33" s="641"/>
      <c r="BS33" s="598"/>
    </row>
    <row r="34" spans="1:71" ht="19.5" customHeight="1" x14ac:dyDescent="0.25">
      <c r="A34" s="117"/>
      <c r="B34" s="132"/>
      <c r="D34" s="597"/>
      <c r="E34" s="597"/>
      <c r="F34" s="597"/>
      <c r="G34" s="597"/>
      <c r="H34" s="597"/>
      <c r="I34" s="597"/>
      <c r="J34" s="597"/>
      <c r="K34" s="597"/>
      <c r="L34" s="597"/>
      <c r="M34" s="597"/>
      <c r="N34" s="597"/>
      <c r="O34" s="597"/>
      <c r="P34" s="597"/>
      <c r="Q34" s="597"/>
      <c r="R34" s="597"/>
      <c r="S34" s="596"/>
      <c r="T34" s="596"/>
      <c r="U34" s="596"/>
      <c r="V34" s="596"/>
      <c r="W34" s="641"/>
      <c r="BS34" s="598"/>
    </row>
    <row r="35" spans="1:71" ht="15" customHeight="1" x14ac:dyDescent="0.25">
      <c r="A35" s="117">
        <v>6</v>
      </c>
      <c r="B35" s="117" t="s">
        <v>29</v>
      </c>
      <c r="C35" s="594"/>
      <c r="D35" s="4129" t="s">
        <v>306</v>
      </c>
      <c r="E35" s="4130"/>
      <c r="F35" s="4130"/>
      <c r="G35" s="4130"/>
      <c r="H35" s="4130"/>
      <c r="I35" s="4130"/>
      <c r="J35" s="4130"/>
      <c r="K35" s="4130"/>
      <c r="L35" s="4130"/>
      <c r="M35" s="4130"/>
      <c r="N35" s="4130"/>
      <c r="O35" s="4130"/>
      <c r="P35" s="4130"/>
      <c r="Q35" s="4130"/>
      <c r="R35" s="4130"/>
      <c r="S35" s="4130"/>
      <c r="T35" s="4130"/>
      <c r="U35" s="4130"/>
      <c r="V35" s="4130"/>
      <c r="W35" s="4130"/>
      <c r="X35" s="4130"/>
      <c r="Y35" s="4130"/>
      <c r="Z35" s="4130"/>
      <c r="AA35" s="4131"/>
      <c r="AB35" s="270"/>
      <c r="AC35" s="645"/>
      <c r="AD35" s="645"/>
      <c r="AE35" s="645"/>
      <c r="AF35" s="645"/>
      <c r="AG35" s="645"/>
      <c r="AH35" s="645"/>
      <c r="AI35" s="645"/>
      <c r="AJ35" s="645"/>
      <c r="AK35" s="645"/>
      <c r="AL35" s="645"/>
      <c r="AM35" s="645"/>
      <c r="AN35" s="645"/>
      <c r="AO35" s="645"/>
      <c r="AP35" s="645"/>
      <c r="AQ35" s="645"/>
      <c r="AR35" s="645"/>
      <c r="AS35" s="645"/>
      <c r="AT35" s="645"/>
      <c r="BS35" s="598"/>
    </row>
    <row r="36" spans="1:71" ht="55.5" customHeight="1" x14ac:dyDescent="0.25">
      <c r="A36" s="117">
        <v>7</v>
      </c>
      <c r="B36" s="117" t="s">
        <v>32</v>
      </c>
      <c r="C36" s="646"/>
      <c r="D36" s="4132" t="s">
        <v>307</v>
      </c>
      <c r="E36" s="4133"/>
      <c r="F36" s="4133"/>
      <c r="G36" s="4133"/>
      <c r="H36" s="4133"/>
      <c r="I36" s="4133"/>
      <c r="J36" s="4133"/>
      <c r="K36" s="4133"/>
      <c r="L36" s="4133"/>
      <c r="M36" s="4133"/>
      <c r="N36" s="4133"/>
      <c r="O36" s="4133"/>
      <c r="P36" s="4133"/>
      <c r="Q36" s="4133"/>
      <c r="R36" s="4133"/>
      <c r="S36" s="4133"/>
      <c r="T36" s="4133"/>
      <c r="U36" s="4133"/>
      <c r="V36" s="4133"/>
      <c r="W36" s="4133"/>
      <c r="X36" s="4133"/>
      <c r="Y36" s="4133"/>
      <c r="Z36" s="4133"/>
      <c r="AA36" s="4134"/>
      <c r="AB36" s="354"/>
      <c r="AC36" s="647"/>
      <c r="AD36" s="647"/>
      <c r="AE36" s="647"/>
      <c r="AF36" s="647"/>
      <c r="AG36" s="647"/>
      <c r="AH36" s="647"/>
      <c r="AI36" s="648"/>
      <c r="AJ36" s="648"/>
      <c r="AK36" s="648"/>
      <c r="AL36" s="648"/>
      <c r="AM36" s="648"/>
      <c r="AN36" s="648"/>
      <c r="AO36" s="648"/>
      <c r="AP36" s="648"/>
      <c r="AQ36" s="648"/>
      <c r="AR36" s="648"/>
      <c r="AS36" s="648"/>
      <c r="AT36" s="648"/>
      <c r="BS36" s="598"/>
    </row>
    <row r="37" spans="1:71" ht="15" customHeight="1" x14ac:dyDescent="0.25">
      <c r="A37" s="117">
        <v>8</v>
      </c>
      <c r="B37" s="117" t="s">
        <v>31</v>
      </c>
      <c r="C37" s="594"/>
      <c r="D37" s="4129" t="s">
        <v>308</v>
      </c>
      <c r="E37" s="4130"/>
      <c r="F37" s="4130"/>
      <c r="G37" s="4130"/>
      <c r="H37" s="4130"/>
      <c r="I37" s="4130"/>
      <c r="J37" s="4130"/>
      <c r="K37" s="4130"/>
      <c r="L37" s="4130"/>
      <c r="M37" s="4130"/>
      <c r="N37" s="4130"/>
      <c r="O37" s="4130"/>
      <c r="P37" s="4130"/>
      <c r="Q37" s="4130"/>
      <c r="R37" s="4130"/>
      <c r="S37" s="4130"/>
      <c r="T37" s="4130"/>
      <c r="U37" s="4130"/>
      <c r="V37" s="4130"/>
      <c r="W37" s="4130"/>
      <c r="X37" s="4130"/>
      <c r="Y37" s="4130"/>
      <c r="Z37" s="4130"/>
      <c r="AA37" s="4131"/>
      <c r="AB37" s="270"/>
      <c r="AC37" s="645"/>
      <c r="AD37" s="645"/>
      <c r="AE37" s="645"/>
      <c r="AF37" s="645"/>
      <c r="AG37" s="645"/>
      <c r="AH37" s="645"/>
      <c r="AI37" s="648"/>
      <c r="AJ37" s="648"/>
      <c r="AK37" s="648"/>
      <c r="AL37" s="648"/>
      <c r="AM37" s="648"/>
      <c r="AN37" s="648"/>
      <c r="AO37" s="648"/>
      <c r="AP37" s="648"/>
      <c r="AQ37" s="648"/>
      <c r="AR37" s="648"/>
      <c r="AS37" s="648"/>
      <c r="AT37" s="648"/>
      <c r="BS37" s="598"/>
    </row>
    <row r="38" spans="1:71" ht="37.15" customHeight="1" x14ac:dyDescent="0.25">
      <c r="A38" s="117">
        <v>9</v>
      </c>
      <c r="B38" s="117" t="s">
        <v>34</v>
      </c>
      <c r="C38" s="649"/>
      <c r="D38" s="4129" t="s">
        <v>309</v>
      </c>
      <c r="E38" s="4130"/>
      <c r="F38" s="4130"/>
      <c r="G38" s="4130"/>
      <c r="H38" s="4130"/>
      <c r="I38" s="4130"/>
      <c r="J38" s="4130"/>
      <c r="K38" s="4130"/>
      <c r="L38" s="4130"/>
      <c r="M38" s="4130"/>
      <c r="N38" s="4130"/>
      <c r="O38" s="4130"/>
      <c r="P38" s="4130"/>
      <c r="Q38" s="4130"/>
      <c r="R38" s="4130"/>
      <c r="S38" s="4130"/>
      <c r="T38" s="4130"/>
      <c r="U38" s="4130"/>
      <c r="V38" s="4130"/>
      <c r="W38" s="4130"/>
      <c r="X38" s="4130"/>
      <c r="Y38" s="4130"/>
      <c r="Z38" s="4130"/>
      <c r="AA38" s="4131"/>
      <c r="AB38" s="270"/>
      <c r="AC38" s="648"/>
      <c r="AD38" s="648"/>
      <c r="AE38" s="648"/>
      <c r="AF38" s="648"/>
      <c r="AG38" s="648"/>
      <c r="AH38" s="648"/>
      <c r="AI38" s="648"/>
      <c r="AJ38" s="648"/>
      <c r="AK38" s="648"/>
      <c r="AL38" s="648"/>
      <c r="AM38" s="648"/>
      <c r="AN38" s="648"/>
      <c r="AO38" s="648"/>
      <c r="AP38" s="648"/>
      <c r="AQ38" s="648"/>
      <c r="AR38" s="648"/>
      <c r="AS38" s="648"/>
      <c r="AT38" s="648"/>
      <c r="BS38" s="598"/>
    </row>
    <row r="39" spans="1:71" x14ac:dyDescent="0.25">
      <c r="B39" s="132"/>
      <c r="W39" s="641"/>
      <c r="BS39" s="598"/>
    </row>
    <row r="40" spans="1:71" hidden="1" x14ac:dyDescent="0.25">
      <c r="B40" s="132"/>
      <c r="C40" s="650"/>
      <c r="D40" s="651">
        <v>34424</v>
      </c>
      <c r="E40" s="651"/>
      <c r="F40" s="651">
        <v>34515</v>
      </c>
      <c r="G40" s="651">
        <v>34607</v>
      </c>
      <c r="H40" s="651">
        <v>34699</v>
      </c>
      <c r="I40" s="651">
        <v>34789</v>
      </c>
      <c r="J40" s="651">
        <v>34880</v>
      </c>
      <c r="K40" s="651">
        <v>34972</v>
      </c>
      <c r="L40" s="651">
        <v>35064</v>
      </c>
      <c r="M40" s="651">
        <v>35155</v>
      </c>
      <c r="N40" s="651">
        <v>35246</v>
      </c>
      <c r="O40" s="651">
        <v>35338</v>
      </c>
      <c r="P40" s="651">
        <v>35430</v>
      </c>
      <c r="Q40" s="651">
        <v>35520</v>
      </c>
      <c r="R40" s="651">
        <v>35611</v>
      </c>
      <c r="S40" s="652">
        <v>35703</v>
      </c>
      <c r="T40" s="652">
        <v>35795</v>
      </c>
      <c r="U40" s="652"/>
      <c r="V40" s="652"/>
      <c r="W40" s="652">
        <v>35885</v>
      </c>
      <c r="X40" s="652">
        <v>35976</v>
      </c>
      <c r="Y40" s="652">
        <v>36068</v>
      </c>
      <c r="Z40" s="652">
        <v>36250</v>
      </c>
      <c r="AA40" s="652"/>
      <c r="AB40" s="652">
        <v>36341</v>
      </c>
      <c r="AC40" s="652">
        <v>36433</v>
      </c>
      <c r="AD40" s="652">
        <v>36525</v>
      </c>
      <c r="AE40" s="652">
        <v>36616</v>
      </c>
      <c r="AF40" s="652">
        <v>36707</v>
      </c>
      <c r="AG40" s="652">
        <v>36799</v>
      </c>
      <c r="AH40" s="652">
        <v>36891</v>
      </c>
      <c r="AI40" s="653">
        <v>36981</v>
      </c>
      <c r="AJ40" s="653">
        <v>37072</v>
      </c>
      <c r="AK40" s="653">
        <v>37164</v>
      </c>
      <c r="AL40" s="653">
        <v>37256</v>
      </c>
      <c r="AM40" s="652">
        <v>37346</v>
      </c>
      <c r="AN40" s="652">
        <v>37437</v>
      </c>
      <c r="AO40" s="652">
        <v>37529</v>
      </c>
      <c r="AP40" s="652">
        <v>37621</v>
      </c>
      <c r="AQ40" s="652">
        <v>37711</v>
      </c>
      <c r="AR40" s="652">
        <v>37802</v>
      </c>
      <c r="AS40" s="652">
        <v>37894</v>
      </c>
      <c r="AT40" s="652">
        <v>37986</v>
      </c>
      <c r="AU40" s="652">
        <v>38077</v>
      </c>
      <c r="AV40" s="652">
        <v>38168</v>
      </c>
      <c r="AW40" s="652">
        <v>38260</v>
      </c>
      <c r="AX40" s="652">
        <v>38352</v>
      </c>
      <c r="AY40" s="652">
        <v>38442</v>
      </c>
      <c r="AZ40" s="652">
        <v>38533</v>
      </c>
      <c r="BA40" s="652">
        <v>38625</v>
      </c>
      <c r="BB40" s="652">
        <v>38717</v>
      </c>
      <c r="BC40" s="652">
        <v>38807</v>
      </c>
      <c r="BD40" s="652">
        <v>38898</v>
      </c>
      <c r="BE40" s="652">
        <v>38990</v>
      </c>
      <c r="BF40" s="652">
        <v>39082</v>
      </c>
      <c r="BG40" s="652">
        <v>39172</v>
      </c>
      <c r="BH40" s="652">
        <v>39263</v>
      </c>
      <c r="BI40" s="652">
        <v>39355</v>
      </c>
      <c r="BJ40" s="652">
        <v>39447</v>
      </c>
    </row>
    <row r="41" spans="1:71" hidden="1" x14ac:dyDescent="0.25">
      <c r="B41" s="132" t="str">
        <f>D2</f>
        <v>Balance of payments</v>
      </c>
      <c r="C41" s="654"/>
      <c r="D41" s="655">
        <v>21.762213666649085</v>
      </c>
      <c r="E41" s="655"/>
      <c r="F41" s="655">
        <v>22.090779639881028</v>
      </c>
      <c r="G41" s="655">
        <v>23.307022207680667</v>
      </c>
      <c r="H41" s="655">
        <v>21.262635775726753</v>
      </c>
      <c r="I41" s="655">
        <v>22.735529747857409</v>
      </c>
      <c r="J41" s="655">
        <v>21.723759872910748</v>
      </c>
      <c r="K41" s="655">
        <v>23.324918146395966</v>
      </c>
      <c r="L41" s="655">
        <v>23.240190828546393</v>
      </c>
      <c r="M41" s="655">
        <v>22.575924903368303</v>
      </c>
      <c r="N41" s="655">
        <v>23.626916082099246</v>
      </c>
      <c r="O41" s="655">
        <v>26.79138722202612</v>
      </c>
      <c r="P41" s="655">
        <v>25.692670098338589</v>
      </c>
      <c r="Q41" s="655">
        <v>23.099889580467465</v>
      </c>
      <c r="R41" s="655">
        <v>23.581279806892351</v>
      </c>
      <c r="S41" s="66">
        <v>25.873345031105437</v>
      </c>
      <c r="T41" s="66">
        <v>25.673733279972044</v>
      </c>
      <c r="U41" s="66"/>
      <c r="V41" s="66"/>
      <c r="W41" s="66">
        <v>26.060011010153179</v>
      </c>
      <c r="X41" s="66">
        <v>24.478131479710783</v>
      </c>
      <c r="Y41" s="66">
        <v>27.048504266725882</v>
      </c>
      <c r="Z41" s="66">
        <v>27.031190237921837</v>
      </c>
      <c r="AA41" s="66"/>
      <c r="AB41" s="66">
        <v>23.588547530963488</v>
      </c>
      <c r="AC41" s="66">
        <v>25.194968433682163</v>
      </c>
      <c r="AD41" s="66">
        <v>25.582200108490298</v>
      </c>
      <c r="AE41" s="66">
        <v>27.348450223395425</v>
      </c>
      <c r="AF41" s="66">
        <v>26.789343416677369</v>
      </c>
      <c r="AG41" s="66">
        <v>26.96931807252092</v>
      </c>
      <c r="AH41" s="66">
        <v>30.226819582447639</v>
      </c>
      <c r="AI41" s="66">
        <v>29.555814258542661</v>
      </c>
      <c r="AJ41" s="66">
        <v>30.773899246330821</v>
      </c>
      <c r="AK41" s="66">
        <v>28.736241621127917</v>
      </c>
      <c r="AL41" s="66">
        <v>31.392831187609904</v>
      </c>
      <c r="AM41" s="66">
        <v>34.340300696736342</v>
      </c>
      <c r="AN41" s="66">
        <v>33.1040309369344</v>
      </c>
      <c r="AO41" s="66">
        <v>31.880325077554122</v>
      </c>
      <c r="AP41" s="66">
        <v>32.767555043598399</v>
      </c>
      <c r="AQ41" s="66">
        <v>30.200556771518688</v>
      </c>
      <c r="AR41" s="66">
        <v>27.681508120352717</v>
      </c>
      <c r="AS41" s="66">
        <v>27.543296945337119</v>
      </c>
      <c r="AT41" s="66">
        <v>26.932803691047486</v>
      </c>
      <c r="AU41" s="66">
        <v>26.417752942848416</v>
      </c>
      <c r="AV41" s="66">
        <v>26.829758361822449</v>
      </c>
      <c r="AW41" s="66">
        <v>26.261854076630552</v>
      </c>
      <c r="AX41" s="66">
        <v>27.102701490373697</v>
      </c>
      <c r="AY41" s="66">
        <v>25.780972543794206</v>
      </c>
      <c r="AZ41" s="66">
        <v>28.26753310446297</v>
      </c>
      <c r="BA41" s="66">
        <v>27.854661657556896</v>
      </c>
      <c r="BB41" s="66">
        <v>27.916742742377217</v>
      </c>
      <c r="BC41" s="66">
        <v>26.1</v>
      </c>
      <c r="BD41" s="66">
        <v>28.7</v>
      </c>
      <c r="BE41" s="66">
        <v>30.7</v>
      </c>
      <c r="BF41" s="66">
        <v>32.700000000000003</v>
      </c>
      <c r="BG41" s="66">
        <v>31</v>
      </c>
      <c r="BH41" s="66">
        <v>32.200000000000003</v>
      </c>
      <c r="BI41" s="66">
        <v>31.3</v>
      </c>
      <c r="BJ41" s="66">
        <v>32.1</v>
      </c>
    </row>
    <row r="42" spans="1:71" hidden="1" x14ac:dyDescent="0.25">
      <c r="B42" s="132"/>
      <c r="G42" s="563"/>
      <c r="H42" s="563"/>
      <c r="I42" s="563"/>
      <c r="J42" s="563"/>
      <c r="K42" s="563"/>
      <c r="L42" s="563"/>
      <c r="M42" s="563"/>
      <c r="N42" s="563"/>
      <c r="O42" s="563"/>
    </row>
    <row r="43" spans="1:71" hidden="1" x14ac:dyDescent="0.25">
      <c r="B43" s="132"/>
      <c r="G43" s="563"/>
      <c r="H43" s="563"/>
      <c r="I43" s="563"/>
      <c r="J43" s="563"/>
      <c r="K43" s="563"/>
      <c r="L43" s="563"/>
      <c r="M43" s="563"/>
      <c r="N43" s="563"/>
      <c r="O43" s="563"/>
    </row>
    <row r="44" spans="1:71" hidden="1" x14ac:dyDescent="0.25">
      <c r="B44" s="132"/>
      <c r="D44" s="656"/>
      <c r="E44" s="656"/>
      <c r="F44" s="657"/>
      <c r="G44" s="657"/>
      <c r="H44" s="657"/>
      <c r="I44" s="657"/>
      <c r="J44" s="657"/>
      <c r="K44" s="657"/>
      <c r="L44" s="657"/>
      <c r="M44" s="657"/>
      <c r="N44" s="657"/>
      <c r="O44" s="657"/>
      <c r="P44" s="657"/>
      <c r="Q44" s="657"/>
      <c r="R44" s="657"/>
      <c r="S44" s="657"/>
      <c r="T44" s="657"/>
      <c r="U44" s="657"/>
      <c r="V44" s="657"/>
    </row>
    <row r="45" spans="1:71" hidden="1" x14ac:dyDescent="0.25">
      <c r="B45" s="132"/>
      <c r="D45" s="658"/>
      <c r="E45" s="658"/>
      <c r="F45" s="659"/>
      <c r="G45" s="659"/>
      <c r="H45" s="659"/>
      <c r="I45" s="659"/>
      <c r="J45" s="659"/>
      <c r="K45" s="659"/>
      <c r="L45" s="659"/>
      <c r="M45" s="659"/>
      <c r="N45" s="659"/>
      <c r="O45" s="659"/>
      <c r="P45" s="659"/>
      <c r="Q45" s="659"/>
      <c r="R45" s="658"/>
      <c r="S45" s="660"/>
      <c r="T45" s="660"/>
      <c r="U45" s="660"/>
      <c r="V45" s="660"/>
    </row>
    <row r="46" spans="1:71" hidden="1" x14ac:dyDescent="0.25">
      <c r="B46" s="132"/>
      <c r="D46" s="661"/>
      <c r="E46" s="661"/>
      <c r="F46" s="662"/>
      <c r="G46" s="662"/>
      <c r="H46" s="662"/>
      <c r="I46" s="662"/>
      <c r="J46" s="662"/>
      <c r="K46" s="662"/>
      <c r="L46" s="662"/>
      <c r="M46" s="662"/>
      <c r="N46" s="662"/>
      <c r="O46" s="662"/>
      <c r="P46" s="662"/>
      <c r="Q46" s="662"/>
      <c r="R46" s="662"/>
      <c r="S46" s="662"/>
      <c r="T46" s="662"/>
      <c r="U46" s="662"/>
      <c r="V46" s="662"/>
    </row>
    <row r="47" spans="1:71" hidden="1" x14ac:dyDescent="0.25">
      <c r="B47" s="132"/>
      <c r="D47" s="661"/>
      <c r="E47" s="661"/>
      <c r="F47" s="663"/>
      <c r="G47" s="663"/>
      <c r="H47" s="663"/>
      <c r="I47" s="663"/>
      <c r="J47" s="663"/>
      <c r="K47" s="663"/>
      <c r="L47" s="663"/>
      <c r="M47" s="663"/>
      <c r="N47" s="663"/>
      <c r="O47" s="663"/>
      <c r="P47" s="663"/>
      <c r="Q47" s="663"/>
      <c r="R47" s="661"/>
      <c r="S47" s="664"/>
      <c r="T47" s="664"/>
      <c r="U47" s="664"/>
      <c r="V47" s="664"/>
    </row>
    <row r="48" spans="1:71" hidden="1" x14ac:dyDescent="0.25">
      <c r="B48" s="132"/>
      <c r="D48" s="661"/>
      <c r="E48" s="661"/>
      <c r="F48" s="662"/>
      <c r="G48" s="662"/>
      <c r="H48" s="662"/>
      <c r="I48" s="662"/>
      <c r="J48" s="662"/>
      <c r="K48" s="662"/>
      <c r="L48" s="662"/>
      <c r="M48" s="662"/>
      <c r="N48" s="662"/>
      <c r="O48" s="662"/>
      <c r="P48" s="662"/>
      <c r="Q48" s="662"/>
      <c r="R48" s="662"/>
      <c r="S48" s="662"/>
      <c r="T48" s="662"/>
      <c r="U48" s="662"/>
      <c r="V48" s="662"/>
    </row>
    <row r="49" spans="1:30" hidden="1" x14ac:dyDescent="0.25">
      <c r="B49" s="132"/>
      <c r="G49" s="563"/>
      <c r="H49" s="563"/>
      <c r="I49" s="563"/>
      <c r="J49" s="563"/>
      <c r="K49" s="563"/>
      <c r="L49" s="563"/>
      <c r="M49" s="563"/>
      <c r="N49" s="563"/>
      <c r="O49" s="563"/>
    </row>
    <row r="50" spans="1:30" hidden="1" x14ac:dyDescent="0.25">
      <c r="B50" s="576"/>
      <c r="G50" s="563"/>
      <c r="H50" s="563"/>
      <c r="I50" s="563"/>
      <c r="J50" s="563"/>
      <c r="K50" s="563"/>
      <c r="L50" s="563"/>
      <c r="M50" s="563"/>
      <c r="N50" s="563"/>
      <c r="O50" s="563"/>
    </row>
    <row r="51" spans="1:30" hidden="1" x14ac:dyDescent="0.25">
      <c r="B51" s="132"/>
      <c r="G51" s="563"/>
      <c r="H51" s="563"/>
      <c r="I51" s="563"/>
      <c r="J51" s="563"/>
      <c r="K51" s="563"/>
      <c r="L51" s="563"/>
      <c r="M51" s="563"/>
      <c r="N51" s="563"/>
      <c r="O51" s="563"/>
    </row>
    <row r="52" spans="1:30" hidden="1" x14ac:dyDescent="0.25">
      <c r="A52" s="665"/>
      <c r="B52" s="576">
        <v>1992</v>
      </c>
      <c r="C52" s="665">
        <v>1993</v>
      </c>
      <c r="D52" s="642">
        <v>1994</v>
      </c>
      <c r="E52" s="642"/>
      <c r="F52" s="642">
        <v>1995</v>
      </c>
      <c r="G52" s="642">
        <v>1996</v>
      </c>
      <c r="H52" s="642">
        <v>1997</v>
      </c>
      <c r="I52" s="642">
        <v>1998</v>
      </c>
      <c r="J52" s="642">
        <v>1999</v>
      </c>
      <c r="K52" s="642">
        <v>2000</v>
      </c>
      <c r="L52" s="642">
        <v>2001</v>
      </c>
      <c r="M52" s="642">
        <v>2002</v>
      </c>
      <c r="N52" s="642">
        <v>2003</v>
      </c>
      <c r="O52" s="642">
        <v>2004</v>
      </c>
      <c r="P52" s="642">
        <v>2005</v>
      </c>
      <c r="Q52" s="642">
        <v>2006</v>
      </c>
    </row>
    <row r="53" spans="1:30" hidden="1" x14ac:dyDescent="0.25">
      <c r="A53" s="665" t="s">
        <v>310</v>
      </c>
      <c r="B53" s="132">
        <v>160.21498</v>
      </c>
      <c r="C53" s="665">
        <v>176.84388000000001</v>
      </c>
      <c r="D53" s="642">
        <v>181.23876999999999</v>
      </c>
      <c r="E53" s="642"/>
      <c r="F53" s="642">
        <v>201.06291000000002</v>
      </c>
      <c r="G53" s="642">
        <v>215.54748000000001</v>
      </c>
      <c r="H53" s="642">
        <v>226.96107999999998</v>
      </c>
      <c r="I53" s="642">
        <v>234.32900000000001</v>
      </c>
      <c r="J53" s="642">
        <v>237.28399999999999</v>
      </c>
      <c r="K53" s="642">
        <v>257.01100000000002</v>
      </c>
      <c r="L53" s="642">
        <v>263.161</v>
      </c>
      <c r="M53" s="642">
        <v>265.76400000000001</v>
      </c>
      <c r="N53" s="642">
        <v>266.05500000000001</v>
      </c>
      <c r="O53" s="642">
        <v>273.69400000000002</v>
      </c>
      <c r="P53" s="642">
        <v>295.58</v>
      </c>
      <c r="Q53" s="642">
        <v>312.173</v>
      </c>
    </row>
    <row r="54" spans="1:30" hidden="1" x14ac:dyDescent="0.25">
      <c r="A54" s="665" t="s">
        <v>311</v>
      </c>
      <c r="B54" s="576">
        <v>21.34</v>
      </c>
      <c r="C54" s="665">
        <v>22.48</v>
      </c>
      <c r="D54" s="642">
        <v>22.1</v>
      </c>
      <c r="E54" s="642"/>
      <c r="F54" s="642">
        <v>22.77</v>
      </c>
      <c r="G54" s="642">
        <v>24.73</v>
      </c>
      <c r="H54" s="642">
        <v>24.6</v>
      </c>
      <c r="I54" s="642">
        <v>25.65</v>
      </c>
      <c r="J54" s="642">
        <v>25.33</v>
      </c>
      <c r="K54" s="642">
        <v>27.87</v>
      </c>
      <c r="L54" s="642">
        <v>30.13</v>
      </c>
      <c r="M54" s="642">
        <v>32.99</v>
      </c>
      <c r="N54" s="642">
        <v>28.06</v>
      </c>
      <c r="O54" s="642">
        <v>26.71</v>
      </c>
      <c r="P54" s="642">
        <v>27.45</v>
      </c>
      <c r="Q54" s="642">
        <v>29.63</v>
      </c>
    </row>
    <row r="55" spans="1:30" hidden="1" x14ac:dyDescent="0.25">
      <c r="A55" s="665" t="s">
        <v>312</v>
      </c>
      <c r="B55" s="576">
        <v>62.34</v>
      </c>
      <c r="C55" s="665">
        <v>68.81</v>
      </c>
      <c r="D55" s="642">
        <v>70.52</v>
      </c>
      <c r="E55" s="642"/>
      <c r="F55" s="642">
        <v>78.23</v>
      </c>
      <c r="G55" s="642">
        <v>83.87</v>
      </c>
      <c r="H55" s="642">
        <v>87.14</v>
      </c>
      <c r="I55" s="642">
        <v>91.17</v>
      </c>
      <c r="J55" s="642">
        <v>85.65</v>
      </c>
      <c r="K55" s="642">
        <v>100</v>
      </c>
      <c r="L55" s="642">
        <v>102.31</v>
      </c>
      <c r="M55" s="642">
        <v>103.41</v>
      </c>
      <c r="N55" s="642">
        <v>103.52</v>
      </c>
      <c r="O55" s="642">
        <v>106.49</v>
      </c>
      <c r="P55" s="642">
        <v>115.01</v>
      </c>
      <c r="Q55" s="642">
        <v>121.46</v>
      </c>
    </row>
    <row r="56" spans="1:30" hidden="1" x14ac:dyDescent="0.25">
      <c r="B56" s="117"/>
    </row>
    <row r="57" spans="1:30" hidden="1" x14ac:dyDescent="0.25">
      <c r="B57" s="144"/>
    </row>
    <row r="58" spans="1:30" hidden="1" x14ac:dyDescent="0.25">
      <c r="B58" s="117"/>
      <c r="D58" s="643" t="s">
        <v>6</v>
      </c>
      <c r="E58" s="643"/>
      <c r="F58" s="643" t="s">
        <v>298</v>
      </c>
      <c r="G58" s="643"/>
      <c r="H58" s="643"/>
      <c r="I58" s="643"/>
      <c r="J58" s="640"/>
      <c r="K58" s="643"/>
      <c r="L58" s="640"/>
      <c r="M58" s="640"/>
      <c r="N58" s="261"/>
      <c r="O58" s="261"/>
      <c r="P58" s="261"/>
      <c r="Q58" s="261"/>
      <c r="R58" s="261"/>
      <c r="S58" s="261"/>
      <c r="T58" s="261"/>
      <c r="U58" s="261"/>
      <c r="V58" s="261"/>
    </row>
    <row r="59" spans="1:30" hidden="1" x14ac:dyDescent="0.25">
      <c r="B59" s="117"/>
      <c r="D59" s="666"/>
      <c r="E59" s="666"/>
      <c r="F59" s="667">
        <v>2000</v>
      </c>
      <c r="G59" s="667">
        <v>2001</v>
      </c>
      <c r="H59" s="667">
        <v>2002</v>
      </c>
      <c r="I59" s="667">
        <v>2003</v>
      </c>
      <c r="J59" s="667">
        <v>2004</v>
      </c>
      <c r="K59" s="667">
        <v>2005</v>
      </c>
      <c r="L59" s="667">
        <v>2006</v>
      </c>
      <c r="M59" s="667">
        <v>2007</v>
      </c>
      <c r="N59" s="261"/>
      <c r="O59" s="261"/>
      <c r="P59" s="261"/>
      <c r="Q59" s="261"/>
      <c r="R59" s="261"/>
      <c r="S59" s="261"/>
      <c r="T59" s="261"/>
      <c r="U59" s="261"/>
      <c r="V59" s="261"/>
    </row>
    <row r="60" spans="1:30" hidden="1" x14ac:dyDescent="0.25">
      <c r="D60" s="668" t="s">
        <v>313</v>
      </c>
      <c r="E60" s="668"/>
      <c r="F60" s="669">
        <v>21.062020413209158</v>
      </c>
      <c r="G60" s="669">
        <v>23.191605547805064</v>
      </c>
      <c r="H60" s="669">
        <v>24.780375443120942</v>
      </c>
      <c r="I60" s="669">
        <v>20.570273651079209</v>
      </c>
      <c r="J60" s="669">
        <v>20.197309815539832</v>
      </c>
      <c r="K60" s="669">
        <v>21.097655066262529</v>
      </c>
      <c r="L60" s="669">
        <v>22.918783431482296</v>
      </c>
      <c r="M60" s="669">
        <v>24.867771305796595</v>
      </c>
      <c r="N60" s="261"/>
      <c r="O60" s="261"/>
      <c r="P60" s="261"/>
      <c r="Q60" s="261"/>
      <c r="R60" s="261"/>
      <c r="S60" s="261"/>
      <c r="T60" s="261"/>
      <c r="U60" s="261"/>
      <c r="V60" s="261"/>
    </row>
    <row r="61" spans="1:30" hidden="1" x14ac:dyDescent="0.25">
      <c r="D61" s="668" t="s">
        <v>314</v>
      </c>
      <c r="E61" s="668"/>
      <c r="F61" s="669">
        <v>3.0188212738085425</v>
      </c>
      <c r="G61" s="669">
        <v>2.8701763811424823</v>
      </c>
      <c r="H61" s="669">
        <v>3.7343233801004363</v>
      </c>
      <c r="I61" s="669">
        <v>2.5466945560893888</v>
      </c>
      <c r="J61" s="669">
        <v>2.0566602812589356</v>
      </c>
      <c r="K61" s="669">
        <v>1.7535253171990575</v>
      </c>
      <c r="L61" s="669">
        <v>2.0372634847371804</v>
      </c>
      <c r="M61" s="669">
        <v>2.0010090807234486</v>
      </c>
      <c r="N61" s="261"/>
      <c r="O61" s="261"/>
      <c r="P61" s="261"/>
      <c r="Q61" s="261"/>
      <c r="R61" s="261"/>
      <c r="S61" s="261"/>
      <c r="T61" s="261"/>
      <c r="U61" s="261"/>
      <c r="V61" s="261"/>
      <c r="AD61" s="598" t="s">
        <v>97</v>
      </c>
    </row>
    <row r="62" spans="1:30" hidden="1" x14ac:dyDescent="0.25">
      <c r="D62" s="668" t="s">
        <v>315</v>
      </c>
      <c r="E62" s="668"/>
      <c r="F62" s="669">
        <v>24.080841687017699</v>
      </c>
      <c r="G62" s="669">
        <v>26.061781928947546</v>
      </c>
      <c r="H62" s="669">
        <v>28.51469882322138</v>
      </c>
      <c r="I62" s="669">
        <v>23.116968207168597</v>
      </c>
      <c r="J62" s="669">
        <v>22.253970096798767</v>
      </c>
      <c r="K62" s="669">
        <v>22.851180383461585</v>
      </c>
      <c r="L62" s="669">
        <v>24.956046916219478</v>
      </c>
      <c r="M62" s="669">
        <v>26.868780386520044</v>
      </c>
      <c r="N62" s="261"/>
      <c r="O62" s="261"/>
      <c r="P62" s="261"/>
      <c r="Q62" s="261"/>
      <c r="R62" s="261"/>
      <c r="S62" s="261"/>
      <c r="T62" s="261"/>
      <c r="U62" s="261"/>
      <c r="V62" s="261"/>
    </row>
    <row r="63" spans="1:30" hidden="1" x14ac:dyDescent="0.25">
      <c r="D63" s="668" t="s">
        <v>316</v>
      </c>
      <c r="E63" s="668"/>
      <c r="F63" s="669">
        <v>20.540195283186648</v>
      </c>
      <c r="G63" s="669">
        <v>21.689557032451738</v>
      </c>
      <c r="H63" s="669">
        <v>24.215302657057119</v>
      </c>
      <c r="I63" s="669">
        <v>21.000513209798104</v>
      </c>
      <c r="J63" s="669">
        <v>22.342405485574066</v>
      </c>
      <c r="K63" s="669">
        <v>23.264335684301852</v>
      </c>
      <c r="L63" s="669">
        <v>27.370953688584144</v>
      </c>
      <c r="M63" s="669">
        <v>28.88598892418554</v>
      </c>
      <c r="N63" s="261"/>
      <c r="O63" s="261"/>
      <c r="P63" s="261"/>
      <c r="Q63" s="261"/>
      <c r="R63" s="261"/>
      <c r="S63" s="261"/>
      <c r="T63" s="261"/>
      <c r="U63" s="261"/>
      <c r="V63" s="261"/>
    </row>
    <row r="64" spans="1:30" hidden="1" x14ac:dyDescent="0.25">
      <c r="D64" s="668" t="s">
        <v>304</v>
      </c>
      <c r="E64" s="668"/>
      <c r="F64" s="669">
        <v>3.540646403831051</v>
      </c>
      <c r="G64" s="669">
        <v>4.3722248964958084</v>
      </c>
      <c r="H64" s="669">
        <v>4.2993961661642608</v>
      </c>
      <c r="I64" s="669">
        <v>2.1164549973704929</v>
      </c>
      <c r="J64" s="669">
        <v>-8.8435388775298662E-2</v>
      </c>
      <c r="K64" s="669">
        <v>-0.41315530084026619</v>
      </c>
      <c r="L64" s="669">
        <v>-2.4149067723646667</v>
      </c>
      <c r="M64" s="669">
        <v>-2.0172085376654962</v>
      </c>
      <c r="N64" s="261"/>
      <c r="O64" s="261"/>
      <c r="P64" s="261"/>
      <c r="Q64" s="261"/>
      <c r="R64" s="261"/>
      <c r="S64" s="261"/>
      <c r="T64" s="261"/>
      <c r="U64" s="261"/>
      <c r="V64" s="261"/>
    </row>
    <row r="65" spans="2:22" hidden="1" x14ac:dyDescent="0.25">
      <c r="D65" s="668" t="s">
        <v>317</v>
      </c>
      <c r="E65" s="668"/>
      <c r="F65" s="669">
        <v>-0.58515552817985828</v>
      </c>
      <c r="G65" s="669">
        <v>-0.32303699876569475</v>
      </c>
      <c r="H65" s="669">
        <v>-0.45554929027919078</v>
      </c>
      <c r="I65" s="669">
        <v>0.15919815530029913</v>
      </c>
      <c r="J65" s="669">
        <v>-0.30250062886591289</v>
      </c>
      <c r="K65" s="669">
        <v>-0.42100700358907173</v>
      </c>
      <c r="L65" s="669">
        <v>-0.89922179636440092</v>
      </c>
      <c r="M65" s="669">
        <v>-1.0803483033701891</v>
      </c>
      <c r="N65" s="261"/>
      <c r="O65" s="261"/>
      <c r="P65" s="261"/>
      <c r="Q65" s="261"/>
      <c r="R65" s="261"/>
      <c r="S65" s="261"/>
      <c r="T65" s="261"/>
      <c r="U65" s="261"/>
      <c r="V65" s="261"/>
    </row>
    <row r="66" spans="2:22" hidden="1" x14ac:dyDescent="0.25">
      <c r="D66" s="668" t="s">
        <v>318</v>
      </c>
      <c r="E66" s="668"/>
      <c r="F66" s="669">
        <v>-2.3883367962626392</v>
      </c>
      <c r="G66" s="669">
        <v>-3.1544881554734427</v>
      </c>
      <c r="H66" s="669">
        <v>-2.5156177938031949</v>
      </c>
      <c r="I66" s="669">
        <v>-2.7660183724348433</v>
      </c>
      <c r="J66" s="669">
        <v>-1.9958878260875796</v>
      </c>
      <c r="K66" s="669">
        <v>-2.0391715610028638</v>
      </c>
      <c r="L66" s="669">
        <v>-2.0534030685886364</v>
      </c>
      <c r="M66" s="669">
        <v>-3.1325637170280869</v>
      </c>
      <c r="N66" s="261"/>
      <c r="O66" s="261"/>
      <c r="P66" s="261"/>
      <c r="Q66" s="261"/>
      <c r="R66" s="261"/>
      <c r="S66" s="261"/>
      <c r="T66" s="261"/>
      <c r="U66" s="261"/>
      <c r="V66" s="261"/>
    </row>
    <row r="67" spans="2:22" hidden="1" x14ac:dyDescent="0.25">
      <c r="D67" s="668" t="s">
        <v>319</v>
      </c>
      <c r="E67" s="668"/>
      <c r="F67" s="669">
        <v>0.56715407938855344</v>
      </c>
      <c r="G67" s="669">
        <v>0.89469974225667048</v>
      </c>
      <c r="H67" s="669">
        <v>1.328229082081875</v>
      </c>
      <c r="I67" s="669">
        <v>-0.49036521976405112</v>
      </c>
      <c r="J67" s="669">
        <v>-2.3868238437287914</v>
      </c>
      <c r="K67" s="669">
        <v>-2.8733338654322016</v>
      </c>
      <c r="L67" s="669">
        <v>-5.367531637317704</v>
      </c>
      <c r="M67" s="669">
        <v>-6.2301205580637724</v>
      </c>
      <c r="N67" s="261"/>
      <c r="O67" s="261"/>
      <c r="P67" s="261"/>
      <c r="Q67" s="261"/>
      <c r="R67" s="261"/>
      <c r="S67" s="261"/>
      <c r="T67" s="261"/>
      <c r="U67" s="261"/>
      <c r="V67" s="261"/>
    </row>
    <row r="68" spans="2:22" hidden="1" x14ac:dyDescent="0.25">
      <c r="D68" s="668" t="s">
        <v>320</v>
      </c>
      <c r="E68" s="668"/>
      <c r="F68" s="669">
        <v>-0.69641749480560611</v>
      </c>
      <c r="G68" s="669">
        <v>-0.61342716275476539</v>
      </c>
      <c r="H68" s="669">
        <v>-0.50004321044169631</v>
      </c>
      <c r="I68" s="669">
        <v>-0.59316582228980419</v>
      </c>
      <c r="J68" s="669">
        <v>-0.81168493781931506</v>
      </c>
      <c r="K68" s="669">
        <v>-1.1614679958755849</v>
      </c>
      <c r="L68" s="669">
        <v>-1.0852003462256634</v>
      </c>
      <c r="M68" s="669">
        <v>-1.0428839246218706</v>
      </c>
      <c r="N68" s="261"/>
      <c r="O68" s="261"/>
      <c r="P68" s="261"/>
      <c r="Q68" s="261"/>
      <c r="R68" s="261"/>
      <c r="S68" s="261"/>
      <c r="T68" s="261"/>
      <c r="U68" s="261"/>
      <c r="V68" s="261"/>
    </row>
    <row r="69" spans="2:22" hidden="1" x14ac:dyDescent="0.25">
      <c r="D69" s="670" t="s">
        <v>321</v>
      </c>
      <c r="E69" s="670"/>
      <c r="F69" s="671">
        <v>-0.12926341541705266</v>
      </c>
      <c r="G69" s="671">
        <v>0.2812725795019051</v>
      </c>
      <c r="H69" s="671">
        <v>0.82818587164017865</v>
      </c>
      <c r="I69" s="671">
        <v>-1.0835310420538553</v>
      </c>
      <c r="J69" s="671">
        <v>-3.1985087815481066</v>
      </c>
      <c r="K69" s="671">
        <v>-4.0348018613077867</v>
      </c>
      <c r="L69" s="671">
        <v>-6.4527319835433676</v>
      </c>
      <c r="M69" s="671">
        <v>-7.2730044826856428</v>
      </c>
      <c r="N69" s="261"/>
      <c r="O69" s="261"/>
      <c r="P69" s="261"/>
      <c r="Q69" s="261"/>
      <c r="R69" s="261"/>
      <c r="S69" s="261"/>
      <c r="T69" s="261"/>
      <c r="U69" s="261"/>
      <c r="V69" s="261"/>
    </row>
    <row r="70" spans="2:22" hidden="1" x14ac:dyDescent="0.25"/>
    <row r="71" spans="2:22" hidden="1" x14ac:dyDescent="0.25"/>
    <row r="72" spans="2:22" hidden="1" x14ac:dyDescent="0.25"/>
    <row r="73" spans="2:22" hidden="1" x14ac:dyDescent="0.25">
      <c r="C73" s="665">
        <v>1992</v>
      </c>
      <c r="D73" s="642">
        <v>1993</v>
      </c>
      <c r="E73" s="642"/>
      <c r="F73" s="642">
        <v>1994</v>
      </c>
      <c r="G73" s="642">
        <v>1995</v>
      </c>
      <c r="H73" s="642">
        <v>1996</v>
      </c>
      <c r="I73" s="642">
        <v>1997</v>
      </c>
      <c r="J73" s="642">
        <v>1998</v>
      </c>
      <c r="K73" s="642">
        <v>1999</v>
      </c>
      <c r="L73" s="642">
        <v>2000</v>
      </c>
      <c r="M73" s="642">
        <v>2001</v>
      </c>
      <c r="N73" s="642">
        <v>2002</v>
      </c>
      <c r="O73" s="642">
        <v>2003</v>
      </c>
      <c r="P73" s="642">
        <v>2004</v>
      </c>
      <c r="Q73" s="642">
        <v>2005</v>
      </c>
      <c r="R73" s="642">
        <v>2006</v>
      </c>
    </row>
    <row r="74" spans="2:22" hidden="1" x14ac:dyDescent="0.25">
      <c r="B74" s="113" t="s">
        <v>322</v>
      </c>
      <c r="C74" s="665">
        <v>21.34</v>
      </c>
      <c r="D74" s="642">
        <v>22.48</v>
      </c>
      <c r="E74" s="642"/>
      <c r="F74" s="642">
        <v>22.1</v>
      </c>
      <c r="G74" s="642">
        <v>22.77</v>
      </c>
      <c r="H74" s="642">
        <v>24.73</v>
      </c>
      <c r="I74" s="642">
        <v>24.6</v>
      </c>
      <c r="J74" s="642">
        <v>25.65</v>
      </c>
      <c r="K74" s="642">
        <v>25.33</v>
      </c>
      <c r="L74" s="642">
        <v>27.87</v>
      </c>
      <c r="M74" s="642">
        <v>30.13</v>
      </c>
      <c r="N74" s="642">
        <v>32.99</v>
      </c>
      <c r="O74" s="642">
        <v>28.06</v>
      </c>
      <c r="P74" s="642">
        <v>26.71</v>
      </c>
      <c r="Q74" s="642">
        <v>27.45</v>
      </c>
      <c r="R74" s="642">
        <v>29.63</v>
      </c>
    </row>
    <row r="75" spans="2:22" hidden="1" x14ac:dyDescent="0.25">
      <c r="B75" s="113" t="s">
        <v>323</v>
      </c>
      <c r="C75" s="665">
        <v>1.5</v>
      </c>
      <c r="D75" s="642">
        <v>2.13</v>
      </c>
      <c r="E75" s="642"/>
      <c r="F75" s="642">
        <v>0.01</v>
      </c>
      <c r="G75" s="642">
        <v>-1.65</v>
      </c>
      <c r="H75" s="642">
        <v>-1.1499999999999999</v>
      </c>
      <c r="I75" s="642">
        <v>-1.49</v>
      </c>
      <c r="J75" s="642">
        <v>-1.76</v>
      </c>
      <c r="K75" s="642">
        <v>-0.51</v>
      </c>
      <c r="L75" s="642">
        <v>-0.13</v>
      </c>
      <c r="M75" s="642">
        <v>0.28000000000000003</v>
      </c>
      <c r="N75" s="642">
        <v>0.83</v>
      </c>
      <c r="O75" s="642">
        <v>-1.08</v>
      </c>
      <c r="P75" s="642">
        <v>-3.2</v>
      </c>
      <c r="Q75" s="642">
        <v>-4.03</v>
      </c>
      <c r="R75" s="642">
        <v>-6.45</v>
      </c>
    </row>
    <row r="76" spans="2:22" hidden="1" x14ac:dyDescent="0.25">
      <c r="B76" s="113" t="s">
        <v>324</v>
      </c>
      <c r="C76" s="672">
        <v>2.8516000000000004</v>
      </c>
      <c r="D76" s="673">
        <v>3.2667000000000002</v>
      </c>
      <c r="E76" s="673"/>
      <c r="F76" s="673">
        <v>3.5497000000000001</v>
      </c>
      <c r="G76" s="673">
        <v>3.6269999999999998</v>
      </c>
      <c r="H76" s="673">
        <v>4.2964000000000002</v>
      </c>
      <c r="I76" s="673">
        <v>4.6073000000000004</v>
      </c>
      <c r="J76" s="673">
        <v>5.5316000000000001</v>
      </c>
      <c r="K76" s="673">
        <v>6.1130999999999993</v>
      </c>
      <c r="L76" s="673">
        <v>6.9352999999999998</v>
      </c>
      <c r="M76" s="673">
        <v>8.6030999999999995</v>
      </c>
      <c r="N76" s="673">
        <v>10.516500000000001</v>
      </c>
      <c r="O76" s="673">
        <v>7.5647000000000002</v>
      </c>
      <c r="P76" s="673">
        <v>6.4499000000000004</v>
      </c>
      <c r="Q76" s="673">
        <v>6.3623000000000003</v>
      </c>
      <c r="R76" s="673">
        <v>6.7671999999999999</v>
      </c>
    </row>
    <row r="77" spans="2:22" hidden="1" x14ac:dyDescent="0.25"/>
    <row r="78" spans="2:22" hidden="1" x14ac:dyDescent="0.25">
      <c r="B78" s="113" t="s">
        <v>324</v>
      </c>
    </row>
    <row r="79" spans="2:22" hidden="1" x14ac:dyDescent="0.25">
      <c r="B79" s="113">
        <v>2.8516000000000004</v>
      </c>
    </row>
    <row r="80" spans="2:22" hidden="1" x14ac:dyDescent="0.25">
      <c r="B80" s="113">
        <v>3.2667000000000002</v>
      </c>
    </row>
    <row r="81" spans="2:24" hidden="1" x14ac:dyDescent="0.25">
      <c r="B81" s="113">
        <v>3.5497000000000001</v>
      </c>
    </row>
    <row r="82" spans="2:24" hidden="1" x14ac:dyDescent="0.25">
      <c r="B82" s="113">
        <v>3.6269999999999998</v>
      </c>
    </row>
    <row r="83" spans="2:24" hidden="1" x14ac:dyDescent="0.25">
      <c r="B83" s="113">
        <v>4.2964000000000002</v>
      </c>
    </row>
    <row r="84" spans="2:24" hidden="1" x14ac:dyDescent="0.25">
      <c r="B84" s="113">
        <v>4.6073000000000004</v>
      </c>
    </row>
    <row r="85" spans="2:24" hidden="1" x14ac:dyDescent="0.25">
      <c r="B85" s="113">
        <v>5.5316000000000001</v>
      </c>
    </row>
    <row r="86" spans="2:24" hidden="1" x14ac:dyDescent="0.25">
      <c r="B86" s="113">
        <v>6.1130999999999993</v>
      </c>
    </row>
    <row r="87" spans="2:24" hidden="1" x14ac:dyDescent="0.25">
      <c r="B87" s="113">
        <v>6.9352999999999998</v>
      </c>
    </row>
    <row r="88" spans="2:24" hidden="1" x14ac:dyDescent="0.25">
      <c r="B88" s="113">
        <v>8.6030999999999995</v>
      </c>
    </row>
    <row r="89" spans="2:24" hidden="1" x14ac:dyDescent="0.25">
      <c r="B89" s="113">
        <v>10.516500000000001</v>
      </c>
      <c r="X89" s="598" t="s">
        <v>325</v>
      </c>
    </row>
    <row r="90" spans="2:24" hidden="1" x14ac:dyDescent="0.25">
      <c r="B90" s="113">
        <v>7.5647000000000002</v>
      </c>
      <c r="X90" s="598" t="s">
        <v>326</v>
      </c>
    </row>
    <row r="91" spans="2:24" hidden="1" x14ac:dyDescent="0.25">
      <c r="B91" s="113">
        <v>6.4499000000000004</v>
      </c>
    </row>
    <row r="92" spans="2:24" hidden="1" x14ac:dyDescent="0.25">
      <c r="B92" s="113">
        <v>6.3623000000000003</v>
      </c>
    </row>
    <row r="93" spans="2:24" hidden="1" x14ac:dyDescent="0.25">
      <c r="B93" s="113">
        <v>6.7671999999999999</v>
      </c>
    </row>
    <row r="94" spans="2:24" hidden="1" x14ac:dyDescent="0.25"/>
    <row r="95" spans="2:24" hidden="1" x14ac:dyDescent="0.25"/>
    <row r="96" spans="2:24"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spans="3:109" hidden="1" x14ac:dyDescent="0.25"/>
    <row r="114" spans="3:109" hidden="1" x14ac:dyDescent="0.25"/>
    <row r="115" spans="3:109" hidden="1" x14ac:dyDescent="0.25"/>
    <row r="116" spans="3:109" hidden="1" x14ac:dyDescent="0.25"/>
    <row r="117" spans="3:109" hidden="1" x14ac:dyDescent="0.25"/>
    <row r="118" spans="3:109" hidden="1" x14ac:dyDescent="0.25"/>
    <row r="120" spans="3:109" ht="7.5" customHeight="1" x14ac:dyDescent="0.25"/>
    <row r="121" spans="3:109" x14ac:dyDescent="0.25">
      <c r="C121" s="642"/>
      <c r="D121" s="674"/>
      <c r="E121" s="674"/>
      <c r="F121" s="4070">
        <v>1990</v>
      </c>
      <c r="G121" s="4070"/>
      <c r="H121" s="4070"/>
      <c r="I121" s="4070"/>
      <c r="J121" s="4070">
        <v>1991</v>
      </c>
      <c r="K121" s="4070"/>
      <c r="L121" s="4070"/>
      <c r="M121" s="4070"/>
      <c r="N121" s="4070">
        <v>1992</v>
      </c>
      <c r="O121" s="4070"/>
      <c r="P121" s="4070"/>
      <c r="Q121" s="4070"/>
      <c r="R121" s="4070">
        <v>1993</v>
      </c>
      <c r="S121" s="4070"/>
      <c r="T121" s="4070"/>
      <c r="U121" s="4070"/>
      <c r="V121" s="4070">
        <v>1994</v>
      </c>
      <c r="W121" s="4070"/>
      <c r="X121" s="4070"/>
      <c r="Y121" s="4070"/>
      <c r="Z121" s="4070">
        <v>1995</v>
      </c>
      <c r="AA121" s="4070"/>
      <c r="AB121" s="4070"/>
      <c r="AC121" s="4070"/>
      <c r="AD121" s="4070">
        <v>1996</v>
      </c>
      <c r="AE121" s="4070"/>
      <c r="AF121" s="4070"/>
      <c r="AG121" s="4070"/>
      <c r="AH121" s="4070">
        <v>1997</v>
      </c>
      <c r="AI121" s="4070"/>
      <c r="AJ121" s="4070"/>
      <c r="AK121" s="4070"/>
      <c r="AL121" s="4070">
        <v>1998</v>
      </c>
      <c r="AM121" s="4070"/>
      <c r="AN121" s="4070"/>
      <c r="AO121" s="4070"/>
      <c r="AP121" s="4070">
        <v>1999</v>
      </c>
      <c r="AQ121" s="4070"/>
      <c r="AR121" s="4070"/>
      <c r="AS121" s="4070"/>
      <c r="AT121" s="4070">
        <v>2000</v>
      </c>
      <c r="AU121" s="4070"/>
      <c r="AV121" s="4070"/>
      <c r="AW121" s="4070"/>
      <c r="AX121" s="4070">
        <v>2001</v>
      </c>
      <c r="AY121" s="4070"/>
      <c r="AZ121" s="4070"/>
      <c r="BA121" s="4070"/>
      <c r="BB121" s="4070">
        <v>2002</v>
      </c>
      <c r="BC121" s="4070"/>
      <c r="BD121" s="4070"/>
      <c r="BE121" s="4070"/>
      <c r="BF121" s="4070">
        <v>2003</v>
      </c>
      <c r="BG121" s="4070"/>
      <c r="BH121" s="4070"/>
      <c r="BI121" s="4070"/>
      <c r="BJ121" s="4070">
        <v>2004</v>
      </c>
      <c r="BK121" s="4070"/>
      <c r="BL121" s="4070"/>
      <c r="BM121" s="4070"/>
      <c r="BN121" s="4070">
        <v>2005</v>
      </c>
      <c r="BO121" s="4070"/>
      <c r="BP121" s="4070"/>
      <c r="BQ121" s="4070"/>
      <c r="BR121" s="4070">
        <v>2006</v>
      </c>
      <c r="BS121" s="4070"/>
      <c r="BT121" s="4070"/>
      <c r="BU121" s="4070"/>
      <c r="BV121" s="4070">
        <v>2007</v>
      </c>
      <c r="BW121" s="4070"/>
      <c r="BX121" s="4070"/>
      <c r="BY121" s="4070"/>
      <c r="BZ121" s="4070">
        <v>2008</v>
      </c>
      <c r="CA121" s="4070"/>
      <c r="CB121" s="4070"/>
      <c r="CC121" s="4070"/>
      <c r="CD121" s="4070">
        <v>2009</v>
      </c>
      <c r="CE121" s="4070"/>
      <c r="CF121" s="4070"/>
      <c r="CG121" s="4070"/>
      <c r="CH121" s="4070">
        <v>2010</v>
      </c>
      <c r="CI121" s="4070"/>
      <c r="CJ121" s="4070"/>
      <c r="CK121" s="4070"/>
      <c r="CL121" s="4070">
        <v>2011</v>
      </c>
      <c r="CM121" s="4070"/>
      <c r="CN121" s="4070"/>
      <c r="CO121" s="4070"/>
      <c r="CP121" s="4070">
        <v>2012</v>
      </c>
      <c r="CQ121" s="4070"/>
      <c r="CR121" s="4070"/>
      <c r="CS121" s="4070"/>
      <c r="CT121" s="4070">
        <v>2013</v>
      </c>
      <c r="CU121" s="4070"/>
      <c r="CV121" s="4070"/>
      <c r="CW121" s="4070"/>
      <c r="CX121" s="4135">
        <v>2014</v>
      </c>
      <c r="CY121" s="4136"/>
      <c r="CZ121" s="4136"/>
      <c r="DA121" s="675"/>
      <c r="DB121" s="4137">
        <v>2015</v>
      </c>
      <c r="DC121" s="4138"/>
      <c r="DD121" s="4138"/>
      <c r="DE121" s="676"/>
    </row>
    <row r="122" spans="3:109" x14ac:dyDescent="0.25">
      <c r="C122" s="642"/>
      <c r="D122" s="642"/>
      <c r="E122" s="642"/>
      <c r="F122" s="361" t="s">
        <v>96</v>
      </c>
      <c r="G122" s="361" t="s">
        <v>97</v>
      </c>
      <c r="H122" s="361" t="s">
        <v>98</v>
      </c>
      <c r="I122" s="677" t="s">
        <v>99</v>
      </c>
      <c r="J122" s="361" t="s">
        <v>96</v>
      </c>
      <c r="K122" s="361" t="s">
        <v>97</v>
      </c>
      <c r="L122" s="361" t="s">
        <v>98</v>
      </c>
      <c r="M122" s="677" t="s">
        <v>99</v>
      </c>
      <c r="N122" s="361" t="s">
        <v>96</v>
      </c>
      <c r="O122" s="361" t="s">
        <v>97</v>
      </c>
      <c r="P122" s="361" t="s">
        <v>98</v>
      </c>
      <c r="Q122" s="677" t="s">
        <v>99</v>
      </c>
      <c r="R122" s="361" t="s">
        <v>96</v>
      </c>
      <c r="S122" s="361" t="s">
        <v>97</v>
      </c>
      <c r="T122" s="361" t="s">
        <v>98</v>
      </c>
      <c r="U122" s="677" t="s">
        <v>99</v>
      </c>
      <c r="V122" s="361" t="s">
        <v>96</v>
      </c>
      <c r="W122" s="361" t="s">
        <v>97</v>
      </c>
      <c r="X122" s="361" t="s">
        <v>98</v>
      </c>
      <c r="Y122" s="677" t="s">
        <v>99</v>
      </c>
      <c r="Z122" s="361" t="s">
        <v>96</v>
      </c>
      <c r="AA122" s="361" t="s">
        <v>97</v>
      </c>
      <c r="AB122" s="361" t="s">
        <v>98</v>
      </c>
      <c r="AC122" s="677" t="s">
        <v>99</v>
      </c>
      <c r="AD122" s="361" t="s">
        <v>96</v>
      </c>
      <c r="AE122" s="361" t="s">
        <v>97</v>
      </c>
      <c r="AF122" s="361" t="s">
        <v>98</v>
      </c>
      <c r="AG122" s="677" t="s">
        <v>99</v>
      </c>
      <c r="AH122" s="361" t="s">
        <v>96</v>
      </c>
      <c r="AI122" s="361" t="s">
        <v>97</v>
      </c>
      <c r="AJ122" s="361" t="s">
        <v>98</v>
      </c>
      <c r="AK122" s="677" t="s">
        <v>99</v>
      </c>
      <c r="AL122" s="361" t="s">
        <v>96</v>
      </c>
      <c r="AM122" s="361" t="s">
        <v>97</v>
      </c>
      <c r="AN122" s="361" t="s">
        <v>98</v>
      </c>
      <c r="AO122" s="677" t="s">
        <v>99</v>
      </c>
      <c r="AP122" s="361" t="s">
        <v>96</v>
      </c>
      <c r="AQ122" s="361" t="s">
        <v>97</v>
      </c>
      <c r="AR122" s="361" t="s">
        <v>98</v>
      </c>
      <c r="AS122" s="677" t="s">
        <v>99</v>
      </c>
      <c r="AT122" s="361" t="s">
        <v>96</v>
      </c>
      <c r="AU122" s="361" t="s">
        <v>97</v>
      </c>
      <c r="AV122" s="361" t="s">
        <v>98</v>
      </c>
      <c r="AW122" s="677" t="s">
        <v>99</v>
      </c>
      <c r="AX122" s="361" t="s">
        <v>96</v>
      </c>
      <c r="AY122" s="361" t="s">
        <v>97</v>
      </c>
      <c r="AZ122" s="361" t="s">
        <v>98</v>
      </c>
      <c r="BA122" s="677" t="s">
        <v>99</v>
      </c>
      <c r="BB122" s="361" t="s">
        <v>96</v>
      </c>
      <c r="BC122" s="361" t="s">
        <v>97</v>
      </c>
      <c r="BD122" s="361" t="s">
        <v>98</v>
      </c>
      <c r="BE122" s="677" t="s">
        <v>99</v>
      </c>
      <c r="BF122" s="361" t="s">
        <v>96</v>
      </c>
      <c r="BG122" s="361" t="s">
        <v>97</v>
      </c>
      <c r="BH122" s="361" t="s">
        <v>98</v>
      </c>
      <c r="BI122" s="677" t="s">
        <v>99</v>
      </c>
      <c r="BJ122" s="361" t="s">
        <v>96</v>
      </c>
      <c r="BK122" s="361" t="s">
        <v>97</v>
      </c>
      <c r="BL122" s="361" t="s">
        <v>98</v>
      </c>
      <c r="BM122" s="677" t="s">
        <v>99</v>
      </c>
      <c r="BN122" s="361" t="s">
        <v>96</v>
      </c>
      <c r="BO122" s="361" t="s">
        <v>97</v>
      </c>
      <c r="BP122" s="361" t="s">
        <v>98</v>
      </c>
      <c r="BQ122" s="677" t="s">
        <v>99</v>
      </c>
      <c r="BR122" s="361" t="s">
        <v>96</v>
      </c>
      <c r="BS122" s="361" t="s">
        <v>97</v>
      </c>
      <c r="BT122" s="361" t="s">
        <v>98</v>
      </c>
      <c r="BU122" s="677" t="s">
        <v>99</v>
      </c>
      <c r="BV122" s="361" t="s">
        <v>96</v>
      </c>
      <c r="BW122" s="361" t="s">
        <v>97</v>
      </c>
      <c r="BX122" s="361" t="s">
        <v>98</v>
      </c>
      <c r="BY122" s="677" t="s">
        <v>99</v>
      </c>
      <c r="BZ122" s="361" t="s">
        <v>96</v>
      </c>
      <c r="CA122" s="361" t="s">
        <v>97</v>
      </c>
      <c r="CB122" s="361" t="s">
        <v>98</v>
      </c>
      <c r="CC122" s="677" t="s">
        <v>99</v>
      </c>
      <c r="CD122" s="361" t="s">
        <v>96</v>
      </c>
      <c r="CE122" s="361" t="s">
        <v>97</v>
      </c>
      <c r="CF122" s="361" t="s">
        <v>98</v>
      </c>
      <c r="CG122" s="677" t="s">
        <v>99</v>
      </c>
      <c r="CH122" s="361" t="s">
        <v>96</v>
      </c>
      <c r="CI122" s="361" t="s">
        <v>97</v>
      </c>
      <c r="CJ122" s="361" t="s">
        <v>98</v>
      </c>
      <c r="CK122" s="677" t="s">
        <v>99</v>
      </c>
      <c r="CL122" s="361" t="s">
        <v>96</v>
      </c>
      <c r="CM122" s="361" t="s">
        <v>97</v>
      </c>
      <c r="CN122" s="361" t="s">
        <v>98</v>
      </c>
      <c r="CO122" s="677" t="s">
        <v>99</v>
      </c>
      <c r="CP122" s="361" t="s">
        <v>96</v>
      </c>
      <c r="CQ122" s="361" t="s">
        <v>97</v>
      </c>
      <c r="CR122" s="361" t="s">
        <v>98</v>
      </c>
      <c r="CS122" s="677" t="s">
        <v>99</v>
      </c>
      <c r="CT122" s="361" t="s">
        <v>96</v>
      </c>
      <c r="CU122" s="361" t="s">
        <v>97</v>
      </c>
      <c r="CV122" s="361" t="s">
        <v>98</v>
      </c>
      <c r="CW122" s="677" t="s">
        <v>99</v>
      </c>
      <c r="CX122" s="361" t="s">
        <v>96</v>
      </c>
      <c r="CY122" s="361" t="s">
        <v>97</v>
      </c>
      <c r="CZ122" s="361" t="s">
        <v>98</v>
      </c>
      <c r="DA122" s="677" t="s">
        <v>99</v>
      </c>
      <c r="DB122" s="678" t="s">
        <v>96</v>
      </c>
      <c r="DC122" s="678" t="s">
        <v>97</v>
      </c>
      <c r="DD122" s="678" t="s">
        <v>98</v>
      </c>
      <c r="DE122" s="679" t="s">
        <v>99</v>
      </c>
    </row>
    <row r="123" spans="3:109" x14ac:dyDescent="0.25">
      <c r="C123" s="642"/>
      <c r="D123" s="642" t="s">
        <v>327</v>
      </c>
      <c r="E123" s="642"/>
      <c r="F123" s="680">
        <v>15.631122502721112</v>
      </c>
      <c r="G123" s="680">
        <v>15.04714071133523</v>
      </c>
      <c r="H123" s="680">
        <v>15.380606000626784</v>
      </c>
      <c r="I123" s="680">
        <v>13.821185466475505</v>
      </c>
      <c r="J123" s="680">
        <v>14.422118948755871</v>
      </c>
      <c r="K123" s="680">
        <v>14.038318063803754</v>
      </c>
      <c r="L123" s="680">
        <v>14.128463389873042</v>
      </c>
      <c r="M123" s="680">
        <v>12.962155405874592</v>
      </c>
      <c r="N123" s="680">
        <v>13.59534198815466</v>
      </c>
      <c r="O123" s="680">
        <v>12.864359125061553</v>
      </c>
      <c r="P123" s="680">
        <v>14.243341858306161</v>
      </c>
      <c r="Q123" s="680">
        <v>13.467086578046414</v>
      </c>
      <c r="R123" s="680">
        <v>13.581500769520735</v>
      </c>
      <c r="S123" s="680">
        <v>12.987691350515608</v>
      </c>
      <c r="T123" s="680">
        <v>14.152347994044506</v>
      </c>
      <c r="U123" s="680">
        <v>14.367715105722487</v>
      </c>
      <c r="V123" s="680">
        <v>14.263418577950587</v>
      </c>
      <c r="W123" s="680">
        <v>14.746592888615636</v>
      </c>
      <c r="X123" s="680">
        <v>16.801768904562273</v>
      </c>
      <c r="Y123" s="680">
        <v>16.687923743035508</v>
      </c>
      <c r="Z123" s="680">
        <v>17.773807780905592</v>
      </c>
      <c r="AA123" s="680">
        <v>17.944480445430752</v>
      </c>
      <c r="AB123" s="680">
        <v>17.412025636995512</v>
      </c>
      <c r="AC123" s="680">
        <v>17.42581832153321</v>
      </c>
      <c r="AD123" s="680">
        <v>17.510038169830963</v>
      </c>
      <c r="AE123" s="680">
        <v>18.526482283739661</v>
      </c>
      <c r="AF123" s="680">
        <v>19.495465592580853</v>
      </c>
      <c r="AG123" s="680">
        <v>19.172426540772637</v>
      </c>
      <c r="AH123" s="680">
        <v>18.367557299681199</v>
      </c>
      <c r="AI123" s="680">
        <v>18.029394690102716</v>
      </c>
      <c r="AJ123" s="680">
        <v>19.45032277296497</v>
      </c>
      <c r="AK123" s="680">
        <v>19.787848663176707</v>
      </c>
      <c r="AL123" s="680">
        <v>19.124995930592181</v>
      </c>
      <c r="AM123" s="680">
        <v>18.070323288649455</v>
      </c>
      <c r="AN123" s="680">
        <v>21.659955753656195</v>
      </c>
      <c r="AO123" s="680">
        <v>20.246511990970781</v>
      </c>
      <c r="AP123" s="680">
        <v>17.686328829025744</v>
      </c>
      <c r="AQ123" s="680">
        <v>17.433413152045439</v>
      </c>
      <c r="AR123" s="680">
        <v>17.802757751473166</v>
      </c>
      <c r="AS123" s="680">
        <v>18.82459395688727</v>
      </c>
      <c r="AT123" s="680">
        <v>19.771484401200148</v>
      </c>
      <c r="AU123" s="680">
        <v>19.231601789877821</v>
      </c>
      <c r="AV123" s="680">
        <v>19.773784951144034</v>
      </c>
      <c r="AW123" s="680">
        <v>21.203027796394579</v>
      </c>
      <c r="AX123" s="680">
        <v>20.81968067274806</v>
      </c>
      <c r="AY123" s="680">
        <v>21.170367702026951</v>
      </c>
      <c r="AZ123" s="680">
        <v>20.26189913107163</v>
      </c>
      <c r="BA123" s="680">
        <v>22.288528170615713</v>
      </c>
      <c r="BB123" s="680">
        <v>24.01068113408817</v>
      </c>
      <c r="BC123" s="680">
        <v>23.411910835236998</v>
      </c>
      <c r="BD123" s="680">
        <v>22.520406517180191</v>
      </c>
      <c r="BE123" s="680">
        <v>23.113174152928352</v>
      </c>
      <c r="BF123" s="680">
        <v>20.402369813903189</v>
      </c>
      <c r="BG123" s="680">
        <v>19.895686611667003</v>
      </c>
      <c r="BH123" s="680">
        <v>19.884091168022834</v>
      </c>
      <c r="BI123" s="680">
        <v>19.715241543646627</v>
      </c>
      <c r="BJ123" s="680">
        <v>19.392974485578161</v>
      </c>
      <c r="BK123" s="680">
        <v>21.785363403844254</v>
      </c>
      <c r="BL123" s="680">
        <v>21.309168638171375</v>
      </c>
      <c r="BM123" s="680">
        <v>21.873306800862242</v>
      </c>
      <c r="BN123" s="680">
        <v>20.512435908810357</v>
      </c>
      <c r="BO123" s="680">
        <v>22.070297526751688</v>
      </c>
      <c r="BP123" s="639">
        <v>23.121537375261163</v>
      </c>
      <c r="BQ123" s="639">
        <v>22.143450515976081</v>
      </c>
      <c r="BR123" s="639">
        <v>22.548713133512972</v>
      </c>
      <c r="BS123" s="637">
        <v>24.950401574680424</v>
      </c>
      <c r="BT123" s="637">
        <v>25.895490593177129</v>
      </c>
      <c r="BU123" s="637">
        <v>29.344604830950701</v>
      </c>
      <c r="BV123" s="637">
        <v>26.610244958115164</v>
      </c>
      <c r="BW123" s="637">
        <v>27.435914311099413</v>
      </c>
      <c r="BX123" s="637">
        <v>27.660327764843167</v>
      </c>
      <c r="BY123" s="637">
        <v>26.671676073535817</v>
      </c>
      <c r="BZ123" s="637">
        <v>29.462094819336997</v>
      </c>
      <c r="CA123" s="637">
        <v>32.393499552903442</v>
      </c>
      <c r="CB123" s="637">
        <v>33.406501039075373</v>
      </c>
      <c r="CC123" s="637">
        <v>30.180155761551109</v>
      </c>
      <c r="CD123" s="637">
        <v>25.730666879393894</v>
      </c>
      <c r="CE123" s="637">
        <v>21.249792361924232</v>
      </c>
      <c r="CF123" s="637">
        <v>20.564345747643291</v>
      </c>
      <c r="CG123" s="637">
        <v>22.057612090004291</v>
      </c>
      <c r="CH123" s="637">
        <v>22.365665056130794</v>
      </c>
      <c r="CI123" s="637">
        <v>22.338568107761837</v>
      </c>
      <c r="CJ123" s="637">
        <v>22.721010826827513</v>
      </c>
      <c r="CK123" s="637">
        <v>21.275510651469741</v>
      </c>
      <c r="CL123" s="637">
        <v>22.696340529552568</v>
      </c>
      <c r="CM123" s="637">
        <v>23.962228229060571</v>
      </c>
      <c r="CN123" s="637">
        <v>24.997231228055835</v>
      </c>
      <c r="CO123" s="637">
        <v>26.556315358630091</v>
      </c>
      <c r="CP123" s="637">
        <v>26.077037922144452</v>
      </c>
      <c r="CQ123" s="637">
        <v>26.45944407396162</v>
      </c>
      <c r="CR123" s="637">
        <v>26.089156749989932</v>
      </c>
      <c r="CS123" s="637">
        <v>26.386230996191063</v>
      </c>
      <c r="CT123" s="637">
        <v>27.614466132618219</v>
      </c>
      <c r="CU123" s="637">
        <v>28.512244382224711</v>
      </c>
      <c r="CV123" s="637">
        <v>29.448844459996305</v>
      </c>
      <c r="CW123" s="637">
        <v>27.700989440503211</v>
      </c>
      <c r="CX123" s="637">
        <v>29.402143113695427</v>
      </c>
      <c r="CY123" s="637">
        <v>28.494982453254448</v>
      </c>
      <c r="CZ123" s="637">
        <v>28.08707891546387</v>
      </c>
      <c r="DA123" s="637">
        <v>27.067012631793695</v>
      </c>
      <c r="DB123" s="681"/>
      <c r="DC123" s="681"/>
      <c r="DD123" s="681"/>
      <c r="DE123" s="681"/>
    </row>
    <row r="124" spans="3:109" x14ac:dyDescent="0.25">
      <c r="C124" s="642"/>
      <c r="D124" s="642" t="s">
        <v>328</v>
      </c>
      <c r="E124" s="642"/>
      <c r="F124" s="680">
        <v>15.560900249289</v>
      </c>
      <c r="G124" s="680">
        <v>13.906174561450566</v>
      </c>
      <c r="H124" s="680">
        <v>14.598446236825177</v>
      </c>
      <c r="I124" s="680">
        <v>15.794164374007053</v>
      </c>
      <c r="J124" s="680">
        <v>13.352495993168276</v>
      </c>
      <c r="K124" s="680">
        <v>14.462980094899876</v>
      </c>
      <c r="L124" s="680">
        <v>12.29596085185988</v>
      </c>
      <c r="M124" s="680">
        <v>13.846538434830915</v>
      </c>
      <c r="N124" s="680">
        <v>13.704700239288847</v>
      </c>
      <c r="O124" s="680">
        <v>13.337198650845339</v>
      </c>
      <c r="P124" s="680">
        <v>13.427220091697331</v>
      </c>
      <c r="Q124" s="680">
        <v>12.181918376608641</v>
      </c>
      <c r="R124" s="680">
        <v>11.952421769393483</v>
      </c>
      <c r="S124" s="680">
        <v>13.287862678001829</v>
      </c>
      <c r="T124" s="680">
        <v>12.928386516974502</v>
      </c>
      <c r="U124" s="680">
        <v>14.938466844985909</v>
      </c>
      <c r="V124" s="680">
        <v>13.607883095477721</v>
      </c>
      <c r="W124" s="680">
        <v>12.899067527410596</v>
      </c>
      <c r="X124" s="680">
        <v>13.802216779576899</v>
      </c>
      <c r="Y124" s="680">
        <v>15.881049875813922</v>
      </c>
      <c r="Z124" s="680">
        <v>14.932459604561132</v>
      </c>
      <c r="AA124" s="680">
        <v>14.508357256893786</v>
      </c>
      <c r="AB124" s="680">
        <v>16.136812140898694</v>
      </c>
      <c r="AC124" s="680">
        <v>15.773349604697257</v>
      </c>
      <c r="AD124" s="680">
        <v>15.493811860737949</v>
      </c>
      <c r="AE124" s="680">
        <v>15.482671223304918</v>
      </c>
      <c r="AF124" s="680">
        <v>17.301918809554888</v>
      </c>
      <c r="AG124" s="680">
        <v>17.123567859447959</v>
      </c>
      <c r="AH124" s="680">
        <v>15.585218780600938</v>
      </c>
      <c r="AI124" s="680">
        <v>15.949809457571979</v>
      </c>
      <c r="AJ124" s="680">
        <v>17.553196724884383</v>
      </c>
      <c r="AK124" s="680">
        <v>17.951489382794922</v>
      </c>
      <c r="AL124" s="680">
        <v>18.010385128756063</v>
      </c>
      <c r="AM124" s="680">
        <v>17.218389175054739</v>
      </c>
      <c r="AN124" s="680">
        <v>18.757708848616158</v>
      </c>
      <c r="AO124" s="680">
        <v>17.044696933827961</v>
      </c>
      <c r="AP124" s="680">
        <v>18.590479378398058</v>
      </c>
      <c r="AQ124" s="680">
        <v>17.153945380435783</v>
      </c>
      <c r="AR124" s="680">
        <v>17.699295042725396</v>
      </c>
      <c r="AS124" s="680">
        <v>18.70753441916936</v>
      </c>
      <c r="AT124" s="680">
        <v>19.465634348212969</v>
      </c>
      <c r="AU124" s="680">
        <v>19.842658754731815</v>
      </c>
      <c r="AV124" s="680">
        <v>19.767383028088954</v>
      </c>
      <c r="AW124" s="680">
        <v>22.850564441304748</v>
      </c>
      <c r="AX124" s="680">
        <v>22.513446211712338</v>
      </c>
      <c r="AY124" s="680">
        <v>23.7059933145086</v>
      </c>
      <c r="AZ124" s="680">
        <v>21.102791403788498</v>
      </c>
      <c r="BA124" s="680">
        <v>23.122012664323606</v>
      </c>
      <c r="BB124" s="680">
        <v>24.502034048924365</v>
      </c>
      <c r="BC124" s="680">
        <v>24.434811420655482</v>
      </c>
      <c r="BD124" s="680">
        <v>22.654702371350218</v>
      </c>
      <c r="BE124" s="680">
        <v>23.646502451894261</v>
      </c>
      <c r="BF124" s="680">
        <v>20.661631108878133</v>
      </c>
      <c r="BG124" s="680">
        <v>19.570155060030121</v>
      </c>
      <c r="BH124" s="680">
        <v>19.95889523832367</v>
      </c>
      <c r="BI124" s="680">
        <v>18.120406663848922</v>
      </c>
      <c r="BJ124" s="680">
        <v>18.606924115825365</v>
      </c>
      <c r="BK124" s="680">
        <v>19.264561401582927</v>
      </c>
      <c r="BL124" s="680">
        <v>19.410750586080685</v>
      </c>
      <c r="BM124" s="680">
        <v>19.044324299039918</v>
      </c>
      <c r="BN124" s="680">
        <v>18.490176567118546</v>
      </c>
      <c r="BO124" s="680">
        <v>21.156090877841169</v>
      </c>
      <c r="BP124" s="639">
        <v>20.993235606686795</v>
      </c>
      <c r="BQ124" s="639">
        <v>20.141135234946152</v>
      </c>
      <c r="BR124" s="639">
        <v>20.249979236646855</v>
      </c>
      <c r="BS124" s="637">
        <v>21.896953287301244</v>
      </c>
      <c r="BT124" s="637">
        <v>23.563933446840931</v>
      </c>
      <c r="BU124" s="637">
        <v>24.182705746270848</v>
      </c>
      <c r="BV124" s="637">
        <v>25.137606807684783</v>
      </c>
      <c r="BW124" s="637">
        <v>24.00820343274366</v>
      </c>
      <c r="BX124" s="637">
        <v>23.689780904742751</v>
      </c>
      <c r="BY124" s="637">
        <v>24.533929668466847</v>
      </c>
      <c r="BZ124" s="637">
        <v>26.848880723659292</v>
      </c>
      <c r="CA124" s="637">
        <v>29.436180750670221</v>
      </c>
      <c r="CB124" s="637">
        <v>30.115902287955265</v>
      </c>
      <c r="CC124" s="637">
        <v>28.380897936923304</v>
      </c>
      <c r="CD124" s="637">
        <v>23.644835535264651</v>
      </c>
      <c r="CE124" s="637">
        <v>20.923338600943783</v>
      </c>
      <c r="CF124" s="637">
        <v>20.205675869786312</v>
      </c>
      <c r="CG124" s="637">
        <v>20.878455813731161</v>
      </c>
      <c r="CH124" s="637">
        <v>21.574813973234015</v>
      </c>
      <c r="CI124" s="637">
        <v>22.050441492567369</v>
      </c>
      <c r="CJ124" s="637">
        <v>22.624711309301109</v>
      </c>
      <c r="CK124" s="637">
        <v>22.410860693472326</v>
      </c>
      <c r="CL124" s="637">
        <v>23.033237267684026</v>
      </c>
      <c r="CM124" s="637">
        <v>23.697201527931576</v>
      </c>
      <c r="CN124" s="637">
        <v>24.160336946360978</v>
      </c>
      <c r="CO124" s="637">
        <v>24.205805783139581</v>
      </c>
      <c r="CP124" s="637">
        <v>23.510631821240175</v>
      </c>
      <c r="CQ124" s="637">
        <v>23.48515853353048</v>
      </c>
      <c r="CR124" s="637">
        <v>22.613683366704123</v>
      </c>
      <c r="CS124" s="637">
        <v>22.855192060862127</v>
      </c>
      <c r="CT124" s="637">
        <v>23.909977069883119</v>
      </c>
      <c r="CU124" s="637">
        <v>24.273573802618372</v>
      </c>
      <c r="CV124" s="637">
        <v>25.164834424178974</v>
      </c>
      <c r="CW124" s="637">
        <v>24.930303812050443</v>
      </c>
      <c r="CX124" s="637">
        <v>25.845389441256224</v>
      </c>
      <c r="CY124" s="637">
        <v>24.376376536188939</v>
      </c>
      <c r="CZ124" s="637">
        <v>24.419348864928214</v>
      </c>
      <c r="DA124" s="637">
        <v>24.579047000032293</v>
      </c>
      <c r="DB124" s="681"/>
      <c r="DC124" s="681"/>
      <c r="DD124" s="681"/>
      <c r="DE124" s="681"/>
    </row>
    <row r="125" spans="3:109" x14ac:dyDescent="0.25">
      <c r="C125" s="642"/>
      <c r="D125" s="642" t="s">
        <v>329</v>
      </c>
      <c r="E125" s="642"/>
      <c r="F125" s="680">
        <v>1.8</v>
      </c>
      <c r="G125" s="680">
        <v>1.2</v>
      </c>
      <c r="H125" s="680">
        <v>0.4</v>
      </c>
      <c r="I125" s="680">
        <v>2</v>
      </c>
      <c r="J125" s="680">
        <v>-0.5</v>
      </c>
      <c r="K125" s="680">
        <v>1.6</v>
      </c>
      <c r="L125" s="680">
        <v>0.1</v>
      </c>
      <c r="M125" s="680">
        <v>3.2</v>
      </c>
      <c r="N125" s="680">
        <v>2.8</v>
      </c>
      <c r="O125" s="680">
        <v>1.2</v>
      </c>
      <c r="P125" s="680">
        <v>1.7</v>
      </c>
      <c r="Q125" s="680">
        <v>0.2</v>
      </c>
      <c r="R125" s="680">
        <v>2.5</v>
      </c>
      <c r="S125" s="680">
        <v>2.2000000000000002</v>
      </c>
      <c r="T125" s="680">
        <v>0.9</v>
      </c>
      <c r="U125" s="680">
        <v>2.7</v>
      </c>
      <c r="V125" s="680">
        <v>1.2</v>
      </c>
      <c r="W125" s="680">
        <v>0</v>
      </c>
      <c r="X125" s="680">
        <v>-0.8</v>
      </c>
      <c r="Y125" s="680">
        <v>-0.2</v>
      </c>
      <c r="Z125" s="680">
        <v>-1.5</v>
      </c>
      <c r="AA125" s="680">
        <v>-3.3</v>
      </c>
      <c r="AB125" s="680">
        <v>-0.8</v>
      </c>
      <c r="AC125" s="680">
        <v>-0.9</v>
      </c>
      <c r="AD125" s="680">
        <v>-1.2</v>
      </c>
      <c r="AE125" s="680">
        <v>-1.9</v>
      </c>
      <c r="AF125" s="680">
        <v>-0.2</v>
      </c>
      <c r="AG125" s="680">
        <v>-1.1000000000000001</v>
      </c>
      <c r="AH125" s="680">
        <v>-1.6</v>
      </c>
      <c r="AI125" s="680">
        <v>-1.3</v>
      </c>
      <c r="AJ125" s="680">
        <v>-1.2</v>
      </c>
      <c r="AK125" s="680">
        <v>-1.7</v>
      </c>
      <c r="AL125" s="680">
        <v>-0.5</v>
      </c>
      <c r="AM125" s="680">
        <v>-1</v>
      </c>
      <c r="AN125" s="680">
        <v>-2.6</v>
      </c>
      <c r="AO125" s="680">
        <v>-2.7</v>
      </c>
      <c r="AP125" s="680">
        <v>1.3</v>
      </c>
      <c r="AQ125" s="680">
        <v>-0.9</v>
      </c>
      <c r="AR125" s="680">
        <v>-0.8</v>
      </c>
      <c r="AS125" s="680">
        <v>-1.4</v>
      </c>
      <c r="AT125" s="680">
        <v>-0.1</v>
      </c>
      <c r="AU125" s="680">
        <v>-0.1</v>
      </c>
      <c r="AV125" s="680">
        <v>-1</v>
      </c>
      <c r="AW125" s="680">
        <v>0.7</v>
      </c>
      <c r="AX125" s="680">
        <v>0.7</v>
      </c>
      <c r="AY125" s="680">
        <v>0.5</v>
      </c>
      <c r="AZ125" s="680">
        <v>-0.7</v>
      </c>
      <c r="BA125" s="680">
        <v>0.6</v>
      </c>
      <c r="BB125" s="680">
        <v>1.2</v>
      </c>
      <c r="BC125" s="680">
        <v>0.4</v>
      </c>
      <c r="BD125" s="680">
        <v>0.8</v>
      </c>
      <c r="BE125" s="680">
        <v>1.2</v>
      </c>
      <c r="BF125" s="680">
        <v>0.3</v>
      </c>
      <c r="BG125" s="680">
        <v>-2.5</v>
      </c>
      <c r="BH125" s="680">
        <v>0</v>
      </c>
      <c r="BI125" s="680">
        <v>-1.1000000000000001</v>
      </c>
      <c r="BJ125" s="680">
        <v>-1.4</v>
      </c>
      <c r="BK125" s="680">
        <v>-3.1</v>
      </c>
      <c r="BL125" s="680">
        <v>-2.9</v>
      </c>
      <c r="BM125" s="680">
        <v>-3.5</v>
      </c>
      <c r="BN125" s="680">
        <v>-3.2</v>
      </c>
      <c r="BO125" s="680">
        <v>-2.4</v>
      </c>
      <c r="BP125" s="639">
        <v>-3.3</v>
      </c>
      <c r="BQ125" s="639">
        <v>-3.6</v>
      </c>
      <c r="BR125" s="639">
        <v>-4.5</v>
      </c>
      <c r="BS125" s="637">
        <v>-3.8</v>
      </c>
      <c r="BT125" s="637">
        <v>-3.1</v>
      </c>
      <c r="BU125" s="637">
        <v>-6.5</v>
      </c>
      <c r="BV125" s="637">
        <v>-3.4</v>
      </c>
      <c r="BW125" s="637">
        <v>-5.4</v>
      </c>
      <c r="BX125" s="637">
        <v>-6.9</v>
      </c>
      <c r="BY125" s="637">
        <v>-5.7</v>
      </c>
      <c r="BZ125" s="637">
        <v>-5.9</v>
      </c>
      <c r="CA125" s="637">
        <v>-5.8</v>
      </c>
      <c r="CB125" s="637">
        <v>-6.6</v>
      </c>
      <c r="CC125" s="637">
        <v>-3.8</v>
      </c>
      <c r="CD125" s="637">
        <v>-4</v>
      </c>
      <c r="CE125" s="637">
        <v>-1.9</v>
      </c>
      <c r="CF125" s="637">
        <v>-2.2999999999999998</v>
      </c>
      <c r="CG125" s="637">
        <v>-2.7</v>
      </c>
      <c r="CH125" s="637">
        <v>-2.7</v>
      </c>
      <c r="CI125" s="637">
        <v>-1.2</v>
      </c>
      <c r="CJ125" s="637">
        <v>-1.9</v>
      </c>
      <c r="CK125" s="637">
        <v>-0.4</v>
      </c>
      <c r="CL125" s="637">
        <v>-1.4</v>
      </c>
      <c r="CM125" s="637">
        <v>-1.9</v>
      </c>
      <c r="CN125" s="637">
        <v>-2.7</v>
      </c>
      <c r="CO125" s="637">
        <v>-2.7</v>
      </c>
      <c r="CP125" s="637">
        <v>-3.6</v>
      </c>
      <c r="CQ125" s="637">
        <v>-4.8</v>
      </c>
      <c r="CR125" s="637">
        <v>-5.5</v>
      </c>
      <c r="CS125" s="637">
        <v>-5.8</v>
      </c>
      <c r="CT125" s="637">
        <v>-5.2</v>
      </c>
      <c r="CU125" s="637">
        <v>-6.1</v>
      </c>
      <c r="CV125" s="637">
        <v>-6.4</v>
      </c>
      <c r="CW125" s="637">
        <v>-5.3</v>
      </c>
      <c r="CX125" s="599">
        <v>-4.5999999999999996</v>
      </c>
      <c r="CY125" s="599">
        <v>-6.2</v>
      </c>
      <c r="CZ125" s="599">
        <v>-5.8</v>
      </c>
      <c r="DA125" s="599">
        <v>-5.0999999999999996</v>
      </c>
      <c r="DB125" s="682"/>
      <c r="DC125" s="682"/>
      <c r="DD125" s="682"/>
      <c r="DE125" s="682"/>
    </row>
    <row r="126" spans="3:109" x14ac:dyDescent="0.25">
      <c r="C126" s="642"/>
      <c r="D126" s="642" t="s">
        <v>304</v>
      </c>
      <c r="E126" s="642"/>
      <c r="F126" s="680">
        <v>5.5436957971981302</v>
      </c>
      <c r="G126" s="680">
        <v>5.7098599860522503</v>
      </c>
      <c r="H126" s="680">
        <v>4.4089267158196845</v>
      </c>
      <c r="I126" s="680">
        <v>6.7048991875589312</v>
      </c>
      <c r="J126" s="680">
        <v>3.1073830902418953</v>
      </c>
      <c r="K126" s="680">
        <v>5.8330597749858253</v>
      </c>
      <c r="L126" s="680">
        <v>3.3307858145026064</v>
      </c>
      <c r="M126" s="680">
        <v>6.2437330740920771</v>
      </c>
      <c r="N126" s="680">
        <v>5.717487575386814</v>
      </c>
      <c r="O126" s="680">
        <v>4.7238945456663437</v>
      </c>
      <c r="P126" s="680">
        <v>4.6376196965661336</v>
      </c>
      <c r="Q126" s="680">
        <v>3.6737258656931906</v>
      </c>
      <c r="R126" s="680">
        <v>5.668042440089029</v>
      </c>
      <c r="S126" s="680">
        <v>5.5597858638573294</v>
      </c>
      <c r="T126" s="680">
        <v>4.443594936935245</v>
      </c>
      <c r="U126" s="680">
        <v>6.6952151002991513</v>
      </c>
      <c r="V126" s="680">
        <v>4.4349705050707104</v>
      </c>
      <c r="W126" s="680">
        <v>3.1326980223383547</v>
      </c>
      <c r="X126" s="680">
        <v>2.3678869579602724</v>
      </c>
      <c r="Y126" s="680">
        <v>2.6883648673270746</v>
      </c>
      <c r="Z126" s="680">
        <v>1.6095166261121601</v>
      </c>
      <c r="AA126" s="680">
        <v>-0.18318267222248366</v>
      </c>
      <c r="AB126" s="680">
        <v>2.5666684130560067</v>
      </c>
      <c r="AC126" s="680">
        <v>2.0625815613400516</v>
      </c>
      <c r="AD126" s="680">
        <v>1.6419636808275087</v>
      </c>
      <c r="AE126" s="680">
        <v>1.2640859832556248</v>
      </c>
      <c r="AF126" s="680">
        <v>2.8827207687669767</v>
      </c>
      <c r="AG126" s="680">
        <v>1.9908306642465599</v>
      </c>
      <c r="AH126" s="680">
        <v>1.3155550319906348</v>
      </c>
      <c r="AI126" s="680">
        <v>1.3520465348867954</v>
      </c>
      <c r="AJ126" s="680">
        <v>1.9332631214838418</v>
      </c>
      <c r="AK126" s="680">
        <v>1.4936511564505957</v>
      </c>
      <c r="AL126" s="680">
        <v>2.3717865242916516</v>
      </c>
      <c r="AM126" s="680">
        <v>2.0673513644072692</v>
      </c>
      <c r="AN126" s="680">
        <v>0.63954892222954585</v>
      </c>
      <c r="AO126" s="680">
        <v>0.26847080411996477</v>
      </c>
      <c r="AP126" s="680">
        <v>4.7247143226489774</v>
      </c>
      <c r="AQ126" s="680">
        <v>2.3700143477305669</v>
      </c>
      <c r="AR126" s="680">
        <v>2.6852100057845059</v>
      </c>
      <c r="AS126" s="680">
        <v>2.0483128307332827</v>
      </c>
      <c r="AT126" s="680">
        <v>3.2629595016969311</v>
      </c>
      <c r="AU126" s="680">
        <v>3.4716306519269184</v>
      </c>
      <c r="AV126" s="680">
        <v>2.8881966092524309</v>
      </c>
      <c r="AW126" s="680">
        <v>4.1464146052332334</v>
      </c>
      <c r="AX126" s="680">
        <v>4.250880602752062</v>
      </c>
      <c r="AY126" s="680">
        <v>4.8681881388691988</v>
      </c>
      <c r="AZ126" s="680">
        <v>3.756074488293498</v>
      </c>
      <c r="BA126" s="680">
        <v>4.1883240350520188</v>
      </c>
      <c r="BB126" s="680">
        <v>4.2944970893996057</v>
      </c>
      <c r="BC126" s="680">
        <v>4.6776035804434262</v>
      </c>
      <c r="BD126" s="680">
        <v>3.8022261655105658</v>
      </c>
      <c r="BE126" s="680">
        <v>3.7743596520622811</v>
      </c>
      <c r="BF126" s="680">
        <v>3.0804019672582941</v>
      </c>
      <c r="BG126" s="680">
        <v>2.014621862061817</v>
      </c>
      <c r="BH126" s="680">
        <v>2.1322158194868353</v>
      </c>
      <c r="BI126" s="680">
        <v>0.88326837133018399</v>
      </c>
      <c r="BJ126" s="680">
        <v>1.2634687614865598</v>
      </c>
      <c r="BK126" s="680">
        <v>-0.51058212674402015</v>
      </c>
      <c r="BL126" s="680">
        <v>-0.16723104065909572</v>
      </c>
      <c r="BM126" s="680">
        <v>-0.84106114292322354</v>
      </c>
      <c r="BN126" s="680">
        <v>-0.43268933110276098</v>
      </c>
      <c r="BO126" s="680">
        <v>0.68681420590701014</v>
      </c>
      <c r="BP126" s="639">
        <v>-0.56311706714027865</v>
      </c>
      <c r="BQ126" s="639">
        <v>-0.17437580525485896</v>
      </c>
      <c r="BR126" s="639">
        <v>-0.52831198553024994</v>
      </c>
      <c r="BS126" s="637">
        <v>-1.0994039282398183</v>
      </c>
      <c r="BT126" s="637">
        <v>-0.26714432531864984</v>
      </c>
      <c r="BU126" s="637">
        <v>-3.2483801340369265</v>
      </c>
      <c r="BV126" s="637">
        <v>0.45038093035663129</v>
      </c>
      <c r="BW126" s="637">
        <v>-1.5888101925425804</v>
      </c>
      <c r="BX126" s="637">
        <v>-2.0510322194464745</v>
      </c>
      <c r="BY126" s="637">
        <v>-0.25337651849518256</v>
      </c>
      <c r="BZ126" s="637">
        <v>-0.52527048539564991</v>
      </c>
      <c r="CA126" s="637">
        <v>-0.84865195163937535</v>
      </c>
      <c r="CB126" s="637">
        <v>-1.2660803855562306</v>
      </c>
      <c r="CC126" s="637">
        <v>0.17868553809357191</v>
      </c>
      <c r="CD126" s="637">
        <v>0.10026815902996386</v>
      </c>
      <c r="CE126" s="637">
        <v>1.7011498174206416</v>
      </c>
      <c r="CF126" s="637">
        <v>1.7084449482845785</v>
      </c>
      <c r="CG126" s="637">
        <v>0.95819698451473179</v>
      </c>
      <c r="CH126" s="637">
        <v>1.1754355054049908</v>
      </c>
      <c r="CI126" s="637">
        <v>1.9678923782520952</v>
      </c>
      <c r="CJ126" s="637">
        <v>2.1319643185706605</v>
      </c>
      <c r="CK126" s="637">
        <v>3.3356541442258281</v>
      </c>
      <c r="CL126" s="637">
        <v>2.4890815477308816</v>
      </c>
      <c r="CM126" s="637">
        <v>2.0894020265679263</v>
      </c>
      <c r="CN126" s="637">
        <v>1.8935103941017248</v>
      </c>
      <c r="CO126" s="637">
        <v>0.34954404394885863</v>
      </c>
      <c r="CP126" s="637">
        <v>-0.15298946139192651</v>
      </c>
      <c r="CQ126" s="637">
        <v>-0.57933286527916306</v>
      </c>
      <c r="CR126" s="637">
        <v>-1.3942829184251915</v>
      </c>
      <c r="CS126" s="637">
        <v>-1.6903008566093396</v>
      </c>
      <c r="CT126" s="637">
        <v>-1.7447105907860088</v>
      </c>
      <c r="CU126" s="637">
        <v>-2.2401111120353874</v>
      </c>
      <c r="CV126" s="637">
        <v>-2.5172669640866245</v>
      </c>
      <c r="CW126" s="637">
        <v>-1.2492813801449001</v>
      </c>
      <c r="CX126" s="637">
        <v>-1.9270746554220102</v>
      </c>
      <c r="CY126" s="637">
        <v>-2.4153934481612152</v>
      </c>
      <c r="CZ126" s="637">
        <v>-2.026357440723038</v>
      </c>
      <c r="DA126" s="637">
        <v>-0.89926499496891377</v>
      </c>
      <c r="DB126" s="681"/>
      <c r="DC126" s="681"/>
      <c r="DD126" s="681"/>
      <c r="DE126" s="681"/>
    </row>
    <row r="127" spans="3:109" x14ac:dyDescent="0.25">
      <c r="C127" s="642"/>
      <c r="D127" s="642"/>
      <c r="E127" s="642"/>
      <c r="F127" s="642"/>
      <c r="G127" s="642"/>
      <c r="H127" s="642"/>
      <c r="I127" s="642"/>
      <c r="J127" s="642"/>
      <c r="K127" s="642"/>
      <c r="L127" s="642"/>
      <c r="M127" s="642"/>
      <c r="N127" s="642"/>
      <c r="O127" s="642"/>
      <c r="P127" s="642"/>
      <c r="Q127" s="642"/>
      <c r="R127" s="642"/>
      <c r="S127" s="642"/>
      <c r="T127" s="642"/>
      <c r="U127" s="642"/>
      <c r="V127" s="642"/>
      <c r="W127" s="642"/>
      <c r="X127" s="642"/>
      <c r="Y127" s="642"/>
      <c r="Z127" s="642"/>
      <c r="AA127" s="642"/>
      <c r="AB127" s="642"/>
      <c r="AC127" s="642"/>
      <c r="AD127" s="642"/>
      <c r="AE127" s="642"/>
      <c r="AF127" s="642"/>
      <c r="AG127" s="642"/>
      <c r="AH127" s="642"/>
      <c r="AI127" s="642"/>
      <c r="AJ127" s="642"/>
      <c r="AK127" s="642"/>
      <c r="AL127" s="642"/>
      <c r="AM127" s="642"/>
      <c r="AN127" s="642"/>
      <c r="AO127" s="642"/>
      <c r="AP127" s="642"/>
      <c r="AQ127" s="642"/>
      <c r="AR127" s="642"/>
      <c r="AS127" s="642"/>
      <c r="AT127" s="642"/>
      <c r="AU127" s="642"/>
      <c r="AV127" s="642"/>
      <c r="AW127" s="642"/>
      <c r="AX127" s="642"/>
      <c r="AY127" s="642"/>
      <c r="AZ127" s="642"/>
      <c r="BA127" s="642"/>
      <c r="BB127" s="642"/>
      <c r="BC127" s="642"/>
      <c r="BD127" s="642"/>
      <c r="BE127" s="642"/>
      <c r="BF127" s="642"/>
      <c r="BG127" s="642"/>
      <c r="BH127" s="642"/>
      <c r="BI127" s="642"/>
      <c r="BJ127" s="642"/>
      <c r="BK127" s="642"/>
      <c r="BL127" s="642"/>
      <c r="BM127" s="642"/>
      <c r="BN127" s="642"/>
      <c r="BO127" s="642"/>
      <c r="DB127" s="682"/>
      <c r="DC127" s="682"/>
      <c r="DD127" s="682"/>
      <c r="DE127" s="682"/>
    </row>
    <row r="128" spans="3:109" x14ac:dyDescent="0.25">
      <c r="C128" s="642"/>
      <c r="D128" s="642"/>
      <c r="E128" s="642"/>
      <c r="F128" s="642"/>
      <c r="G128" s="680"/>
      <c r="H128" s="642"/>
      <c r="I128" s="642"/>
      <c r="J128" s="642"/>
      <c r="K128" s="642"/>
      <c r="L128" s="642"/>
      <c r="M128" s="642"/>
      <c r="N128" s="642"/>
      <c r="O128" s="642"/>
      <c r="P128" s="642"/>
      <c r="Q128" s="642"/>
      <c r="R128" s="642"/>
      <c r="S128" s="642"/>
      <c r="T128" s="642"/>
      <c r="U128" s="642"/>
      <c r="V128" s="642"/>
      <c r="W128" s="642"/>
      <c r="X128" s="642"/>
      <c r="Y128" s="642"/>
      <c r="Z128" s="642"/>
      <c r="AA128" s="642"/>
      <c r="AB128" s="642"/>
      <c r="AC128" s="642"/>
      <c r="AD128" s="642"/>
      <c r="AE128" s="642"/>
      <c r="AF128" s="642"/>
      <c r="AG128" s="642"/>
      <c r="AH128" s="642"/>
      <c r="AI128" s="642"/>
      <c r="AJ128" s="642"/>
      <c r="AK128" s="642"/>
      <c r="AL128" s="642"/>
      <c r="AM128" s="642"/>
      <c r="AN128" s="642"/>
      <c r="AO128" s="642"/>
      <c r="AP128" s="642"/>
      <c r="AQ128" s="642"/>
      <c r="AR128" s="642"/>
      <c r="AS128" s="642"/>
      <c r="AT128" s="642"/>
      <c r="AU128" s="642"/>
      <c r="AV128" s="642"/>
      <c r="AW128" s="642"/>
      <c r="AX128" s="642"/>
      <c r="AY128" s="642"/>
      <c r="AZ128" s="642"/>
      <c r="BA128" s="642"/>
      <c r="BB128" s="642"/>
      <c r="BC128" s="642"/>
      <c r="BD128" s="642"/>
      <c r="BE128" s="642"/>
      <c r="BF128" s="642"/>
      <c r="BG128" s="642"/>
      <c r="BH128" s="642"/>
      <c r="BI128" s="642"/>
      <c r="BJ128" s="642"/>
      <c r="BK128" s="642"/>
      <c r="BL128" s="642"/>
      <c r="BM128" s="642"/>
      <c r="BN128" s="642"/>
      <c r="BO128" s="642"/>
      <c r="CH128" s="637">
        <v>22.365665056130794</v>
      </c>
      <c r="CI128" s="637">
        <v>22.338568107761837</v>
      </c>
      <c r="CJ128" s="637">
        <v>22.721010826827513</v>
      </c>
      <c r="CK128" s="637">
        <v>21.275510651469741</v>
      </c>
      <c r="CL128" s="637">
        <v>22.696340529552568</v>
      </c>
      <c r="CM128" s="637">
        <v>23.962228229060571</v>
      </c>
      <c r="CN128" s="637">
        <v>24.997231228055835</v>
      </c>
      <c r="CO128" s="637">
        <v>26.556315358630091</v>
      </c>
      <c r="CP128" s="637">
        <v>26.077037922144452</v>
      </c>
      <c r="CQ128" s="637">
        <v>26.45944407396162</v>
      </c>
      <c r="CR128" s="637">
        <v>26.089156749989932</v>
      </c>
      <c r="CS128" s="637">
        <v>26.386230996191063</v>
      </c>
      <c r="CT128" s="637">
        <v>27.614466132618219</v>
      </c>
      <c r="CU128" s="637">
        <v>28.512244382224711</v>
      </c>
      <c r="CV128" s="637">
        <v>29.448844459996305</v>
      </c>
      <c r="CW128" s="637">
        <v>27.700989440503211</v>
      </c>
      <c r="CX128" s="637">
        <v>29.402143113695427</v>
      </c>
      <c r="CY128" s="637">
        <v>28.494982453254448</v>
      </c>
      <c r="CZ128" s="637">
        <v>28.08707891546387</v>
      </c>
      <c r="DA128" s="637">
        <v>27.067012631793695</v>
      </c>
      <c r="DB128" s="681"/>
      <c r="DC128" s="681"/>
      <c r="DD128" s="681"/>
      <c r="DE128" s="681"/>
    </row>
    <row r="129" spans="3:109" x14ac:dyDescent="0.25">
      <c r="C129" s="642"/>
      <c r="D129" s="642"/>
      <c r="E129" s="642"/>
      <c r="F129" s="642"/>
      <c r="G129" s="642"/>
      <c r="H129" s="642"/>
      <c r="I129" s="642"/>
      <c r="J129" s="642"/>
      <c r="K129" s="642"/>
      <c r="L129" s="642"/>
      <c r="M129" s="642"/>
      <c r="N129" s="642"/>
      <c r="O129" s="642"/>
      <c r="P129" s="642"/>
      <c r="Q129" s="642"/>
      <c r="R129" s="642"/>
      <c r="S129" s="642"/>
      <c r="T129" s="642"/>
      <c r="U129" s="642"/>
      <c r="V129" s="642"/>
      <c r="W129" s="642"/>
      <c r="X129" s="642"/>
      <c r="Y129" s="642"/>
      <c r="Z129" s="642"/>
      <c r="AA129" s="642"/>
      <c r="AB129" s="642"/>
      <c r="AC129" s="642"/>
      <c r="AD129" s="642"/>
      <c r="AE129" s="642"/>
      <c r="AF129" s="642"/>
      <c r="AG129" s="642"/>
      <c r="AH129" s="642"/>
      <c r="AI129" s="642"/>
      <c r="AJ129" s="642"/>
      <c r="AK129" s="642"/>
      <c r="AL129" s="642"/>
      <c r="AM129" s="642"/>
      <c r="AN129" s="642"/>
      <c r="AO129" s="642"/>
      <c r="AP129" s="642"/>
      <c r="AQ129" s="642"/>
      <c r="AR129" s="642"/>
      <c r="AS129" s="642"/>
      <c r="AT129" s="642"/>
      <c r="AU129" s="642"/>
      <c r="AV129" s="642"/>
      <c r="AW129" s="642"/>
      <c r="AX129" s="642"/>
      <c r="AY129" s="642"/>
      <c r="AZ129" s="642"/>
      <c r="BA129" s="642"/>
      <c r="BB129" s="642"/>
      <c r="BC129" s="642"/>
      <c r="BD129" s="642"/>
      <c r="BE129" s="642"/>
      <c r="BF129" s="642"/>
      <c r="BG129" s="642"/>
      <c r="BH129" s="642"/>
      <c r="BI129" s="642"/>
      <c r="BJ129" s="642"/>
      <c r="BK129" s="642"/>
      <c r="BL129" s="642"/>
      <c r="BM129" s="642"/>
      <c r="BN129" s="642"/>
      <c r="BO129" s="642"/>
      <c r="CH129" s="637">
        <v>21.574813973234015</v>
      </c>
      <c r="CI129" s="637">
        <v>22.050441492567369</v>
      </c>
      <c r="CJ129" s="637">
        <v>22.624711309301109</v>
      </c>
      <c r="CK129" s="637">
        <v>22.410860693472326</v>
      </c>
      <c r="CL129" s="637">
        <v>23.033237267684026</v>
      </c>
      <c r="CM129" s="637">
        <v>23.697201527931576</v>
      </c>
      <c r="CN129" s="637">
        <v>24.160336946360978</v>
      </c>
      <c r="CO129" s="637">
        <v>24.205805783139581</v>
      </c>
      <c r="CP129" s="637">
        <v>23.510631821240175</v>
      </c>
      <c r="CQ129" s="637">
        <v>23.48515853353048</v>
      </c>
      <c r="CR129" s="637">
        <v>22.613683366704123</v>
      </c>
      <c r="CS129" s="637">
        <v>22.855192060862127</v>
      </c>
      <c r="CT129" s="637">
        <v>23.909977069883119</v>
      </c>
      <c r="CU129" s="637">
        <v>24.273573802618372</v>
      </c>
      <c r="CV129" s="637">
        <v>25.164834424178974</v>
      </c>
      <c r="CW129" s="637">
        <v>24.930303812050443</v>
      </c>
      <c r="CX129" s="637">
        <v>25.828058277587434</v>
      </c>
      <c r="CY129" s="637">
        <v>24.35226802971976</v>
      </c>
      <c r="CZ129" s="637">
        <v>24.419348864928214</v>
      </c>
      <c r="DA129" s="637">
        <v>24.579047000032293</v>
      </c>
      <c r="DB129" s="681"/>
      <c r="DC129" s="681"/>
      <c r="DD129" s="681"/>
      <c r="DE129" s="681"/>
    </row>
    <row r="130" spans="3:109" x14ac:dyDescent="0.25">
      <c r="CH130" s="599">
        <v>-2.7</v>
      </c>
      <c r="CI130" s="599">
        <v>-1.2</v>
      </c>
      <c r="CJ130" s="599">
        <v>-1.9</v>
      </c>
      <c r="CK130" s="599">
        <v>-0.4</v>
      </c>
      <c r="CL130" s="599">
        <v>-1.4</v>
      </c>
      <c r="CM130" s="599">
        <v>-1.9</v>
      </c>
      <c r="CN130" s="599">
        <v>-2.7</v>
      </c>
      <c r="CO130" s="599">
        <v>-2.7</v>
      </c>
      <c r="CP130" s="599">
        <v>-3.6</v>
      </c>
      <c r="CQ130" s="599">
        <v>-4.8</v>
      </c>
      <c r="CR130" s="599">
        <v>-5.5</v>
      </c>
      <c r="CS130" s="599">
        <v>-5.8</v>
      </c>
      <c r="CT130" s="599">
        <v>-5.2</v>
      </c>
      <c r="CU130" s="599">
        <v>-6.1</v>
      </c>
      <c r="CV130" s="599">
        <v>-6.4</v>
      </c>
      <c r="CW130" s="599">
        <v>-5.3</v>
      </c>
      <c r="CX130" s="599">
        <v>-4.5999999999999996</v>
      </c>
      <c r="CY130" s="599">
        <v>-6.2</v>
      </c>
      <c r="CZ130" s="599">
        <v>-5.8</v>
      </c>
      <c r="DA130" s="599">
        <v>-5.0999999999999996</v>
      </c>
      <c r="DB130" s="682"/>
      <c r="DC130" s="682"/>
      <c r="DD130" s="682"/>
      <c r="DE130" s="682"/>
    </row>
    <row r="131" spans="3:109" x14ac:dyDescent="0.25">
      <c r="CH131" s="637">
        <v>1.1754355054049908</v>
      </c>
      <c r="CI131" s="637">
        <v>1.9678923782520952</v>
      </c>
      <c r="CJ131" s="637">
        <v>2.1319643185706605</v>
      </c>
      <c r="CK131" s="637">
        <v>3.3356541442258281</v>
      </c>
      <c r="CL131" s="637">
        <v>2.4890815477308816</v>
      </c>
      <c r="CM131" s="637">
        <v>2.0894020265679263</v>
      </c>
      <c r="CN131" s="637">
        <v>1.8935103941017248</v>
      </c>
      <c r="CO131" s="637">
        <v>0.34954404394885863</v>
      </c>
      <c r="CP131" s="637">
        <v>-0.15298946139192651</v>
      </c>
      <c r="CQ131" s="637">
        <v>-0.57933286527916306</v>
      </c>
      <c r="CR131" s="637">
        <v>-1.3942829184251915</v>
      </c>
      <c r="CS131" s="637">
        <v>-1.6903008566093396</v>
      </c>
      <c r="CT131" s="637">
        <v>-1.7447105907860088</v>
      </c>
      <c r="CU131" s="637">
        <v>-2.2401111120353874</v>
      </c>
      <c r="CV131" s="637">
        <v>-2.5172669640866245</v>
      </c>
      <c r="CW131" s="637">
        <v>-1.2492813801449001</v>
      </c>
      <c r="CX131" s="637">
        <v>-1.9270746554220102</v>
      </c>
      <c r="CY131" s="637">
        <v>-2.4153934481612152</v>
      </c>
      <c r="CZ131" s="637">
        <v>-2.026357440723038</v>
      </c>
      <c r="DA131" s="637">
        <v>-0.89926499496891377</v>
      </c>
      <c r="DB131" s="681"/>
      <c r="DC131" s="681"/>
      <c r="DD131" s="681"/>
      <c r="DE131" s="681"/>
    </row>
    <row r="132" spans="3:109" x14ac:dyDescent="0.25">
      <c r="CH132" s="637">
        <f>CH126-CH131</f>
        <v>0</v>
      </c>
      <c r="CI132" s="637">
        <f t="shared" ref="CI132:DA132" si="0">CI126-CI131</f>
        <v>0</v>
      </c>
      <c r="CJ132" s="637">
        <f t="shared" si="0"/>
        <v>0</v>
      </c>
      <c r="CK132" s="637">
        <f t="shared" si="0"/>
        <v>0</v>
      </c>
      <c r="CL132" s="637">
        <f t="shared" si="0"/>
        <v>0</v>
      </c>
      <c r="CM132" s="637">
        <f t="shared" si="0"/>
        <v>0</v>
      </c>
      <c r="CN132" s="637">
        <f t="shared" si="0"/>
        <v>0</v>
      </c>
      <c r="CO132" s="637">
        <f t="shared" si="0"/>
        <v>0</v>
      </c>
      <c r="CP132" s="637">
        <f t="shared" si="0"/>
        <v>0</v>
      </c>
      <c r="CQ132" s="637">
        <f t="shared" si="0"/>
        <v>0</v>
      </c>
      <c r="CR132" s="637">
        <f t="shared" si="0"/>
        <v>0</v>
      </c>
      <c r="CS132" s="637">
        <f t="shared" si="0"/>
        <v>0</v>
      </c>
      <c r="CT132" s="637">
        <f t="shared" si="0"/>
        <v>0</v>
      </c>
      <c r="CU132" s="637">
        <f t="shared" si="0"/>
        <v>0</v>
      </c>
      <c r="CV132" s="637">
        <f t="shared" si="0"/>
        <v>0</v>
      </c>
      <c r="CW132" s="637">
        <f t="shared" si="0"/>
        <v>0</v>
      </c>
      <c r="CX132" s="637">
        <f t="shared" si="0"/>
        <v>0</v>
      </c>
      <c r="CY132" s="637">
        <f t="shared" si="0"/>
        <v>0</v>
      </c>
      <c r="CZ132" s="637">
        <f t="shared" si="0"/>
        <v>0</v>
      </c>
      <c r="DA132" s="637">
        <f t="shared" si="0"/>
        <v>0</v>
      </c>
      <c r="DB132" s="681"/>
      <c r="DC132" s="681"/>
      <c r="DD132" s="681"/>
      <c r="DE132" s="681"/>
    </row>
  </sheetData>
  <mergeCells count="34">
    <mergeCell ref="CX121:CZ121"/>
    <mergeCell ref="DB121:DD121"/>
    <mergeCell ref="BZ121:CC121"/>
    <mergeCell ref="CD121:CG121"/>
    <mergeCell ref="CH121:CK121"/>
    <mergeCell ref="CL121:CO121"/>
    <mergeCell ref="CP121:CS121"/>
    <mergeCell ref="CT121:CW121"/>
    <mergeCell ref="BV121:BY121"/>
    <mergeCell ref="AD121:AG121"/>
    <mergeCell ref="AH121:AK121"/>
    <mergeCell ref="AL121:AO121"/>
    <mergeCell ref="AP121:AS121"/>
    <mergeCell ref="AT121:AW121"/>
    <mergeCell ref="AX121:BA121"/>
    <mergeCell ref="BB121:BE121"/>
    <mergeCell ref="BF121:BI121"/>
    <mergeCell ref="BJ121:BM121"/>
    <mergeCell ref="BN121:BQ121"/>
    <mergeCell ref="BR121:BU121"/>
    <mergeCell ref="D37:AA37"/>
    <mergeCell ref="D38:AA38"/>
    <mergeCell ref="F121:I121"/>
    <mergeCell ref="J121:M121"/>
    <mergeCell ref="N121:Q121"/>
    <mergeCell ref="R121:U121"/>
    <mergeCell ref="V121:Y121"/>
    <mergeCell ref="Z121:AC121"/>
    <mergeCell ref="D36:AA36"/>
    <mergeCell ref="D2:AA2"/>
    <mergeCell ref="D3:AA3"/>
    <mergeCell ref="D4:AA4"/>
    <mergeCell ref="D5:AA5"/>
    <mergeCell ref="D35:AA35"/>
  </mergeCells>
  <pageMargins left="0.74803149606299202" right="0.74803149606299202" top="0.98425196850393704" bottom="0.98425196850393704" header="0.511811023622047" footer="0.511811023622047"/>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32"/>
  <sheetViews>
    <sheetView showGridLines="0" view="pageBreakPreview" zoomScale="110" zoomScaleNormal="100" zoomScaleSheetLayoutView="110" workbookViewId="0">
      <selection activeCell="D65" sqref="D65:P65"/>
    </sheetView>
  </sheetViews>
  <sheetFormatPr defaultColWidth="9.28515625" defaultRowHeight="15" x14ac:dyDescent="0.25"/>
  <cols>
    <col min="1" max="1" width="3.7109375" customWidth="1"/>
    <col min="2" max="2" width="14.42578125" customWidth="1"/>
    <col min="3" max="3" width="5" customWidth="1"/>
    <col min="4" max="4" width="22" bestFit="1" customWidth="1"/>
    <col min="5" max="16" width="11" customWidth="1"/>
  </cols>
  <sheetData>
    <row r="1" spans="1:28" s="685" customFormat="1" x14ac:dyDescent="0.2">
      <c r="A1" s="683"/>
      <c r="B1" s="684"/>
      <c r="C1" s="683"/>
    </row>
    <row r="2" spans="1:28" s="685" customFormat="1" ht="14.25" customHeight="1" x14ac:dyDescent="0.2">
      <c r="A2" s="686">
        <v>1</v>
      </c>
      <c r="B2" s="686" t="s">
        <v>0</v>
      </c>
      <c r="C2" s="686">
        <f>1+'[6]Foreign Trade'!C2</f>
        <v>14</v>
      </c>
      <c r="D2" s="4145" t="s">
        <v>330</v>
      </c>
      <c r="E2" s="4146"/>
      <c r="F2" s="4146"/>
      <c r="G2" s="4146"/>
      <c r="H2" s="4146"/>
      <c r="I2" s="4146"/>
      <c r="J2" s="4146"/>
      <c r="K2" s="4146"/>
      <c r="L2" s="4146"/>
      <c r="M2" s="4146"/>
      <c r="N2" s="4146"/>
      <c r="O2" s="4146"/>
      <c r="P2" s="4147"/>
      <c r="Q2" s="687"/>
      <c r="R2" s="687"/>
      <c r="S2" s="688"/>
      <c r="T2" s="688"/>
      <c r="U2" s="689"/>
    </row>
    <row r="3" spans="1:28" s="685" customFormat="1" ht="14.25" customHeight="1" x14ac:dyDescent="0.25">
      <c r="A3" s="686">
        <v>2</v>
      </c>
      <c r="B3" s="686" t="s">
        <v>2</v>
      </c>
      <c r="C3" s="686"/>
      <c r="D3" s="4148" t="s">
        <v>299</v>
      </c>
      <c r="E3" s="4149"/>
      <c r="F3" s="4149"/>
      <c r="G3" s="4149"/>
      <c r="H3" s="4149"/>
      <c r="I3" s="4149"/>
      <c r="J3" s="4149"/>
      <c r="K3" s="4149"/>
      <c r="L3" s="4149"/>
      <c r="M3" s="4149"/>
      <c r="N3" s="4149"/>
      <c r="O3" s="4149"/>
      <c r="P3" s="4150"/>
      <c r="Q3" s="690"/>
      <c r="R3" s="690"/>
      <c r="S3" s="688"/>
      <c r="T3" s="688"/>
      <c r="U3" s="413"/>
    </row>
    <row r="4" spans="1:28" s="685" customFormat="1" ht="18" customHeight="1" x14ac:dyDescent="0.2">
      <c r="A4" s="686">
        <v>3</v>
      </c>
      <c r="B4" s="686" t="s">
        <v>4</v>
      </c>
      <c r="C4" s="686"/>
      <c r="D4" s="4148" t="s">
        <v>331</v>
      </c>
      <c r="E4" s="4149"/>
      <c r="F4" s="4149"/>
      <c r="G4" s="4149"/>
      <c r="H4" s="4149"/>
      <c r="I4" s="4149"/>
      <c r="J4" s="4149"/>
      <c r="K4" s="4149"/>
      <c r="L4" s="4149"/>
      <c r="M4" s="4149"/>
      <c r="N4" s="4149"/>
      <c r="O4" s="4149"/>
      <c r="P4" s="4150"/>
      <c r="Q4" s="690"/>
      <c r="R4" s="690"/>
      <c r="S4" s="688"/>
      <c r="T4" s="688"/>
      <c r="U4" s="691"/>
    </row>
    <row r="5" spans="1:28" s="44" customFormat="1" ht="13.5" customHeight="1" x14ac:dyDescent="0.25">
      <c r="A5" s="116"/>
      <c r="B5" s="117"/>
      <c r="C5" s="116"/>
      <c r="D5" s="4151"/>
      <c r="E5" s="4149"/>
      <c r="F5" s="4149"/>
      <c r="G5" s="4149"/>
      <c r="H5" s="4149"/>
      <c r="I5" s="4149"/>
      <c r="J5" s="4149"/>
      <c r="K5" s="4149"/>
      <c r="L5" s="4149"/>
      <c r="M5" s="4149"/>
      <c r="N5" s="4149"/>
      <c r="O5" s="4149"/>
      <c r="P5" s="4150"/>
      <c r="Q5" s="4139"/>
      <c r="R5" s="4139"/>
      <c r="S5" s="4139"/>
      <c r="T5" s="4139"/>
      <c r="U5" s="4139"/>
      <c r="V5" s="4139"/>
      <c r="W5" s="4139"/>
      <c r="X5" s="4139"/>
      <c r="Y5" s="4139"/>
      <c r="Z5" s="4139"/>
      <c r="AA5" s="4139"/>
      <c r="AB5" s="4139"/>
    </row>
    <row r="6" spans="1:28" x14ac:dyDescent="0.25">
      <c r="A6" s="686">
        <v>4</v>
      </c>
      <c r="B6" s="686" t="s">
        <v>5</v>
      </c>
      <c r="C6" s="12"/>
      <c r="D6" s="697" t="s">
        <v>40</v>
      </c>
      <c r="E6" s="697" t="s">
        <v>332</v>
      </c>
      <c r="F6" s="656"/>
      <c r="G6" s="656"/>
      <c r="H6" s="695"/>
      <c r="I6" s="695"/>
      <c r="J6" s="695"/>
      <c r="K6" s="695"/>
      <c r="L6" s="695"/>
      <c r="M6" s="695"/>
      <c r="N6" s="695"/>
      <c r="O6" s="695"/>
      <c r="P6" s="698"/>
      <c r="Q6" s="699"/>
      <c r="R6" s="699"/>
      <c r="S6" s="696"/>
      <c r="T6" s="696"/>
      <c r="U6" s="696"/>
      <c r="V6" s="696"/>
    </row>
    <row r="7" spans="1:28" x14ac:dyDescent="0.25">
      <c r="A7" s="686"/>
      <c r="B7" s="686"/>
      <c r="C7" s="12"/>
      <c r="D7" s="700"/>
      <c r="E7" s="701" t="s">
        <v>142</v>
      </c>
      <c r="F7" s="701" t="s">
        <v>143</v>
      </c>
      <c r="G7" s="702" t="s">
        <v>144</v>
      </c>
      <c r="H7" s="702" t="s">
        <v>145</v>
      </c>
      <c r="I7" s="702" t="s">
        <v>8</v>
      </c>
      <c r="J7" s="702" t="s">
        <v>9</v>
      </c>
      <c r="K7" s="702" t="s">
        <v>10</v>
      </c>
      <c r="L7" s="702" t="s">
        <v>11</v>
      </c>
      <c r="M7" s="702" t="s">
        <v>12</v>
      </c>
      <c r="N7" s="702" t="s">
        <v>13</v>
      </c>
      <c r="O7" s="702" t="s">
        <v>14</v>
      </c>
      <c r="P7" s="702" t="s">
        <v>15</v>
      </c>
      <c r="Q7" s="703" t="s">
        <v>333</v>
      </c>
      <c r="R7" s="704"/>
      <c r="S7" s="696"/>
      <c r="T7" s="696"/>
      <c r="U7" s="696"/>
      <c r="V7" s="696"/>
    </row>
    <row r="8" spans="1:28" x14ac:dyDescent="0.25">
      <c r="A8" s="686"/>
      <c r="B8" s="686"/>
      <c r="C8" s="12"/>
      <c r="D8" s="705" t="s">
        <v>84</v>
      </c>
      <c r="E8" s="706">
        <v>26</v>
      </c>
      <c r="F8" s="706">
        <v>19</v>
      </c>
      <c r="G8" s="706">
        <v>21</v>
      </c>
      <c r="H8" s="706">
        <v>21</v>
      </c>
      <c r="I8" s="706">
        <v>24</v>
      </c>
      <c r="J8" s="706">
        <v>26</v>
      </c>
      <c r="K8" s="706">
        <v>21</v>
      </c>
      <c r="L8" s="707">
        <v>25</v>
      </c>
      <c r="M8" s="707">
        <v>24</v>
      </c>
      <c r="N8" s="707">
        <v>20</v>
      </c>
      <c r="O8" s="706">
        <v>18</v>
      </c>
      <c r="P8" s="706">
        <v>25</v>
      </c>
      <c r="Q8" s="708">
        <v>23</v>
      </c>
      <c r="R8" s="706"/>
      <c r="S8" s="696"/>
      <c r="T8" s="696"/>
      <c r="U8" s="696"/>
      <c r="V8" s="696"/>
    </row>
    <row r="9" spans="1:28" x14ac:dyDescent="0.25">
      <c r="A9" s="686"/>
      <c r="B9" s="686"/>
      <c r="C9" s="12"/>
      <c r="D9" s="705" t="s">
        <v>76</v>
      </c>
      <c r="E9" s="706">
        <v>27</v>
      </c>
      <c r="F9" s="706">
        <v>27</v>
      </c>
      <c r="G9" s="706">
        <v>26</v>
      </c>
      <c r="H9" s="706">
        <v>28</v>
      </c>
      <c r="I9" s="706">
        <v>30</v>
      </c>
      <c r="J9" s="706">
        <v>30</v>
      </c>
      <c r="K9" s="706">
        <v>31</v>
      </c>
      <c r="L9" s="707">
        <v>33</v>
      </c>
      <c r="M9" s="707">
        <v>34</v>
      </c>
      <c r="N9" s="707">
        <v>33</v>
      </c>
      <c r="O9" s="706">
        <v>35</v>
      </c>
      <c r="P9" s="706">
        <v>33</v>
      </c>
      <c r="Q9" s="708">
        <v>33</v>
      </c>
      <c r="R9" s="706"/>
      <c r="S9" s="696"/>
      <c r="T9" s="696"/>
      <c r="U9" s="696"/>
      <c r="V9" s="696"/>
    </row>
    <row r="10" spans="1:28" x14ac:dyDescent="0.25">
      <c r="A10" s="686"/>
      <c r="B10" s="686"/>
      <c r="C10" s="12"/>
      <c r="D10" s="705" t="s">
        <v>334</v>
      </c>
      <c r="E10" s="706">
        <v>25</v>
      </c>
      <c r="F10" s="706">
        <v>26</v>
      </c>
      <c r="G10" s="706">
        <v>27</v>
      </c>
      <c r="H10" s="706">
        <v>32</v>
      </c>
      <c r="I10" s="706">
        <v>35</v>
      </c>
      <c r="J10" s="706">
        <v>33</v>
      </c>
      <c r="K10" s="706">
        <v>33</v>
      </c>
      <c r="L10" s="707">
        <v>34</v>
      </c>
      <c r="M10" s="707">
        <v>32</v>
      </c>
      <c r="N10" s="707">
        <v>29</v>
      </c>
      <c r="O10" s="706">
        <v>30</v>
      </c>
      <c r="P10" s="706">
        <v>29</v>
      </c>
      <c r="Q10" s="708">
        <v>30</v>
      </c>
      <c r="R10" s="706"/>
      <c r="S10" s="696"/>
      <c r="T10" s="696"/>
      <c r="U10" s="696"/>
      <c r="V10" s="696"/>
    </row>
    <row r="11" spans="1:28" x14ac:dyDescent="0.25">
      <c r="A11" s="686"/>
      <c r="B11" s="686"/>
      <c r="C11" s="12"/>
      <c r="D11" s="705" t="s">
        <v>335</v>
      </c>
      <c r="E11" s="706">
        <v>40</v>
      </c>
      <c r="F11" s="706">
        <v>39</v>
      </c>
      <c r="G11" s="706">
        <v>38</v>
      </c>
      <c r="H11" s="706">
        <v>44</v>
      </c>
      <c r="I11" s="706">
        <v>53</v>
      </c>
      <c r="J11" s="706">
        <v>47</v>
      </c>
      <c r="K11" s="706">
        <v>44</v>
      </c>
      <c r="L11" s="707">
        <v>45</v>
      </c>
      <c r="M11" s="707">
        <v>48</v>
      </c>
      <c r="N11" s="707">
        <v>41</v>
      </c>
      <c r="O11" s="706">
        <v>36</v>
      </c>
      <c r="P11" s="706">
        <v>41</v>
      </c>
      <c r="Q11" s="708">
        <v>35</v>
      </c>
      <c r="R11" s="706"/>
      <c r="S11" s="696"/>
      <c r="T11" s="696"/>
      <c r="U11" s="696"/>
      <c r="V11" s="696"/>
    </row>
    <row r="12" spans="1:28" x14ac:dyDescent="0.25">
      <c r="A12" s="686"/>
      <c r="B12" s="686"/>
      <c r="C12" s="12"/>
      <c r="D12" s="705" t="s">
        <v>336</v>
      </c>
      <c r="E12" s="706">
        <v>37</v>
      </c>
      <c r="F12" s="706">
        <v>37</v>
      </c>
      <c r="G12" s="706">
        <v>41</v>
      </c>
      <c r="H12" s="706">
        <v>46</v>
      </c>
      <c r="I12" s="706">
        <v>47</v>
      </c>
      <c r="J12" s="706">
        <v>60</v>
      </c>
      <c r="K12" s="706">
        <v>69</v>
      </c>
      <c r="L12" s="707">
        <v>71</v>
      </c>
      <c r="M12" s="707">
        <v>78</v>
      </c>
      <c r="N12" s="707">
        <v>75</v>
      </c>
      <c r="O12" s="706">
        <v>67</v>
      </c>
      <c r="P12" s="706">
        <v>65</v>
      </c>
      <c r="Q12" s="708">
        <v>59</v>
      </c>
      <c r="R12" s="706"/>
      <c r="S12" s="696"/>
      <c r="T12" s="696"/>
      <c r="U12" s="696"/>
      <c r="V12" s="696"/>
    </row>
    <row r="13" spans="1:28" x14ac:dyDescent="0.25">
      <c r="A13" s="686"/>
      <c r="B13" s="686"/>
      <c r="C13" s="12"/>
      <c r="D13" s="884" t="s">
        <v>28</v>
      </c>
      <c r="E13" s="885">
        <v>42</v>
      </c>
      <c r="F13" s="885">
        <v>36</v>
      </c>
      <c r="G13" s="885">
        <v>44</v>
      </c>
      <c r="H13" s="885">
        <v>45</v>
      </c>
      <c r="I13" s="885">
        <v>45</v>
      </c>
      <c r="J13" s="885">
        <v>54</v>
      </c>
      <c r="K13" s="885">
        <v>50</v>
      </c>
      <c r="L13" s="886">
        <v>52</v>
      </c>
      <c r="M13" s="886">
        <v>53</v>
      </c>
      <c r="N13" s="886">
        <v>56</v>
      </c>
      <c r="O13" s="887">
        <v>49</v>
      </c>
      <c r="P13" s="887">
        <v>47</v>
      </c>
      <c r="Q13" s="888">
        <v>61</v>
      </c>
      <c r="R13" s="711"/>
      <c r="S13" s="696"/>
      <c r="T13" s="696"/>
      <c r="U13" s="696"/>
      <c r="V13" s="696"/>
    </row>
    <row r="14" spans="1:28" x14ac:dyDescent="0.25">
      <c r="A14" s="686"/>
      <c r="B14" s="686"/>
      <c r="C14" s="12"/>
      <c r="D14" s="705" t="s">
        <v>337</v>
      </c>
      <c r="E14" s="706">
        <v>36</v>
      </c>
      <c r="F14" s="706">
        <v>44</v>
      </c>
      <c r="G14" s="706">
        <v>45</v>
      </c>
      <c r="H14" s="706">
        <v>54</v>
      </c>
      <c r="I14" s="706">
        <v>68</v>
      </c>
      <c r="J14" s="706">
        <v>70</v>
      </c>
      <c r="K14" s="706">
        <v>64</v>
      </c>
      <c r="L14" s="707">
        <v>55</v>
      </c>
      <c r="M14" s="707">
        <v>52</v>
      </c>
      <c r="N14" s="707">
        <v>42</v>
      </c>
      <c r="O14" s="706">
        <v>44</v>
      </c>
      <c r="P14" s="706">
        <v>49</v>
      </c>
      <c r="Q14" s="708">
        <v>54</v>
      </c>
      <c r="R14" s="706"/>
      <c r="S14" s="696"/>
      <c r="T14" s="696"/>
      <c r="U14" s="696"/>
      <c r="V14" s="696"/>
    </row>
    <row r="15" spans="1:28" x14ac:dyDescent="0.25">
      <c r="A15" s="686"/>
      <c r="B15" s="686"/>
      <c r="C15" s="12"/>
      <c r="D15" s="705" t="s">
        <v>338</v>
      </c>
      <c r="E15" s="706">
        <v>41</v>
      </c>
      <c r="F15" s="706">
        <v>38</v>
      </c>
      <c r="G15" s="706">
        <v>47</v>
      </c>
      <c r="H15" s="706">
        <v>62</v>
      </c>
      <c r="I15" s="706">
        <v>58</v>
      </c>
      <c r="J15" s="706">
        <v>52</v>
      </c>
      <c r="K15" s="706">
        <v>48</v>
      </c>
      <c r="L15" s="707">
        <v>60</v>
      </c>
      <c r="M15" s="707">
        <v>63</v>
      </c>
      <c r="N15" s="707">
        <v>60</v>
      </c>
      <c r="O15" s="706">
        <v>63</v>
      </c>
      <c r="P15" s="706">
        <v>69</v>
      </c>
      <c r="Q15" s="708">
        <v>60</v>
      </c>
      <c r="R15" s="706"/>
      <c r="S15" s="696"/>
      <c r="T15" s="696"/>
      <c r="U15" s="696"/>
      <c r="V15" s="696"/>
    </row>
    <row r="16" spans="1:28" x14ac:dyDescent="0.25">
      <c r="A16" s="686"/>
      <c r="B16" s="686"/>
      <c r="C16" s="12"/>
      <c r="D16" s="712" t="s">
        <v>86</v>
      </c>
      <c r="E16" s="706">
        <v>48</v>
      </c>
      <c r="F16" s="706">
        <v>45</v>
      </c>
      <c r="G16" s="706">
        <v>51</v>
      </c>
      <c r="H16" s="706">
        <v>53</v>
      </c>
      <c r="I16" s="706">
        <v>46</v>
      </c>
      <c r="J16" s="706">
        <v>39</v>
      </c>
      <c r="K16" s="706">
        <v>41</v>
      </c>
      <c r="L16" s="707">
        <v>41</v>
      </c>
      <c r="M16" s="707">
        <v>42</v>
      </c>
      <c r="N16" s="707">
        <v>43</v>
      </c>
      <c r="O16" s="706">
        <v>41</v>
      </c>
      <c r="P16" s="706">
        <v>36</v>
      </c>
      <c r="Q16" s="708">
        <v>39</v>
      </c>
      <c r="R16" s="706"/>
      <c r="S16" s="696"/>
      <c r="T16" s="696"/>
      <c r="U16" s="696"/>
      <c r="V16" s="696"/>
      <c r="W16" s="696"/>
    </row>
    <row r="17" spans="1:25" x14ac:dyDescent="0.25">
      <c r="A17" s="686"/>
      <c r="B17" s="686"/>
      <c r="C17" s="12"/>
      <c r="D17" s="705" t="s">
        <v>85</v>
      </c>
      <c r="E17" s="706">
        <v>58</v>
      </c>
      <c r="F17" s="706">
        <v>52</v>
      </c>
      <c r="G17" s="706">
        <v>52</v>
      </c>
      <c r="H17" s="706">
        <v>60</v>
      </c>
      <c r="I17" s="706">
        <v>60</v>
      </c>
      <c r="J17" s="706">
        <v>66</v>
      </c>
      <c r="K17" s="706">
        <v>58</v>
      </c>
      <c r="L17" s="707">
        <v>53</v>
      </c>
      <c r="M17" s="707">
        <v>55</v>
      </c>
      <c r="N17" s="707">
        <v>61</v>
      </c>
      <c r="O17" s="706">
        <v>57</v>
      </c>
      <c r="P17" s="706">
        <v>51</v>
      </c>
      <c r="Q17" s="708">
        <v>51</v>
      </c>
      <c r="R17" s="706"/>
      <c r="S17" s="696"/>
      <c r="T17" s="696"/>
      <c r="U17" s="696"/>
      <c r="V17" s="696"/>
      <c r="W17" s="696"/>
    </row>
    <row r="18" spans="1:25" x14ac:dyDescent="0.25">
      <c r="A18" s="686"/>
      <c r="B18" s="686"/>
      <c r="C18" s="12"/>
      <c r="D18" s="705" t="s">
        <v>339</v>
      </c>
      <c r="E18" s="706">
        <v>55</v>
      </c>
      <c r="F18" s="706">
        <v>55</v>
      </c>
      <c r="G18" s="706">
        <v>60</v>
      </c>
      <c r="H18" s="706">
        <v>57</v>
      </c>
      <c r="I18" s="706">
        <v>57</v>
      </c>
      <c r="J18" s="706">
        <v>55</v>
      </c>
      <c r="K18" s="706">
        <v>54</v>
      </c>
      <c r="L18" s="707">
        <v>54</v>
      </c>
      <c r="M18" s="707">
        <v>45</v>
      </c>
      <c r="N18" s="707">
        <v>39</v>
      </c>
      <c r="O18" s="706">
        <v>46</v>
      </c>
      <c r="P18" s="706">
        <v>45</v>
      </c>
      <c r="Q18" s="708">
        <v>45</v>
      </c>
      <c r="R18" s="706"/>
      <c r="S18" s="696"/>
      <c r="T18" s="696"/>
      <c r="U18" s="696"/>
      <c r="V18" s="696"/>
      <c r="W18" s="696"/>
    </row>
    <row r="19" spans="1:25" x14ac:dyDescent="0.25">
      <c r="A19" s="686"/>
      <c r="B19" s="686"/>
      <c r="C19" s="12"/>
      <c r="D19" s="705" t="s">
        <v>74</v>
      </c>
      <c r="E19" s="706">
        <v>66</v>
      </c>
      <c r="F19" s="706">
        <v>66</v>
      </c>
      <c r="G19" s="706">
        <v>72</v>
      </c>
      <c r="H19" s="706">
        <v>64</v>
      </c>
      <c r="I19" s="706">
        <v>56</v>
      </c>
      <c r="J19" s="706">
        <v>58</v>
      </c>
      <c r="K19" s="706">
        <v>53</v>
      </c>
      <c r="L19" s="707">
        <v>48</v>
      </c>
      <c r="M19" s="707">
        <v>56</v>
      </c>
      <c r="N19" s="707">
        <v>57</v>
      </c>
      <c r="O19" s="706">
        <v>75</v>
      </c>
      <c r="P19" s="706">
        <v>81</v>
      </c>
      <c r="Q19" s="708">
        <v>80</v>
      </c>
      <c r="R19" s="706"/>
      <c r="S19" s="696"/>
      <c r="T19" s="696"/>
      <c r="U19" s="696"/>
      <c r="V19" s="696"/>
      <c r="W19" s="696"/>
    </row>
    <row r="20" spans="1:25" x14ac:dyDescent="0.25">
      <c r="A20" s="686"/>
      <c r="B20" s="686"/>
      <c r="C20" s="12"/>
      <c r="D20" s="705" t="s">
        <v>340</v>
      </c>
      <c r="E20" s="706">
        <v>68</v>
      </c>
      <c r="F20" s="706">
        <v>73</v>
      </c>
      <c r="G20" s="706">
        <v>74</v>
      </c>
      <c r="H20" s="706">
        <v>68</v>
      </c>
      <c r="I20" s="706">
        <v>64</v>
      </c>
      <c r="J20" s="706">
        <v>67</v>
      </c>
      <c r="K20" s="706">
        <v>77</v>
      </c>
      <c r="L20" s="707">
        <v>78</v>
      </c>
      <c r="M20" s="707">
        <v>76</v>
      </c>
      <c r="N20" s="707">
        <v>59</v>
      </c>
      <c r="O20" s="706">
        <v>53</v>
      </c>
      <c r="P20" s="706">
        <v>62</v>
      </c>
      <c r="Q20" s="708">
        <v>68</v>
      </c>
      <c r="R20" s="706"/>
      <c r="S20" s="696"/>
      <c r="T20" s="696"/>
      <c r="U20" s="696"/>
      <c r="V20" s="696"/>
      <c r="W20" s="696"/>
    </row>
    <row r="21" spans="1:25" x14ac:dyDescent="0.25">
      <c r="A21" s="686"/>
      <c r="B21" s="686"/>
      <c r="C21" s="12"/>
      <c r="D21" s="713" t="s">
        <v>73</v>
      </c>
      <c r="E21" s="714">
        <v>81</v>
      </c>
      <c r="F21" s="714">
        <v>57</v>
      </c>
      <c r="G21" s="714">
        <v>76</v>
      </c>
      <c r="H21" s="714">
        <v>56</v>
      </c>
      <c r="I21" s="714">
        <v>66</v>
      </c>
      <c r="J21" s="714">
        <v>76</v>
      </c>
      <c r="K21" s="714">
        <v>80</v>
      </c>
      <c r="L21" s="707">
        <v>79</v>
      </c>
      <c r="M21" s="707">
        <v>74</v>
      </c>
      <c r="N21" s="707">
        <v>74</v>
      </c>
      <c r="O21" s="714">
        <v>71</v>
      </c>
      <c r="P21" s="714">
        <v>64</v>
      </c>
      <c r="Q21" s="708">
        <v>63</v>
      </c>
      <c r="R21" s="706"/>
      <c r="S21" s="696"/>
      <c r="T21" s="696"/>
      <c r="U21" s="696"/>
      <c r="V21" s="696"/>
      <c r="W21" s="696"/>
    </row>
    <row r="22" spans="1:25" x14ac:dyDescent="0.25">
      <c r="A22" s="686"/>
      <c r="B22" s="686"/>
      <c r="C22" s="12"/>
      <c r="D22" s="715" t="s">
        <v>341</v>
      </c>
      <c r="E22" s="716">
        <v>117</v>
      </c>
      <c r="F22" s="716">
        <v>125</v>
      </c>
      <c r="G22" s="716">
        <v>131</v>
      </c>
      <c r="H22" s="716">
        <v>134</v>
      </c>
      <c r="I22" s="716">
        <v>133</v>
      </c>
      <c r="J22" s="716">
        <v>139</v>
      </c>
      <c r="K22" s="716">
        <v>142</v>
      </c>
      <c r="L22" s="716">
        <v>144</v>
      </c>
      <c r="M22" s="716">
        <v>148</v>
      </c>
      <c r="N22" s="716">
        <v>144</v>
      </c>
      <c r="O22" s="716">
        <v>138</v>
      </c>
      <c r="P22" s="716">
        <v>140</v>
      </c>
      <c r="Q22" s="717">
        <v>137</v>
      </c>
      <c r="R22" s="718"/>
      <c r="S22" s="696"/>
      <c r="T22" s="696"/>
      <c r="U22" s="696"/>
      <c r="V22" s="696"/>
      <c r="W22" s="696"/>
    </row>
    <row r="23" spans="1:25" x14ac:dyDescent="0.25">
      <c r="A23" s="686"/>
      <c r="B23" s="686"/>
      <c r="C23" s="12"/>
      <c r="D23" s="719"/>
      <c r="E23" s="698"/>
      <c r="F23" s="698"/>
      <c r="G23" s="698"/>
      <c r="H23" s="695"/>
      <c r="I23" s="695"/>
      <c r="J23" s="695"/>
      <c r="K23" s="695"/>
      <c r="L23" s="695"/>
      <c r="M23" s="695"/>
      <c r="N23" s="695"/>
      <c r="O23" s="695"/>
      <c r="P23" s="695"/>
      <c r="Q23" s="696"/>
      <c r="R23" s="696"/>
      <c r="S23" s="696"/>
      <c r="T23" s="696"/>
      <c r="U23" s="696"/>
      <c r="V23" s="696"/>
      <c r="W23" s="696"/>
    </row>
    <row r="24" spans="1:25" x14ac:dyDescent="0.25">
      <c r="A24" s="686"/>
      <c r="B24" s="686"/>
      <c r="C24" s="694"/>
      <c r="D24" s="720" t="s">
        <v>67</v>
      </c>
      <c r="E24" s="697" t="s">
        <v>342</v>
      </c>
      <c r="F24" s="721"/>
      <c r="G24" s="721"/>
      <c r="H24" s="706"/>
      <c r="I24" s="706"/>
      <c r="J24" s="706"/>
      <c r="K24" s="706"/>
      <c r="L24" s="706"/>
      <c r="M24" s="706"/>
      <c r="N24" s="706"/>
      <c r="O24" s="706"/>
      <c r="P24" s="706"/>
      <c r="Q24" s="722"/>
      <c r="R24" s="722"/>
      <c r="S24" s="722"/>
      <c r="T24" s="722"/>
      <c r="U24" s="722"/>
      <c r="V24" s="722"/>
      <c r="W24" s="696"/>
    </row>
    <row r="25" spans="1:25" x14ac:dyDescent="0.25">
      <c r="A25" s="686"/>
      <c r="B25" s="686"/>
      <c r="C25" s="694"/>
      <c r="D25" s="700"/>
      <c r="E25" s="723">
        <v>2005</v>
      </c>
      <c r="F25" s="723">
        <v>2006</v>
      </c>
      <c r="G25" s="723">
        <v>2007</v>
      </c>
      <c r="H25" s="723">
        <v>2008</v>
      </c>
      <c r="I25" s="723">
        <v>2009</v>
      </c>
      <c r="J25" s="723">
        <v>2010</v>
      </c>
      <c r="K25" s="723">
        <v>2011</v>
      </c>
      <c r="L25" s="723">
        <v>2012</v>
      </c>
      <c r="M25" s="723">
        <v>2013</v>
      </c>
      <c r="N25" s="723">
        <v>2014</v>
      </c>
      <c r="O25" s="723">
        <v>2015</v>
      </c>
      <c r="P25" s="723">
        <v>2016</v>
      </c>
      <c r="Q25" s="723">
        <v>2017</v>
      </c>
      <c r="R25" s="724">
        <v>2018</v>
      </c>
      <c r="S25" s="718"/>
      <c r="T25" s="725"/>
      <c r="U25" s="725"/>
      <c r="V25" s="725"/>
      <c r="W25" s="725"/>
      <c r="X25" s="725"/>
      <c r="Y25" s="725"/>
    </row>
    <row r="26" spans="1:25" x14ac:dyDescent="0.25">
      <c r="A26" s="686"/>
      <c r="B26" s="686"/>
      <c r="C26" s="694"/>
      <c r="D26" s="726" t="s">
        <v>343</v>
      </c>
      <c r="E26" s="727"/>
      <c r="F26" s="727"/>
      <c r="G26" s="727"/>
      <c r="H26" s="727"/>
      <c r="I26" s="727"/>
      <c r="J26" s="727"/>
      <c r="K26" s="727"/>
      <c r="L26" s="727"/>
      <c r="M26" s="727"/>
      <c r="N26" s="727"/>
      <c r="O26" s="727"/>
      <c r="P26" s="727"/>
      <c r="Q26" s="727"/>
      <c r="R26" s="728"/>
      <c r="S26" s="718"/>
      <c r="T26" s="725"/>
      <c r="U26" s="725"/>
      <c r="V26" s="725"/>
      <c r="W26" s="725"/>
      <c r="X26" s="725"/>
      <c r="Y26" s="725"/>
    </row>
    <row r="27" spans="1:25" x14ac:dyDescent="0.25">
      <c r="A27" s="729"/>
      <c r="B27" s="729"/>
      <c r="C27" s="694"/>
      <c r="D27" s="705" t="s">
        <v>84</v>
      </c>
      <c r="E27" s="707" t="s">
        <v>344</v>
      </c>
      <c r="F27" s="730">
        <v>22</v>
      </c>
      <c r="G27" s="730">
        <v>23</v>
      </c>
      <c r="H27" s="730">
        <v>19</v>
      </c>
      <c r="I27" s="730">
        <v>18</v>
      </c>
      <c r="J27" s="730">
        <v>10</v>
      </c>
      <c r="K27" s="730">
        <v>16</v>
      </c>
      <c r="L27" s="730">
        <v>14</v>
      </c>
      <c r="M27" s="730">
        <v>15</v>
      </c>
      <c r="N27" s="730">
        <v>12</v>
      </c>
      <c r="O27" s="730">
        <v>14</v>
      </c>
      <c r="P27" s="730">
        <v>19</v>
      </c>
      <c r="Q27" s="730">
        <v>24</v>
      </c>
      <c r="R27" s="731">
        <v>22</v>
      </c>
      <c r="S27" s="614"/>
      <c r="T27" s="696"/>
      <c r="U27" s="732"/>
      <c r="V27" s="733"/>
      <c r="W27" s="733"/>
      <c r="X27" s="733"/>
      <c r="Y27" s="733"/>
    </row>
    <row r="28" spans="1:25" x14ac:dyDescent="0.25">
      <c r="A28" s="729"/>
      <c r="B28" s="729"/>
      <c r="C28" s="734"/>
      <c r="D28" s="705" t="s">
        <v>76</v>
      </c>
      <c r="E28" s="707" t="s">
        <v>344</v>
      </c>
      <c r="F28" s="656">
        <v>23</v>
      </c>
      <c r="G28" s="656">
        <v>26</v>
      </c>
      <c r="H28" s="656">
        <v>26</v>
      </c>
      <c r="I28" s="656">
        <v>25</v>
      </c>
      <c r="J28" s="656">
        <v>28</v>
      </c>
      <c r="K28" s="656">
        <v>25</v>
      </c>
      <c r="L28" s="656">
        <v>28</v>
      </c>
      <c r="M28" s="656">
        <v>30</v>
      </c>
      <c r="N28" s="656">
        <v>31</v>
      </c>
      <c r="O28" s="656">
        <v>35</v>
      </c>
      <c r="P28" s="614">
        <v>36</v>
      </c>
      <c r="Q28" s="614">
        <v>35</v>
      </c>
      <c r="R28" s="735">
        <v>35</v>
      </c>
      <c r="S28" s="614"/>
      <c r="T28" s="696"/>
      <c r="U28" s="696"/>
      <c r="V28" s="696"/>
      <c r="W28" s="696"/>
      <c r="X28" s="696"/>
      <c r="Y28" s="696"/>
    </row>
    <row r="29" spans="1:25" x14ac:dyDescent="0.25">
      <c r="A29" s="729"/>
      <c r="B29" s="729"/>
      <c r="C29" s="736"/>
      <c r="D29" s="705" t="s">
        <v>334</v>
      </c>
      <c r="E29" s="707" t="s">
        <v>344</v>
      </c>
      <c r="F29" s="707">
        <v>19</v>
      </c>
      <c r="G29" s="707">
        <v>22</v>
      </c>
      <c r="H29" s="707">
        <v>23</v>
      </c>
      <c r="I29" s="656">
        <v>35</v>
      </c>
      <c r="J29" s="656">
        <v>34</v>
      </c>
      <c r="K29" s="656">
        <v>33</v>
      </c>
      <c r="L29" s="656">
        <v>31</v>
      </c>
      <c r="M29" s="656">
        <v>36</v>
      </c>
      <c r="N29" s="656">
        <v>30</v>
      </c>
      <c r="O29" s="656">
        <v>31</v>
      </c>
      <c r="P29" s="614">
        <v>31</v>
      </c>
      <c r="Q29" s="614">
        <v>30</v>
      </c>
      <c r="R29" s="735">
        <v>31</v>
      </c>
      <c r="S29" s="614"/>
      <c r="T29" s="696"/>
      <c r="U29" s="696"/>
      <c r="V29" s="696"/>
      <c r="W29" s="696"/>
      <c r="X29" s="696"/>
      <c r="Y29" s="696"/>
    </row>
    <row r="30" spans="1:25" x14ac:dyDescent="0.25">
      <c r="A30" s="729"/>
      <c r="B30" s="729"/>
      <c r="C30" s="734"/>
      <c r="D30" s="705" t="s">
        <v>335</v>
      </c>
      <c r="E30" s="707" t="s">
        <v>344</v>
      </c>
      <c r="F30" s="707" t="s">
        <v>344</v>
      </c>
      <c r="G30" s="707">
        <v>31</v>
      </c>
      <c r="H30" s="707">
        <v>36</v>
      </c>
      <c r="I30" s="656">
        <v>31</v>
      </c>
      <c r="J30" s="656">
        <v>43</v>
      </c>
      <c r="K30" s="656">
        <v>45</v>
      </c>
      <c r="L30" s="656">
        <v>36</v>
      </c>
      <c r="M30" s="656">
        <v>31</v>
      </c>
      <c r="N30" s="656">
        <v>34</v>
      </c>
      <c r="O30" s="656">
        <v>28</v>
      </c>
      <c r="P30" s="614">
        <v>30</v>
      </c>
      <c r="Q30" s="614">
        <v>33</v>
      </c>
      <c r="R30" s="735">
        <v>32</v>
      </c>
      <c r="S30" s="614"/>
      <c r="T30" s="696"/>
      <c r="U30" s="696"/>
      <c r="V30" s="696"/>
      <c r="W30" s="696"/>
      <c r="X30" s="696"/>
      <c r="Y30" s="696"/>
    </row>
    <row r="31" spans="1:25" x14ac:dyDescent="0.25">
      <c r="A31" s="729"/>
      <c r="B31" s="729"/>
      <c r="C31" s="736"/>
      <c r="D31" s="705" t="s">
        <v>345</v>
      </c>
      <c r="E31" s="707" t="s">
        <v>344</v>
      </c>
      <c r="F31" s="614">
        <v>33</v>
      </c>
      <c r="G31" s="614">
        <v>34</v>
      </c>
      <c r="H31" s="614">
        <v>30</v>
      </c>
      <c r="I31" s="614">
        <v>33</v>
      </c>
      <c r="J31" s="614">
        <v>49</v>
      </c>
      <c r="K31" s="614">
        <v>48</v>
      </c>
      <c r="L31" s="614">
        <v>47</v>
      </c>
      <c r="M31" s="614">
        <v>47</v>
      </c>
      <c r="N31" s="614">
        <v>45</v>
      </c>
      <c r="O31" s="614">
        <v>46</v>
      </c>
      <c r="P31" s="614">
        <v>40</v>
      </c>
      <c r="Q31" s="614">
        <v>51</v>
      </c>
      <c r="R31" s="735">
        <v>55</v>
      </c>
      <c r="S31" s="614"/>
      <c r="T31" s="696"/>
      <c r="U31" s="696"/>
      <c r="V31" s="696"/>
      <c r="W31" s="696"/>
      <c r="X31" s="696"/>
      <c r="Y31" s="696"/>
    </row>
    <row r="32" spans="1:25" x14ac:dyDescent="0.25">
      <c r="A32" s="686"/>
      <c r="B32" s="686"/>
      <c r="C32" s="734"/>
      <c r="D32" s="709" t="s">
        <v>346</v>
      </c>
      <c r="E32" s="710">
        <v>37</v>
      </c>
      <c r="F32" s="710">
        <v>38</v>
      </c>
      <c r="G32" s="710">
        <v>50</v>
      </c>
      <c r="H32" s="710">
        <v>53</v>
      </c>
      <c r="I32" s="710">
        <v>48</v>
      </c>
      <c r="J32" s="710">
        <v>44</v>
      </c>
      <c r="K32" s="710">
        <v>52</v>
      </c>
      <c r="L32" s="710">
        <v>50</v>
      </c>
      <c r="M32" s="710">
        <v>53</v>
      </c>
      <c r="N32" s="710">
        <v>52</v>
      </c>
      <c r="O32" s="710">
        <v>53</v>
      </c>
      <c r="P32" s="737">
        <v>52</v>
      </c>
      <c r="Q32" s="737">
        <v>53</v>
      </c>
      <c r="R32" s="738">
        <v>53</v>
      </c>
      <c r="S32" s="737"/>
    </row>
    <row r="33" spans="1:28" x14ac:dyDescent="0.25">
      <c r="A33" s="686"/>
      <c r="B33" s="686"/>
      <c r="C33" s="694"/>
      <c r="D33" s="705" t="s">
        <v>338</v>
      </c>
      <c r="E33" s="614">
        <v>31</v>
      </c>
      <c r="F33" s="614">
        <v>35</v>
      </c>
      <c r="G33" s="614">
        <v>35</v>
      </c>
      <c r="H33" s="614">
        <v>38</v>
      </c>
      <c r="I33" s="614">
        <v>45</v>
      </c>
      <c r="J33" s="614">
        <v>42</v>
      </c>
      <c r="K33" s="614">
        <v>47</v>
      </c>
      <c r="L33" s="614">
        <v>45</v>
      </c>
      <c r="M33" s="614">
        <v>50</v>
      </c>
      <c r="N33" s="614">
        <v>48</v>
      </c>
      <c r="O33" s="614">
        <v>48</v>
      </c>
      <c r="P33" s="614">
        <v>46</v>
      </c>
      <c r="Q33" s="614">
        <v>52</v>
      </c>
      <c r="R33" s="735">
        <v>47</v>
      </c>
      <c r="S33" s="614"/>
    </row>
    <row r="34" spans="1:28" x14ac:dyDescent="0.25">
      <c r="A34" s="686"/>
      <c r="B34" s="686"/>
      <c r="C34" s="734"/>
      <c r="D34" s="712" t="s">
        <v>86</v>
      </c>
      <c r="E34" s="614">
        <v>48</v>
      </c>
      <c r="F34" s="614">
        <v>50</v>
      </c>
      <c r="G34" s="614">
        <v>52</v>
      </c>
      <c r="H34" s="614">
        <v>44</v>
      </c>
      <c r="I34" s="614">
        <v>44</v>
      </c>
      <c r="J34" s="614">
        <v>32</v>
      </c>
      <c r="K34" s="614">
        <v>34</v>
      </c>
      <c r="L34" s="614">
        <v>34</v>
      </c>
      <c r="M34" s="614">
        <v>33</v>
      </c>
      <c r="N34" s="614">
        <v>36</v>
      </c>
      <c r="O34" s="614">
        <v>33</v>
      </c>
      <c r="P34" s="614">
        <v>33</v>
      </c>
      <c r="Q34" s="614">
        <v>38</v>
      </c>
      <c r="R34" s="735">
        <v>34</v>
      </c>
      <c r="S34" s="614"/>
    </row>
    <row r="35" spans="1:28" x14ac:dyDescent="0.25">
      <c r="A35" s="686"/>
      <c r="B35" s="686"/>
      <c r="C35" s="736"/>
      <c r="D35" s="705" t="s">
        <v>85</v>
      </c>
      <c r="E35" s="614">
        <v>47</v>
      </c>
      <c r="F35" s="614">
        <v>45</v>
      </c>
      <c r="G35" s="614">
        <v>47</v>
      </c>
      <c r="H35" s="614">
        <v>50</v>
      </c>
      <c r="I35" s="614">
        <v>46</v>
      </c>
      <c r="J35" s="614">
        <v>47</v>
      </c>
      <c r="K35" s="614">
        <v>38</v>
      </c>
      <c r="L35" s="614">
        <v>37</v>
      </c>
      <c r="M35" s="614">
        <v>32</v>
      </c>
      <c r="N35" s="614">
        <v>41</v>
      </c>
      <c r="O35" s="614">
        <v>39</v>
      </c>
      <c r="P35" s="614">
        <v>45</v>
      </c>
      <c r="Q35" s="614">
        <v>48</v>
      </c>
      <c r="R35" s="735">
        <v>51</v>
      </c>
      <c r="S35" s="614"/>
      <c r="AB35" s="454"/>
    </row>
    <row r="36" spans="1:28" x14ac:dyDescent="0.25">
      <c r="A36" s="686"/>
      <c r="B36" s="686"/>
      <c r="C36" s="694"/>
      <c r="D36" s="739" t="s">
        <v>74</v>
      </c>
      <c r="E36" s="740" t="s">
        <v>344</v>
      </c>
      <c r="F36" s="741">
        <v>44</v>
      </c>
      <c r="G36" s="741">
        <v>49</v>
      </c>
      <c r="H36" s="741">
        <v>43</v>
      </c>
      <c r="I36" s="741">
        <v>40</v>
      </c>
      <c r="J36" s="741">
        <v>38</v>
      </c>
      <c r="K36" s="741">
        <v>44</v>
      </c>
      <c r="L36" s="741">
        <v>46</v>
      </c>
      <c r="M36" s="741">
        <v>51</v>
      </c>
      <c r="N36" s="741">
        <v>54</v>
      </c>
      <c r="O36" s="741">
        <v>56</v>
      </c>
      <c r="P36" s="741">
        <v>57</v>
      </c>
      <c r="Q36" s="741">
        <v>61</v>
      </c>
      <c r="R36" s="742">
        <v>60</v>
      </c>
      <c r="S36" s="614"/>
    </row>
    <row r="37" spans="1:28" x14ac:dyDescent="0.25">
      <c r="A37" s="686"/>
      <c r="B37" s="686"/>
      <c r="C37" s="694"/>
      <c r="D37" s="743" t="s">
        <v>347</v>
      </c>
      <c r="E37" s="656"/>
      <c r="F37" s="656"/>
      <c r="G37" s="656"/>
      <c r="H37" s="656"/>
      <c r="I37" s="656"/>
      <c r="J37" s="656"/>
      <c r="K37" s="656"/>
      <c r="L37" s="656"/>
      <c r="M37" s="656"/>
      <c r="N37" s="656"/>
      <c r="O37" s="656"/>
      <c r="P37" s="614"/>
      <c r="Q37" s="614"/>
      <c r="R37" s="735"/>
      <c r="S37" s="614"/>
    </row>
    <row r="38" spans="1:28" x14ac:dyDescent="0.25">
      <c r="A38" s="686"/>
      <c r="B38" s="686"/>
      <c r="C38" s="694"/>
      <c r="D38" s="744" t="s">
        <v>348</v>
      </c>
      <c r="E38" s="730">
        <v>37</v>
      </c>
      <c r="F38" s="730">
        <v>40</v>
      </c>
      <c r="G38" s="730">
        <v>54</v>
      </c>
      <c r="H38" s="730">
        <v>55</v>
      </c>
      <c r="I38" s="730">
        <v>56</v>
      </c>
      <c r="J38" s="730">
        <v>56</v>
      </c>
      <c r="K38" s="730">
        <v>54</v>
      </c>
      <c r="L38" s="730">
        <v>57</v>
      </c>
      <c r="M38" s="730">
        <v>57</v>
      </c>
      <c r="N38" s="730">
        <v>56</v>
      </c>
      <c r="O38" s="730">
        <v>49</v>
      </c>
      <c r="P38" s="730">
        <v>54</v>
      </c>
      <c r="Q38" s="730">
        <v>58</v>
      </c>
      <c r="R38" s="731">
        <v>59</v>
      </c>
      <c r="S38" s="614"/>
    </row>
    <row r="39" spans="1:28" x14ac:dyDescent="0.25">
      <c r="A39" s="686"/>
      <c r="B39" s="686"/>
      <c r="C39" s="694"/>
      <c r="D39" s="613" t="s">
        <v>349</v>
      </c>
      <c r="E39" s="614">
        <v>29</v>
      </c>
      <c r="F39" s="614">
        <v>25</v>
      </c>
      <c r="G39" s="614">
        <v>35</v>
      </c>
      <c r="H39" s="614">
        <v>28</v>
      </c>
      <c r="I39" s="614">
        <v>26</v>
      </c>
      <c r="J39" s="614">
        <v>21</v>
      </c>
      <c r="K39" s="614">
        <v>32</v>
      </c>
      <c r="L39" s="614">
        <v>29</v>
      </c>
      <c r="M39" s="614">
        <v>32</v>
      </c>
      <c r="N39" s="614">
        <v>35</v>
      </c>
      <c r="O39" s="614">
        <v>40</v>
      </c>
      <c r="P39" s="614">
        <v>40</v>
      </c>
      <c r="Q39" s="614">
        <v>50</v>
      </c>
      <c r="R39" s="735">
        <v>49</v>
      </c>
      <c r="S39" s="614"/>
    </row>
    <row r="40" spans="1:28" x14ac:dyDescent="0.25">
      <c r="A40" s="686"/>
      <c r="B40" s="686"/>
      <c r="C40" s="694"/>
      <c r="D40" s="613" t="s">
        <v>350</v>
      </c>
      <c r="E40" s="614">
        <v>35</v>
      </c>
      <c r="F40" s="614">
        <v>32</v>
      </c>
      <c r="G40" s="614">
        <v>32</v>
      </c>
      <c r="H40" s="614">
        <v>38</v>
      </c>
      <c r="I40" s="614">
        <v>30</v>
      </c>
      <c r="J40" s="614">
        <v>31</v>
      </c>
      <c r="K40" s="614">
        <v>40</v>
      </c>
      <c r="L40" s="614">
        <v>37</v>
      </c>
      <c r="M40" s="614">
        <v>43</v>
      </c>
      <c r="N40" s="614">
        <v>51</v>
      </c>
      <c r="O40" s="614">
        <v>52</v>
      </c>
      <c r="P40" s="614">
        <v>47</v>
      </c>
      <c r="Q40" s="614">
        <v>41</v>
      </c>
      <c r="R40" s="735">
        <v>46</v>
      </c>
      <c r="S40" s="614"/>
    </row>
    <row r="41" spans="1:28" x14ac:dyDescent="0.25">
      <c r="A41" s="686"/>
      <c r="B41" s="686"/>
      <c r="C41" s="694"/>
      <c r="D41" s="745" t="s">
        <v>214</v>
      </c>
      <c r="E41" s="746">
        <v>49</v>
      </c>
      <c r="F41" s="746">
        <v>52</v>
      </c>
      <c r="G41" s="746">
        <v>55</v>
      </c>
      <c r="H41" s="746">
        <v>55</v>
      </c>
      <c r="I41" s="746">
        <v>54</v>
      </c>
      <c r="J41" s="746">
        <v>51</v>
      </c>
      <c r="K41" s="746">
        <v>56</v>
      </c>
      <c r="L41" s="746">
        <v>54</v>
      </c>
      <c r="M41" s="746">
        <v>58</v>
      </c>
      <c r="N41" s="746">
        <v>55</v>
      </c>
      <c r="O41" s="746">
        <v>55</v>
      </c>
      <c r="P41" s="746">
        <v>54</v>
      </c>
      <c r="Q41" s="746">
        <v>56</v>
      </c>
      <c r="R41" s="747">
        <v>57</v>
      </c>
      <c r="S41" s="614"/>
    </row>
    <row r="42" spans="1:28" x14ac:dyDescent="0.25">
      <c r="A42" s="686"/>
      <c r="B42" s="686"/>
      <c r="C42" s="694"/>
      <c r="D42" s="715" t="s">
        <v>341</v>
      </c>
      <c r="E42" s="716">
        <v>50</v>
      </c>
      <c r="F42" s="716">
        <v>52</v>
      </c>
      <c r="G42" s="716">
        <v>55</v>
      </c>
      <c r="H42" s="716">
        <v>55</v>
      </c>
      <c r="I42" s="716">
        <v>57</v>
      </c>
      <c r="J42" s="716">
        <v>58</v>
      </c>
      <c r="K42" s="716">
        <v>59</v>
      </c>
      <c r="L42" s="716">
        <v>59</v>
      </c>
      <c r="M42" s="716">
        <v>60</v>
      </c>
      <c r="N42" s="716">
        <v>60</v>
      </c>
      <c r="O42" s="716">
        <v>61</v>
      </c>
      <c r="P42" s="716">
        <v>61</v>
      </c>
      <c r="Q42" s="716">
        <v>63</v>
      </c>
      <c r="R42" s="717">
        <v>63</v>
      </c>
      <c r="S42" s="718"/>
    </row>
    <row r="43" spans="1:28" x14ac:dyDescent="0.25">
      <c r="A43" s="686"/>
      <c r="B43" s="686"/>
      <c r="C43" s="694"/>
      <c r="D43" s="748"/>
      <c r="E43" s="749"/>
      <c r="F43" s="749"/>
      <c r="G43" s="749"/>
      <c r="H43" s="749"/>
      <c r="I43" s="749"/>
      <c r="J43" s="750"/>
      <c r="K43" s="750"/>
      <c r="L43" s="750"/>
      <c r="M43" s="696"/>
      <c r="N43" s="696"/>
      <c r="O43" s="751"/>
    </row>
    <row r="44" spans="1:28" x14ac:dyDescent="0.25">
      <c r="A44" s="686">
        <v>5</v>
      </c>
      <c r="B44" s="686" t="s">
        <v>90</v>
      </c>
      <c r="C44" s="694"/>
      <c r="D44" s="748"/>
      <c r="E44" s="749"/>
      <c r="F44" s="749"/>
      <c r="G44" s="749"/>
      <c r="H44" s="749"/>
      <c r="I44" s="749"/>
      <c r="J44" s="750"/>
      <c r="K44" s="750"/>
      <c r="L44" s="750"/>
      <c r="M44" s="696"/>
      <c r="N44" s="696"/>
      <c r="O44" s="751"/>
    </row>
    <row r="45" spans="1:28" x14ac:dyDescent="0.25">
      <c r="A45" s="686"/>
      <c r="B45" s="686"/>
      <c r="C45" s="694"/>
      <c r="D45" s="748"/>
      <c r="E45" s="749"/>
      <c r="F45" s="749"/>
      <c r="G45" s="749"/>
      <c r="H45" s="749"/>
      <c r="I45" s="749"/>
      <c r="J45" s="750"/>
      <c r="K45" s="750"/>
      <c r="L45" s="750"/>
      <c r="M45" s="696"/>
      <c r="N45" s="696"/>
      <c r="O45" s="751"/>
    </row>
    <row r="46" spans="1:28" x14ac:dyDescent="0.25">
      <c r="A46" s="686"/>
      <c r="B46" s="686"/>
      <c r="C46" s="694"/>
      <c r="D46" s="748"/>
      <c r="E46" s="749"/>
      <c r="F46" s="749"/>
      <c r="G46" s="749"/>
      <c r="H46" s="749"/>
      <c r="I46" s="749"/>
      <c r="J46" s="750"/>
      <c r="K46" s="750"/>
      <c r="L46" s="750"/>
      <c r="M46" s="696"/>
      <c r="N46" s="696"/>
      <c r="O46" s="751"/>
    </row>
    <row r="47" spans="1:28" x14ac:dyDescent="0.25">
      <c r="A47" s="686"/>
      <c r="B47" s="686"/>
      <c r="C47" s="694"/>
      <c r="D47" s="748"/>
      <c r="E47" s="749"/>
      <c r="F47" s="749"/>
      <c r="G47" s="749"/>
      <c r="H47" s="749"/>
      <c r="I47" s="749"/>
      <c r="J47" s="750"/>
      <c r="K47" s="750"/>
      <c r="L47" s="750"/>
      <c r="M47" s="696"/>
      <c r="N47" s="696"/>
      <c r="O47" s="751"/>
    </row>
    <row r="48" spans="1:28" x14ac:dyDescent="0.25">
      <c r="A48" s="686"/>
      <c r="B48" s="686"/>
      <c r="C48" s="694"/>
      <c r="D48" s="748"/>
      <c r="E48" s="749"/>
      <c r="F48" s="749"/>
      <c r="G48" s="749"/>
      <c r="H48" s="749"/>
      <c r="I48" s="749"/>
      <c r="J48" s="750"/>
      <c r="K48" s="750"/>
      <c r="L48" s="750"/>
      <c r="M48" s="696"/>
      <c r="N48" s="696"/>
      <c r="O48" s="751"/>
      <c r="P48" s="696"/>
      <c r="Q48" s="696"/>
      <c r="R48" s="696"/>
      <c r="S48" s="696"/>
      <c r="T48" s="696"/>
      <c r="U48" s="696"/>
    </row>
    <row r="49" spans="1:29" x14ac:dyDescent="0.25">
      <c r="A49" s="686"/>
      <c r="B49" s="686"/>
      <c r="C49" s="694"/>
      <c r="D49" s="748"/>
      <c r="E49" s="749"/>
      <c r="F49" s="749"/>
      <c r="G49" s="749"/>
      <c r="H49" s="749"/>
      <c r="I49" s="749"/>
      <c r="J49" s="750"/>
      <c r="K49" s="750"/>
      <c r="L49" s="750"/>
      <c r="M49" s="696"/>
      <c r="N49" s="696"/>
      <c r="O49" s="751"/>
      <c r="P49" s="696"/>
      <c r="Q49" s="696"/>
      <c r="R49" s="696"/>
      <c r="S49" s="696"/>
      <c r="T49" s="696"/>
      <c r="U49" s="696"/>
    </row>
    <row r="50" spans="1:29" x14ac:dyDescent="0.25">
      <c r="A50" s="686"/>
      <c r="B50" s="686"/>
      <c r="C50" s="694"/>
      <c r="D50" s="748"/>
      <c r="E50" s="749"/>
      <c r="F50" s="749"/>
      <c r="G50" s="749"/>
      <c r="H50" s="749"/>
      <c r="I50" s="749"/>
      <c r="J50" s="750"/>
      <c r="K50" s="750"/>
      <c r="L50" s="750"/>
      <c r="M50" s="696"/>
      <c r="N50" s="696"/>
      <c r="O50" s="751"/>
      <c r="P50" s="696"/>
      <c r="Q50" s="696"/>
      <c r="R50" s="696"/>
      <c r="S50" s="696"/>
      <c r="T50" s="696"/>
      <c r="U50" s="696"/>
    </row>
    <row r="51" spans="1:29" x14ac:dyDescent="0.25">
      <c r="A51" s="686"/>
      <c r="B51" s="686"/>
      <c r="C51" s="694"/>
      <c r="D51" s="748"/>
      <c r="E51" s="749"/>
      <c r="F51" s="749"/>
      <c r="G51" s="749"/>
      <c r="H51" s="749"/>
      <c r="I51" s="749"/>
      <c r="J51" s="750"/>
      <c r="K51" s="750"/>
      <c r="L51" s="750"/>
      <c r="M51" s="696"/>
      <c r="N51" s="696"/>
      <c r="O51" s="751"/>
      <c r="P51" s="696"/>
      <c r="Q51" s="696"/>
      <c r="R51" s="696"/>
      <c r="S51" s="696"/>
      <c r="T51" s="696"/>
      <c r="U51" s="696"/>
    </row>
    <row r="52" spans="1:29" x14ac:dyDescent="0.25">
      <c r="A52" s="686"/>
      <c r="B52" s="686"/>
      <c r="C52" s="694"/>
      <c r="D52" s="748"/>
      <c r="E52" s="749"/>
      <c r="F52" s="749"/>
      <c r="G52" s="749"/>
      <c r="H52" s="749"/>
      <c r="I52" s="749"/>
      <c r="J52" s="750"/>
      <c r="K52" s="750"/>
      <c r="L52" s="750"/>
      <c r="M52" s="696"/>
      <c r="N52" s="696"/>
      <c r="O52" s="751"/>
      <c r="P52" s="696"/>
      <c r="Q52" s="696"/>
      <c r="R52" s="696"/>
      <c r="S52" s="696"/>
      <c r="T52" s="696"/>
      <c r="U52" s="696"/>
    </row>
    <row r="53" spans="1:29" x14ac:dyDescent="0.25">
      <c r="A53" s="686"/>
      <c r="B53" s="686"/>
      <c r="C53" s="694"/>
      <c r="D53" s="748"/>
      <c r="E53" s="749"/>
      <c r="F53" s="749"/>
      <c r="G53" s="749"/>
      <c r="H53" s="749"/>
      <c r="I53" s="749"/>
      <c r="J53" s="750"/>
      <c r="K53" s="750"/>
      <c r="L53" s="750"/>
      <c r="M53" s="696"/>
      <c r="N53" s="696"/>
      <c r="O53" s="751"/>
      <c r="P53" s="696"/>
      <c r="Q53" s="696"/>
      <c r="R53" s="696"/>
      <c r="S53" s="696"/>
      <c r="T53" s="696"/>
      <c r="U53" s="696"/>
    </row>
    <row r="54" spans="1:29" x14ac:dyDescent="0.25">
      <c r="A54" s="686"/>
      <c r="B54" s="686"/>
      <c r="C54" s="694"/>
      <c r="D54" s="748"/>
      <c r="E54" s="749"/>
      <c r="F54" s="749"/>
      <c r="G54" s="749"/>
      <c r="H54" s="749"/>
      <c r="I54" s="749"/>
      <c r="J54" s="750"/>
      <c r="K54" s="750"/>
      <c r="L54" s="750"/>
      <c r="M54" s="696"/>
      <c r="N54" s="696"/>
      <c r="O54" s="751"/>
      <c r="P54" s="696"/>
      <c r="Q54" s="696"/>
      <c r="R54" s="696"/>
      <c r="S54" s="696"/>
      <c r="T54" s="696"/>
      <c r="U54" s="696"/>
    </row>
    <row r="55" spans="1:29" x14ac:dyDescent="0.25">
      <c r="A55" s="686"/>
      <c r="B55" s="686"/>
      <c r="C55" s="694"/>
      <c r="D55" s="748"/>
      <c r="E55" s="749"/>
      <c r="F55" s="749"/>
      <c r="G55" s="749"/>
      <c r="H55" s="749"/>
      <c r="I55" s="749"/>
      <c r="J55" s="750"/>
      <c r="K55" s="750"/>
      <c r="L55" s="750"/>
      <c r="M55" s="696"/>
      <c r="N55" s="696"/>
      <c r="O55" s="751"/>
      <c r="P55" s="696"/>
      <c r="Q55" s="696"/>
      <c r="R55" s="696"/>
      <c r="S55" s="696"/>
      <c r="T55" s="696"/>
      <c r="U55" s="696"/>
    </row>
    <row r="56" spans="1:29" x14ac:dyDescent="0.25">
      <c r="A56" s="686"/>
      <c r="B56" s="686"/>
      <c r="C56" s="694"/>
      <c r="D56" s="748"/>
      <c r="E56" s="749"/>
      <c r="F56" s="749"/>
      <c r="G56" s="749"/>
      <c r="H56" s="749"/>
      <c r="I56" s="749"/>
      <c r="J56" s="750"/>
      <c r="K56" s="750"/>
      <c r="L56" s="750"/>
      <c r="M56" s="696"/>
      <c r="N56" s="696"/>
      <c r="O56" s="751"/>
      <c r="P56" s="696"/>
      <c r="Q56" s="696"/>
      <c r="R56" s="696"/>
      <c r="S56" s="696"/>
      <c r="T56" s="696"/>
      <c r="U56" s="696"/>
    </row>
    <row r="57" spans="1:29" x14ac:dyDescent="0.25">
      <c r="A57" s="686"/>
      <c r="B57" s="686"/>
      <c r="C57" s="694"/>
      <c r="D57" s="748"/>
      <c r="E57" s="749"/>
      <c r="F57" s="749"/>
      <c r="G57" s="749"/>
      <c r="H57" s="749"/>
      <c r="I57" s="749"/>
      <c r="J57" s="750"/>
      <c r="K57" s="750"/>
      <c r="L57" s="750"/>
      <c r="M57" s="696"/>
      <c r="N57" s="696"/>
      <c r="O57" s="751"/>
      <c r="P57" s="696"/>
      <c r="Q57" s="696"/>
      <c r="R57" s="696"/>
      <c r="S57" s="696"/>
      <c r="T57" s="696"/>
      <c r="U57" s="696"/>
    </row>
    <row r="58" spans="1:29" x14ac:dyDescent="0.25">
      <c r="A58" s="686"/>
      <c r="B58" s="686"/>
      <c r="C58" s="694"/>
      <c r="D58" s="748"/>
      <c r="E58" s="749"/>
      <c r="F58" s="749"/>
      <c r="G58" s="749"/>
      <c r="H58" s="749"/>
      <c r="I58" s="749"/>
      <c r="J58" s="750"/>
      <c r="K58" s="750"/>
      <c r="L58" s="750"/>
      <c r="M58" s="696"/>
      <c r="N58" s="696"/>
      <c r="O58" s="751"/>
      <c r="P58" s="696"/>
      <c r="Q58" s="696"/>
      <c r="R58" s="696"/>
      <c r="S58" s="696"/>
      <c r="T58" s="696"/>
      <c r="U58" s="696"/>
    </row>
    <row r="59" spans="1:29" x14ac:dyDescent="0.25">
      <c r="A59" s="686"/>
      <c r="B59" s="686"/>
      <c r="C59" s="694"/>
      <c r="D59" s="748"/>
      <c r="E59" s="749"/>
      <c r="F59" s="749"/>
      <c r="G59" s="749"/>
      <c r="H59" s="749"/>
      <c r="I59" s="749"/>
      <c r="J59" s="750"/>
      <c r="K59" s="750"/>
      <c r="L59" s="750"/>
      <c r="M59" s="696"/>
      <c r="N59" s="696"/>
      <c r="O59" s="751"/>
      <c r="P59" s="696"/>
      <c r="Q59" s="696"/>
      <c r="R59" s="696"/>
      <c r="S59" s="696"/>
      <c r="T59" s="696"/>
      <c r="U59" s="696"/>
    </row>
    <row r="60" spans="1:29" x14ac:dyDescent="0.25">
      <c r="A60" s="686"/>
      <c r="B60" s="686"/>
      <c r="C60" s="694"/>
      <c r="D60" s="748"/>
      <c r="E60" s="749"/>
      <c r="F60" s="749"/>
      <c r="G60" s="749"/>
      <c r="H60" s="749"/>
      <c r="I60" s="749"/>
      <c r="J60" s="750"/>
      <c r="K60" s="750"/>
      <c r="L60" s="750"/>
      <c r="M60" s="696"/>
      <c r="N60" s="696"/>
      <c r="O60" s="751"/>
      <c r="P60" s="696"/>
      <c r="Q60" s="696"/>
      <c r="R60" s="696"/>
      <c r="S60" s="696"/>
      <c r="T60" s="696"/>
      <c r="U60" s="696"/>
    </row>
    <row r="61" spans="1:29" x14ac:dyDescent="0.25">
      <c r="A61" s="686"/>
      <c r="B61" s="686"/>
      <c r="C61" s="694"/>
      <c r="D61" s="748"/>
      <c r="E61" s="749"/>
      <c r="F61" s="749"/>
      <c r="G61" s="749"/>
      <c r="H61" s="749"/>
      <c r="I61" s="749"/>
      <c r="J61" s="750"/>
      <c r="K61" s="750"/>
      <c r="L61" s="750"/>
      <c r="M61" s="696"/>
      <c r="N61" s="696"/>
      <c r="O61" s="751"/>
      <c r="P61" s="696"/>
      <c r="Q61" s="696"/>
      <c r="R61" s="696"/>
      <c r="S61" s="696"/>
      <c r="T61" s="696"/>
      <c r="U61" s="696"/>
      <c r="AC61" t="s">
        <v>97</v>
      </c>
    </row>
    <row r="62" spans="1:29" x14ac:dyDescent="0.25">
      <c r="A62" s="686"/>
      <c r="B62" s="686"/>
      <c r="C62" s="694"/>
      <c r="D62" s="748"/>
      <c r="E62" s="749"/>
      <c r="F62" s="749"/>
      <c r="G62" s="749"/>
      <c r="H62" s="749"/>
      <c r="I62" s="749"/>
      <c r="J62" s="750"/>
      <c r="K62" s="750"/>
      <c r="L62" s="750"/>
      <c r="M62" s="750"/>
      <c r="N62" s="696"/>
      <c r="O62" s="696"/>
      <c r="P62" s="751"/>
      <c r="Q62" s="696"/>
      <c r="R62" s="696"/>
      <c r="S62" s="696"/>
      <c r="T62" s="696"/>
      <c r="U62" s="696"/>
    </row>
    <row r="63" spans="1:29" s="685" customFormat="1" ht="14.25" customHeight="1" x14ac:dyDescent="0.2">
      <c r="A63" s="686">
        <v>6</v>
      </c>
      <c r="B63" s="686" t="s">
        <v>29</v>
      </c>
      <c r="C63" s="686"/>
      <c r="D63" s="4140" t="s">
        <v>351</v>
      </c>
      <c r="E63" s="4141"/>
      <c r="F63" s="4141"/>
      <c r="G63" s="4141"/>
      <c r="H63" s="4141"/>
      <c r="I63" s="4141"/>
      <c r="J63" s="4141"/>
      <c r="K63" s="4141"/>
      <c r="L63" s="4141"/>
      <c r="M63" s="4141"/>
      <c r="N63" s="4141"/>
      <c r="O63" s="4141"/>
      <c r="P63" s="4142"/>
      <c r="Q63" s="696"/>
      <c r="R63" s="696"/>
      <c r="S63" s="696"/>
      <c r="T63" s="696"/>
      <c r="U63" s="696"/>
    </row>
    <row r="64" spans="1:29" s="685" customFormat="1" ht="46.5" customHeight="1" x14ac:dyDescent="0.2">
      <c r="A64" s="686">
        <v>7</v>
      </c>
      <c r="B64" s="686" t="s">
        <v>32</v>
      </c>
      <c r="C64" s="752"/>
      <c r="D64" s="4140" t="s">
        <v>352</v>
      </c>
      <c r="E64" s="4141"/>
      <c r="F64" s="4141"/>
      <c r="G64" s="4141"/>
      <c r="H64" s="4141"/>
      <c r="I64" s="4141"/>
      <c r="J64" s="4141"/>
      <c r="K64" s="4141"/>
      <c r="L64" s="4141"/>
      <c r="M64" s="4141"/>
      <c r="N64" s="4141"/>
      <c r="O64" s="4141"/>
      <c r="P64" s="4142"/>
      <c r="Q64" s="696"/>
      <c r="R64" s="696"/>
      <c r="S64" s="696"/>
      <c r="T64" s="696"/>
      <c r="U64" s="696"/>
    </row>
    <row r="65" spans="1:21" s="685" customFormat="1" ht="25.5" customHeight="1" x14ac:dyDescent="0.2">
      <c r="A65" s="686">
        <v>8</v>
      </c>
      <c r="B65" s="686" t="s">
        <v>31</v>
      </c>
      <c r="C65" s="686"/>
      <c r="D65" s="4140" t="s">
        <v>353</v>
      </c>
      <c r="E65" s="4141"/>
      <c r="F65" s="4141"/>
      <c r="G65" s="4141"/>
      <c r="H65" s="4141"/>
      <c r="I65" s="4141"/>
      <c r="J65" s="4141"/>
      <c r="K65" s="4141"/>
      <c r="L65" s="4141"/>
      <c r="M65" s="4141"/>
      <c r="N65" s="4141"/>
      <c r="O65" s="4141"/>
      <c r="P65" s="4142"/>
      <c r="Q65" s="696"/>
      <c r="R65" s="696"/>
      <c r="S65" s="696"/>
      <c r="T65" s="696"/>
      <c r="U65" s="696"/>
    </row>
    <row r="66" spans="1:21" hidden="1" x14ac:dyDescent="0.25">
      <c r="A66" s="686"/>
      <c r="B66" s="686"/>
      <c r="C66" s="753"/>
      <c r="D66" s="696"/>
      <c r="E66" s="696"/>
      <c r="F66" s="696"/>
      <c r="G66" s="696"/>
      <c r="H66" s="696"/>
      <c r="I66" s="696"/>
      <c r="J66" s="696"/>
      <c r="K66" s="696"/>
      <c r="L66" s="696"/>
      <c r="M66" s="696"/>
      <c r="N66" s="696"/>
      <c r="O66" s="696"/>
      <c r="P66" s="696"/>
      <c r="Q66" s="696"/>
      <c r="R66" s="696"/>
      <c r="S66" s="696"/>
      <c r="T66" s="696"/>
      <c r="U66" s="696"/>
    </row>
    <row r="67" spans="1:21" hidden="1" x14ac:dyDescent="0.25">
      <c r="A67" s="696"/>
      <c r="B67" s="753"/>
      <c r="C67" s="753"/>
      <c r="D67" s="696"/>
      <c r="E67" s="696"/>
      <c r="F67" s="696"/>
      <c r="G67" s="696"/>
      <c r="H67" s="696"/>
      <c r="I67" s="696"/>
      <c r="J67" s="696"/>
      <c r="K67" s="696"/>
      <c r="L67" s="696"/>
      <c r="M67" s="696"/>
      <c r="N67" s="696"/>
      <c r="O67" s="696"/>
      <c r="P67" s="696"/>
      <c r="Q67" s="696"/>
      <c r="R67" s="696"/>
      <c r="S67" s="696"/>
      <c r="T67" s="696"/>
      <c r="U67" s="696"/>
    </row>
    <row r="68" spans="1:21" hidden="1" x14ac:dyDescent="0.25">
      <c r="A68" s="696"/>
      <c r="B68" s="753"/>
      <c r="C68" s="753"/>
      <c r="D68" s="696"/>
      <c r="E68" s="696"/>
      <c r="F68" s="696"/>
      <c r="G68" s="696"/>
      <c r="H68" s="696"/>
      <c r="I68" s="696"/>
      <c r="J68" s="696"/>
      <c r="K68" s="696"/>
      <c r="L68" s="696"/>
      <c r="M68" s="696"/>
      <c r="N68" s="696"/>
      <c r="O68" s="696"/>
      <c r="P68" s="696"/>
      <c r="Q68" s="696"/>
      <c r="R68" s="696"/>
      <c r="S68" s="696"/>
      <c r="T68" s="696"/>
      <c r="U68" s="696"/>
    </row>
    <row r="69" spans="1:21" hidden="1" x14ac:dyDescent="0.25">
      <c r="A69" s="696"/>
      <c r="B69" s="753"/>
      <c r="C69" s="753"/>
      <c r="D69" s="696"/>
      <c r="E69" s="696"/>
      <c r="F69" s="696"/>
      <c r="G69" s="696"/>
      <c r="H69" s="696"/>
      <c r="I69" s="696"/>
      <c r="J69" s="696"/>
      <c r="K69" s="696"/>
      <c r="L69" s="696"/>
      <c r="M69" s="696"/>
      <c r="N69" s="696"/>
      <c r="O69" s="696"/>
      <c r="P69" s="696"/>
      <c r="Q69" s="696"/>
      <c r="R69" s="696"/>
      <c r="S69" s="696"/>
      <c r="T69" s="696"/>
      <c r="U69" s="696"/>
    </row>
    <row r="70" spans="1:21" hidden="1" x14ac:dyDescent="0.25">
      <c r="A70" s="696"/>
      <c r="B70" s="753"/>
      <c r="C70" s="753"/>
      <c r="D70" s="696"/>
      <c r="E70" s="696"/>
      <c r="F70" s="696"/>
      <c r="G70" s="696"/>
      <c r="H70" s="696"/>
      <c r="I70" s="696"/>
      <c r="J70" s="696"/>
      <c r="K70" s="696"/>
      <c r="L70" s="696"/>
      <c r="M70" s="696"/>
      <c r="N70" s="696"/>
      <c r="O70" s="696"/>
      <c r="P70" s="696"/>
      <c r="Q70" s="696"/>
      <c r="R70" s="696"/>
      <c r="S70" s="696"/>
      <c r="T70" s="696"/>
      <c r="U70" s="696"/>
    </row>
    <row r="71" spans="1:21" hidden="1" x14ac:dyDescent="0.25">
      <c r="A71" s="696"/>
      <c r="B71" s="753"/>
      <c r="C71" s="753"/>
      <c r="D71" s="696"/>
      <c r="E71" s="696"/>
      <c r="F71" s="696"/>
      <c r="G71" s="696"/>
      <c r="H71" s="696"/>
      <c r="I71" s="696"/>
      <c r="J71" s="696"/>
      <c r="K71" s="696"/>
      <c r="L71" s="696"/>
      <c r="M71" s="696"/>
      <c r="N71" s="696"/>
      <c r="O71" s="696"/>
      <c r="P71" s="696"/>
      <c r="Q71" s="696"/>
      <c r="R71" s="696"/>
      <c r="S71" s="696"/>
      <c r="T71" s="696"/>
      <c r="U71" s="696"/>
    </row>
    <row r="72" spans="1:21" hidden="1" x14ac:dyDescent="0.25">
      <c r="A72" s="696"/>
      <c r="B72" s="753"/>
      <c r="C72" s="753"/>
      <c r="D72" s="696"/>
      <c r="E72" s="696"/>
      <c r="F72" s="696"/>
      <c r="G72" s="696"/>
      <c r="H72" s="696"/>
      <c r="I72" s="696"/>
      <c r="J72" s="696"/>
      <c r="K72" s="696"/>
      <c r="L72" s="696"/>
      <c r="M72" s="696"/>
      <c r="N72" s="696"/>
      <c r="O72" s="696"/>
      <c r="P72" s="696"/>
      <c r="Q72" s="696"/>
      <c r="R72" s="696"/>
      <c r="S72" s="696"/>
      <c r="T72" s="696"/>
      <c r="U72" s="696"/>
    </row>
    <row r="73" spans="1:21" hidden="1" x14ac:dyDescent="0.25">
      <c r="A73" s="696"/>
      <c r="B73" s="753"/>
      <c r="C73" s="753"/>
      <c r="D73" s="696"/>
      <c r="E73" s="696"/>
      <c r="F73" s="696"/>
      <c r="G73" s="696"/>
      <c r="H73" s="696"/>
      <c r="I73" s="696"/>
      <c r="J73" s="696"/>
      <c r="K73" s="696"/>
      <c r="L73" s="696"/>
      <c r="M73" s="696"/>
      <c r="N73" s="696"/>
      <c r="O73" s="696"/>
      <c r="P73" s="696"/>
      <c r="Q73" s="696"/>
      <c r="R73" s="696"/>
      <c r="S73" s="696"/>
      <c r="T73" s="696"/>
      <c r="U73" s="696"/>
    </row>
    <row r="74" spans="1:21" hidden="1" x14ac:dyDescent="0.25">
      <c r="A74" s="696"/>
      <c r="B74" s="753"/>
      <c r="C74" s="753"/>
      <c r="D74" s="696"/>
      <c r="E74" s="696"/>
      <c r="F74" s="696"/>
      <c r="G74" s="696"/>
      <c r="H74" s="696"/>
      <c r="I74" s="696"/>
      <c r="J74" s="696"/>
      <c r="K74" s="696"/>
      <c r="L74" s="696"/>
      <c r="M74" s="696"/>
      <c r="N74" s="696"/>
      <c r="O74" s="696"/>
      <c r="P74" s="696"/>
      <c r="Q74" s="696"/>
      <c r="R74" s="696"/>
      <c r="S74" s="696"/>
      <c r="T74" s="696"/>
      <c r="U74" s="696"/>
    </row>
    <row r="75" spans="1:21" hidden="1" x14ac:dyDescent="0.25">
      <c r="A75" s="696"/>
      <c r="B75" s="753"/>
      <c r="C75" s="753"/>
      <c r="D75" s="696"/>
      <c r="E75" s="696"/>
      <c r="F75" s="696"/>
      <c r="G75" s="696"/>
      <c r="H75" s="696"/>
      <c r="I75" s="696"/>
      <c r="J75" s="696"/>
      <c r="K75" s="696"/>
      <c r="L75" s="696"/>
      <c r="M75" s="696"/>
      <c r="N75" s="696"/>
      <c r="O75" s="696"/>
      <c r="P75" s="696"/>
      <c r="Q75" s="696"/>
      <c r="R75" s="696"/>
      <c r="S75" s="696"/>
      <c r="T75" s="696"/>
      <c r="U75" s="696"/>
    </row>
    <row r="76" spans="1:21" hidden="1" x14ac:dyDescent="0.25">
      <c r="A76" s="696"/>
      <c r="B76" s="753"/>
      <c r="C76" s="753"/>
      <c r="D76" s="4152" t="s">
        <v>354</v>
      </c>
      <c r="E76" s="4153"/>
      <c r="F76" s="4153"/>
      <c r="G76" s="4154"/>
      <c r="H76" s="754"/>
      <c r="I76" s="754"/>
      <c r="J76" s="754"/>
      <c r="K76" s="754"/>
      <c r="L76" s="754"/>
      <c r="M76" s="755"/>
      <c r="N76" s="756" t="s">
        <v>40</v>
      </c>
      <c r="O76" s="757"/>
      <c r="P76" s="758" t="s">
        <v>355</v>
      </c>
      <c r="Q76" s="759" t="s">
        <v>356</v>
      </c>
      <c r="R76" s="759"/>
      <c r="S76" s="760" t="s">
        <v>357</v>
      </c>
      <c r="T76" s="696"/>
      <c r="U76" s="696"/>
    </row>
    <row r="77" spans="1:21" hidden="1" x14ac:dyDescent="0.25">
      <c r="A77" s="696"/>
      <c r="B77" s="753"/>
      <c r="C77" s="753"/>
      <c r="D77" s="761" t="s">
        <v>358</v>
      </c>
      <c r="E77" s="762" t="s">
        <v>359</v>
      </c>
      <c r="F77" s="762" t="s">
        <v>226</v>
      </c>
      <c r="G77" s="763" t="s">
        <v>360</v>
      </c>
      <c r="H77" s="764"/>
      <c r="I77" s="764"/>
      <c r="J77" s="764"/>
      <c r="K77" s="764"/>
      <c r="L77" s="764"/>
      <c r="M77" s="699"/>
      <c r="N77" s="765" t="s">
        <v>361</v>
      </c>
      <c r="O77" s="766" t="s">
        <v>84</v>
      </c>
      <c r="P77" s="722">
        <v>21</v>
      </c>
      <c r="Q77" s="722">
        <v>19</v>
      </c>
      <c r="R77" s="722"/>
      <c r="S77" s="767">
        <v>26</v>
      </c>
      <c r="T77" s="696"/>
      <c r="U77" s="696"/>
    </row>
    <row r="78" spans="1:21" ht="33" hidden="1" x14ac:dyDescent="0.25">
      <c r="A78" s="696"/>
      <c r="B78" s="753"/>
      <c r="C78" s="753"/>
      <c r="D78" s="768" t="s">
        <v>362</v>
      </c>
      <c r="E78" s="769" t="s">
        <v>363</v>
      </c>
      <c r="F78" s="770">
        <v>61</v>
      </c>
      <c r="G78" s="771">
        <v>4.45</v>
      </c>
      <c r="H78" s="772"/>
      <c r="I78" s="772"/>
      <c r="J78" s="772"/>
      <c r="K78" s="772"/>
      <c r="L78" s="772"/>
      <c r="M78" s="772"/>
      <c r="N78" s="773"/>
      <c r="O78" s="766" t="s">
        <v>76</v>
      </c>
      <c r="P78" s="722">
        <v>26</v>
      </c>
      <c r="Q78" s="722">
        <v>27</v>
      </c>
      <c r="R78" s="722"/>
      <c r="S78" s="767">
        <v>27</v>
      </c>
      <c r="T78" s="696"/>
      <c r="U78" s="696"/>
    </row>
    <row r="79" spans="1:21" ht="33" hidden="1" x14ac:dyDescent="0.25">
      <c r="A79" s="696"/>
      <c r="B79" s="753"/>
      <c r="C79" s="753"/>
      <c r="D79" s="4143" t="s">
        <v>364</v>
      </c>
      <c r="E79" s="774" t="s">
        <v>365</v>
      </c>
      <c r="F79" s="775">
        <v>39</v>
      </c>
      <c r="G79" s="776">
        <v>4.55</v>
      </c>
      <c r="H79" s="699"/>
      <c r="I79" s="699"/>
      <c r="J79" s="699"/>
      <c r="K79" s="699"/>
      <c r="L79" s="699"/>
      <c r="M79" s="699"/>
      <c r="N79" s="756"/>
      <c r="O79" s="766" t="s">
        <v>334</v>
      </c>
      <c r="P79" s="722">
        <v>27</v>
      </c>
      <c r="Q79" s="722">
        <v>26</v>
      </c>
      <c r="R79" s="722"/>
      <c r="S79" s="767">
        <v>25</v>
      </c>
      <c r="T79" s="696"/>
      <c r="U79" s="696"/>
    </row>
    <row r="80" spans="1:21" ht="33" hidden="1" x14ac:dyDescent="0.25">
      <c r="A80" s="696"/>
      <c r="B80" s="753"/>
      <c r="C80" s="753"/>
      <c r="D80" s="4143"/>
      <c r="E80" s="774" t="s">
        <v>366</v>
      </c>
      <c r="F80" s="775">
        <v>43</v>
      </c>
      <c r="G80" s="776">
        <v>4.22</v>
      </c>
      <c r="H80" s="699"/>
      <c r="I80" s="699"/>
      <c r="J80" s="699"/>
      <c r="K80" s="699"/>
      <c r="L80" s="699"/>
      <c r="M80" s="699"/>
      <c r="N80" s="756"/>
      <c r="O80" s="766" t="s">
        <v>335</v>
      </c>
      <c r="P80" s="722">
        <v>38</v>
      </c>
      <c r="Q80" s="722">
        <v>39</v>
      </c>
      <c r="R80" s="722"/>
      <c r="S80" s="767">
        <v>40</v>
      </c>
    </row>
    <row r="81" spans="1:19" ht="43.5" hidden="1" x14ac:dyDescent="0.25">
      <c r="A81" s="696"/>
      <c r="B81" s="753"/>
      <c r="C81" s="753"/>
      <c r="D81" s="4143"/>
      <c r="E81" s="774" t="s">
        <v>367</v>
      </c>
      <c r="F81" s="775">
        <v>50</v>
      </c>
      <c r="G81" s="776">
        <v>5.08</v>
      </c>
      <c r="H81" s="699"/>
      <c r="I81" s="699"/>
      <c r="J81" s="699"/>
      <c r="K81" s="699"/>
      <c r="L81" s="699"/>
      <c r="M81" s="699"/>
      <c r="N81" s="756"/>
      <c r="O81" s="766" t="s">
        <v>336</v>
      </c>
      <c r="P81" s="722">
        <v>41</v>
      </c>
      <c r="Q81" s="722">
        <v>37</v>
      </c>
      <c r="R81" s="722"/>
      <c r="S81" s="767">
        <v>37</v>
      </c>
    </row>
    <row r="82" spans="1:19" ht="43.5" hidden="1" x14ac:dyDescent="0.25">
      <c r="A82" s="696"/>
      <c r="B82" s="694"/>
      <c r="C82" s="694"/>
      <c r="D82" s="4143"/>
      <c r="E82" s="774" t="s">
        <v>368</v>
      </c>
      <c r="F82" s="775">
        <v>117</v>
      </c>
      <c r="G82" s="776">
        <v>3.96</v>
      </c>
      <c r="H82" s="696"/>
      <c r="I82" s="696"/>
      <c r="J82" s="696"/>
      <c r="K82" s="696"/>
      <c r="L82" s="696"/>
      <c r="M82" s="696"/>
      <c r="N82" s="756"/>
      <c r="O82" s="766" t="s">
        <v>28</v>
      </c>
      <c r="P82" s="722">
        <v>44</v>
      </c>
      <c r="Q82" s="722">
        <v>36</v>
      </c>
      <c r="R82" s="722"/>
      <c r="S82" s="767">
        <v>45</v>
      </c>
    </row>
    <row r="83" spans="1:19" hidden="1" x14ac:dyDescent="0.25">
      <c r="A83" s="696"/>
      <c r="B83" s="696"/>
      <c r="C83" s="696"/>
      <c r="D83" s="777"/>
      <c r="E83" s="769"/>
      <c r="F83" s="770"/>
      <c r="G83" s="771"/>
      <c r="H83" s="696"/>
      <c r="I83" s="696"/>
      <c r="J83" s="696"/>
      <c r="K83" s="696"/>
      <c r="L83" s="696"/>
      <c r="M83" s="696"/>
      <c r="N83" s="756"/>
      <c r="O83" s="766" t="s">
        <v>337</v>
      </c>
      <c r="P83" s="722">
        <v>45</v>
      </c>
      <c r="Q83" s="722">
        <v>44</v>
      </c>
      <c r="R83" s="722"/>
      <c r="S83" s="767">
        <v>36</v>
      </c>
    </row>
    <row r="84" spans="1:19" ht="33" hidden="1" x14ac:dyDescent="0.25">
      <c r="A84" s="696"/>
      <c r="B84" s="696"/>
      <c r="C84" s="696"/>
      <c r="D84" s="768" t="s">
        <v>369</v>
      </c>
      <c r="E84" s="769" t="s">
        <v>370</v>
      </c>
      <c r="F84" s="770">
        <v>36</v>
      </c>
      <c r="G84" s="771">
        <v>4.4400000000000004</v>
      </c>
      <c r="H84" s="696"/>
      <c r="I84" s="696"/>
      <c r="J84" s="696"/>
      <c r="K84" s="696"/>
      <c r="L84" s="696"/>
      <c r="M84" s="696"/>
      <c r="N84" s="756"/>
      <c r="O84" s="766" t="s">
        <v>338</v>
      </c>
      <c r="P84" s="722">
        <v>47</v>
      </c>
      <c r="Q84" s="722">
        <v>38</v>
      </c>
      <c r="R84" s="722"/>
      <c r="S84" s="767">
        <v>41</v>
      </c>
    </row>
    <row r="85" spans="1:19" ht="54" hidden="1" x14ac:dyDescent="0.25">
      <c r="A85" s="696"/>
      <c r="B85" s="696"/>
      <c r="C85" s="696"/>
      <c r="D85" s="4143" t="s">
        <v>364</v>
      </c>
      <c r="E85" s="774" t="s">
        <v>371</v>
      </c>
      <c r="F85" s="775">
        <v>56</v>
      </c>
      <c r="G85" s="776">
        <v>4.12</v>
      </c>
      <c r="H85" s="696"/>
      <c r="I85" s="696"/>
      <c r="J85" s="696"/>
      <c r="K85" s="696"/>
      <c r="L85" s="696"/>
      <c r="M85" s="696"/>
      <c r="N85" s="773"/>
      <c r="O85" s="778" t="s">
        <v>86</v>
      </c>
      <c r="P85" s="722">
        <v>51</v>
      </c>
      <c r="Q85" s="722">
        <v>45</v>
      </c>
      <c r="R85" s="722"/>
      <c r="S85" s="767">
        <v>48</v>
      </c>
    </row>
    <row r="86" spans="1:19" ht="33" hidden="1" x14ac:dyDescent="0.25">
      <c r="A86" s="696"/>
      <c r="B86" s="696"/>
      <c r="C86" s="696"/>
      <c r="D86" s="4143"/>
      <c r="E86" s="774" t="s">
        <v>372</v>
      </c>
      <c r="F86" s="775">
        <v>32</v>
      </c>
      <c r="G86" s="776">
        <v>4.7300000000000004</v>
      </c>
      <c r="H86" s="696"/>
      <c r="I86" s="696"/>
      <c r="J86" s="696"/>
      <c r="K86" s="696"/>
      <c r="L86" s="696"/>
      <c r="M86" s="696"/>
      <c r="N86" s="773"/>
      <c r="O86" s="766" t="s">
        <v>85</v>
      </c>
      <c r="P86" s="722">
        <v>52</v>
      </c>
      <c r="Q86" s="722">
        <v>52</v>
      </c>
      <c r="R86" s="722"/>
      <c r="S86" s="767">
        <v>58</v>
      </c>
    </row>
    <row r="87" spans="1:19" ht="43.5" hidden="1" x14ac:dyDescent="0.25">
      <c r="A87" s="696"/>
      <c r="B87" s="696"/>
      <c r="C87" s="696"/>
      <c r="D87" s="4143"/>
      <c r="E87" s="774" t="s">
        <v>373</v>
      </c>
      <c r="F87" s="775">
        <v>78</v>
      </c>
      <c r="G87" s="776">
        <v>4.16</v>
      </c>
      <c r="H87" s="696"/>
      <c r="I87" s="696"/>
      <c r="J87" s="696"/>
      <c r="K87" s="696"/>
      <c r="L87" s="696"/>
      <c r="M87" s="696"/>
      <c r="N87" s="773"/>
      <c r="O87" s="766" t="s">
        <v>339</v>
      </c>
      <c r="P87" s="722">
        <v>60</v>
      </c>
      <c r="Q87" s="722">
        <v>55</v>
      </c>
      <c r="R87" s="722"/>
      <c r="S87" s="767">
        <v>55</v>
      </c>
    </row>
    <row r="88" spans="1:19" ht="64.5" hidden="1" x14ac:dyDescent="0.25">
      <c r="A88" s="696"/>
      <c r="B88" s="696"/>
      <c r="C88" s="696"/>
      <c r="D88" s="4143"/>
      <c r="E88" s="774" t="s">
        <v>374</v>
      </c>
      <c r="F88" s="775">
        <v>25</v>
      </c>
      <c r="G88" s="776">
        <v>5.19</v>
      </c>
      <c r="H88" s="696"/>
      <c r="I88" s="696"/>
      <c r="J88" s="696"/>
      <c r="K88" s="696"/>
      <c r="L88" s="696"/>
      <c r="M88" s="696"/>
      <c r="N88" s="773"/>
      <c r="O88" s="766" t="s">
        <v>74</v>
      </c>
      <c r="P88" s="722">
        <v>72</v>
      </c>
      <c r="Q88" s="722">
        <v>66</v>
      </c>
      <c r="R88" s="722"/>
      <c r="S88" s="767">
        <v>66</v>
      </c>
    </row>
    <row r="89" spans="1:19" ht="43.5" hidden="1" x14ac:dyDescent="0.25">
      <c r="A89" s="696"/>
      <c r="B89" s="696"/>
      <c r="C89" s="696"/>
      <c r="D89" s="4143"/>
      <c r="E89" s="774" t="s">
        <v>375</v>
      </c>
      <c r="F89" s="775">
        <v>46</v>
      </c>
      <c r="G89" s="776">
        <v>3.57</v>
      </c>
      <c r="H89" s="696"/>
      <c r="I89" s="696"/>
      <c r="J89" s="696"/>
      <c r="K89" s="696"/>
      <c r="L89" s="696"/>
      <c r="M89" s="696"/>
      <c r="N89" s="773"/>
      <c r="O89" s="766" t="s">
        <v>340</v>
      </c>
      <c r="P89" s="722">
        <v>74</v>
      </c>
      <c r="Q89" s="722">
        <v>73</v>
      </c>
      <c r="R89" s="722"/>
      <c r="S89" s="767">
        <v>68</v>
      </c>
    </row>
    <row r="90" spans="1:19" ht="33" hidden="1" x14ac:dyDescent="0.25">
      <c r="A90" s="696"/>
      <c r="B90" s="696"/>
      <c r="C90" s="696"/>
      <c r="D90" s="4143"/>
      <c r="E90" s="774" t="s">
        <v>376</v>
      </c>
      <c r="F90" s="775">
        <v>21</v>
      </c>
      <c r="G90" s="776">
        <v>4.8899999999999997</v>
      </c>
      <c r="H90" s="696"/>
      <c r="I90" s="696"/>
      <c r="J90" s="696"/>
      <c r="K90" s="696"/>
      <c r="L90" s="696"/>
      <c r="M90" s="696"/>
      <c r="N90" s="773"/>
      <c r="O90" s="766" t="s">
        <v>73</v>
      </c>
      <c r="P90" s="722">
        <v>76</v>
      </c>
      <c r="Q90" s="722">
        <v>57</v>
      </c>
      <c r="R90" s="722"/>
      <c r="S90" s="767">
        <v>81</v>
      </c>
    </row>
    <row r="91" spans="1:19" hidden="1" x14ac:dyDescent="0.25">
      <c r="A91" s="696"/>
      <c r="B91" s="696"/>
      <c r="C91" s="696"/>
      <c r="D91" s="777"/>
      <c r="E91" s="769"/>
      <c r="F91" s="770"/>
      <c r="G91" s="771"/>
      <c r="H91" s="696"/>
      <c r="I91" s="696"/>
      <c r="J91" s="696"/>
      <c r="K91" s="696"/>
      <c r="L91" s="696"/>
      <c r="M91" s="696"/>
      <c r="N91" s="696"/>
      <c r="O91" s="699"/>
      <c r="P91" s="699"/>
      <c r="Q91" s="696"/>
      <c r="R91" s="696"/>
      <c r="S91" s="696"/>
    </row>
    <row r="92" spans="1:19" ht="64.5" hidden="1" x14ac:dyDescent="0.25">
      <c r="A92" s="696"/>
      <c r="B92" s="696"/>
      <c r="C92" s="696"/>
      <c r="D92" s="768" t="s">
        <v>377</v>
      </c>
      <c r="E92" s="769" t="s">
        <v>378</v>
      </c>
      <c r="F92" s="770">
        <v>33</v>
      </c>
      <c r="G92" s="771">
        <v>4.16</v>
      </c>
      <c r="H92" s="696"/>
      <c r="I92" s="696"/>
      <c r="J92" s="696"/>
      <c r="K92" s="696"/>
      <c r="L92" s="696"/>
      <c r="M92" s="696"/>
      <c r="N92" s="733"/>
      <c r="O92" s="699"/>
      <c r="P92" s="699"/>
      <c r="Q92" s="696"/>
      <c r="R92" s="696"/>
      <c r="S92" s="696"/>
    </row>
    <row r="93" spans="1:19" ht="43.5" hidden="1" x14ac:dyDescent="0.25">
      <c r="A93" s="696"/>
      <c r="B93" s="696"/>
      <c r="C93" s="696"/>
      <c r="D93" s="4143" t="s">
        <v>364</v>
      </c>
      <c r="E93" s="774" t="s">
        <v>379</v>
      </c>
      <c r="F93" s="775">
        <v>36</v>
      </c>
      <c r="G93" s="776">
        <v>4.6100000000000003</v>
      </c>
      <c r="H93" s="696"/>
      <c r="I93" s="696"/>
      <c r="J93" s="696"/>
      <c r="K93" s="696"/>
      <c r="L93" s="696"/>
      <c r="M93" s="696"/>
      <c r="N93" s="733"/>
      <c r="O93" s="696"/>
      <c r="P93" s="696"/>
      <c r="Q93" s="696"/>
      <c r="R93" s="696"/>
      <c r="S93" s="696"/>
    </row>
    <row r="94" spans="1:19" ht="33.75" hidden="1" thickBot="1" x14ac:dyDescent="0.3">
      <c r="A94" s="696"/>
      <c r="B94" s="696"/>
      <c r="C94" s="696"/>
      <c r="D94" s="4144"/>
      <c r="E94" s="779" t="s">
        <v>380</v>
      </c>
      <c r="F94" s="780">
        <v>32</v>
      </c>
      <c r="G94" s="781">
        <v>3.71</v>
      </c>
      <c r="H94" s="696"/>
      <c r="I94" s="696"/>
      <c r="J94" s="696"/>
      <c r="K94" s="696"/>
      <c r="L94" s="696"/>
      <c r="M94" s="696"/>
      <c r="N94" s="756" t="s">
        <v>67</v>
      </c>
      <c r="O94" s="757"/>
      <c r="P94" s="759" t="s">
        <v>381</v>
      </c>
      <c r="Q94" s="759" t="s">
        <v>382</v>
      </c>
      <c r="R94" s="759"/>
      <c r="S94" s="759"/>
    </row>
    <row r="95" spans="1:19" hidden="1" x14ac:dyDescent="0.25">
      <c r="A95" s="696"/>
      <c r="B95" s="696"/>
      <c r="C95" s="696"/>
      <c r="D95" s="696"/>
      <c r="E95" s="696"/>
      <c r="F95" s="696"/>
      <c r="G95" s="696"/>
      <c r="H95" s="696"/>
      <c r="I95" s="696"/>
      <c r="J95" s="696"/>
      <c r="K95" s="696"/>
      <c r="L95" s="696"/>
      <c r="M95" s="696"/>
      <c r="N95" s="765" t="s">
        <v>383</v>
      </c>
      <c r="O95" s="766" t="s">
        <v>84</v>
      </c>
      <c r="P95" s="722">
        <v>19</v>
      </c>
      <c r="Q95" s="722">
        <v>23</v>
      </c>
      <c r="R95" s="722"/>
      <c r="S95" s="722"/>
    </row>
    <row r="96" spans="1:19" hidden="1" x14ac:dyDescent="0.25">
      <c r="A96" s="696"/>
      <c r="B96" s="696"/>
      <c r="C96" s="696"/>
      <c r="D96" s="696"/>
      <c r="E96" s="696"/>
      <c r="F96" s="696"/>
      <c r="G96" s="696"/>
      <c r="H96" s="696"/>
      <c r="I96" s="696"/>
      <c r="J96" s="696"/>
      <c r="K96" s="696"/>
      <c r="L96" s="696"/>
      <c r="M96" s="696"/>
      <c r="N96" s="773"/>
      <c r="O96" s="766" t="s">
        <v>76</v>
      </c>
      <c r="P96" s="722">
        <v>26</v>
      </c>
      <c r="Q96" s="722">
        <v>26</v>
      </c>
      <c r="R96" s="722"/>
      <c r="S96" s="722"/>
    </row>
    <row r="97" spans="1:19" hidden="1" x14ac:dyDescent="0.25">
      <c r="A97" s="696"/>
      <c r="B97" s="696"/>
      <c r="C97" s="696"/>
      <c r="D97" s="696"/>
      <c r="E97" s="696"/>
      <c r="F97" s="696"/>
      <c r="G97" s="696"/>
      <c r="H97" s="696"/>
      <c r="I97" s="696"/>
      <c r="J97" s="696"/>
      <c r="K97" s="696"/>
      <c r="L97" s="696"/>
      <c r="M97" s="696"/>
      <c r="N97" s="756"/>
      <c r="O97" s="766" t="s">
        <v>334</v>
      </c>
      <c r="P97" s="722">
        <v>23</v>
      </c>
      <c r="Q97" s="722">
        <v>22</v>
      </c>
      <c r="R97" s="722"/>
      <c r="S97" s="722"/>
    </row>
    <row r="98" spans="1:19" hidden="1" x14ac:dyDescent="0.25">
      <c r="A98" s="696"/>
      <c r="B98" s="696"/>
      <c r="C98" s="696"/>
      <c r="D98" s="696"/>
      <c r="E98" s="696"/>
      <c r="F98" s="696"/>
      <c r="G98" s="696"/>
      <c r="H98" s="696"/>
      <c r="I98" s="696"/>
      <c r="J98" s="696"/>
      <c r="K98" s="696"/>
      <c r="L98" s="696"/>
      <c r="M98" s="696"/>
      <c r="N98" s="756"/>
      <c r="O98" s="766" t="s">
        <v>335</v>
      </c>
      <c r="P98" s="722">
        <v>36</v>
      </c>
      <c r="Q98" s="722">
        <v>31</v>
      </c>
      <c r="R98" s="722"/>
      <c r="S98" s="722"/>
    </row>
    <row r="99" spans="1:19" hidden="1" x14ac:dyDescent="0.25">
      <c r="A99" s="696"/>
      <c r="B99" s="696"/>
      <c r="C99" s="696"/>
      <c r="D99" s="696"/>
      <c r="E99" s="696"/>
      <c r="F99" s="696"/>
      <c r="G99" s="696"/>
      <c r="H99" s="696"/>
      <c r="I99" s="696"/>
      <c r="J99" s="696"/>
      <c r="K99" s="696"/>
      <c r="L99" s="696"/>
      <c r="M99" s="696"/>
      <c r="N99" s="756"/>
      <c r="O99" s="766" t="s">
        <v>336</v>
      </c>
      <c r="P99" s="722">
        <v>30</v>
      </c>
      <c r="Q99" s="722">
        <v>34</v>
      </c>
      <c r="R99" s="722"/>
      <c r="S99" s="722"/>
    </row>
    <row r="100" spans="1:19" hidden="1" x14ac:dyDescent="0.25">
      <c r="A100" s="696"/>
      <c r="B100" s="696"/>
      <c r="C100" s="696"/>
      <c r="D100" s="696"/>
      <c r="E100" s="696"/>
      <c r="F100" s="696"/>
      <c r="G100" s="696"/>
      <c r="H100" s="696"/>
      <c r="I100" s="696"/>
      <c r="J100" s="696"/>
      <c r="K100" s="696"/>
      <c r="L100" s="696"/>
      <c r="M100" s="696"/>
      <c r="N100" s="756"/>
      <c r="O100" s="766" t="s">
        <v>28</v>
      </c>
      <c r="P100" s="722">
        <v>53</v>
      </c>
      <c r="Q100" s="722">
        <v>50</v>
      </c>
      <c r="R100" s="722"/>
      <c r="S100" s="722"/>
    </row>
    <row r="101" spans="1:19" hidden="1" x14ac:dyDescent="0.25">
      <c r="A101" s="696"/>
      <c r="B101" s="696"/>
      <c r="C101" s="696"/>
      <c r="D101" s="696"/>
      <c r="E101" s="696"/>
      <c r="F101" s="696"/>
      <c r="G101" s="696"/>
      <c r="H101" s="696"/>
      <c r="I101" s="696"/>
      <c r="J101" s="696"/>
      <c r="K101" s="696"/>
      <c r="L101" s="696"/>
      <c r="M101" s="696"/>
      <c r="N101" s="756"/>
      <c r="O101" s="766" t="s">
        <v>337</v>
      </c>
      <c r="P101" s="722" t="s">
        <v>344</v>
      </c>
      <c r="Q101" s="722" t="s">
        <v>344</v>
      </c>
      <c r="R101" s="722"/>
      <c r="S101" s="722"/>
    </row>
    <row r="102" spans="1:19" hidden="1" x14ac:dyDescent="0.25">
      <c r="A102" s="696"/>
      <c r="B102" s="696"/>
      <c r="C102" s="696"/>
      <c r="D102" s="696"/>
      <c r="E102" s="696"/>
      <c r="F102" s="696"/>
      <c r="G102" s="696"/>
      <c r="H102" s="696"/>
      <c r="I102" s="696"/>
      <c r="J102" s="696"/>
      <c r="K102" s="696"/>
      <c r="L102" s="696"/>
      <c r="M102" s="696"/>
      <c r="N102" s="756"/>
      <c r="O102" s="766" t="s">
        <v>338</v>
      </c>
      <c r="P102" s="722">
        <v>38</v>
      </c>
      <c r="Q102" s="722">
        <v>35</v>
      </c>
      <c r="R102" s="722"/>
      <c r="S102" s="722"/>
    </row>
    <row r="103" spans="1:19" hidden="1" x14ac:dyDescent="0.25">
      <c r="A103" s="696"/>
      <c r="B103" s="696"/>
      <c r="C103" s="696"/>
      <c r="D103" s="696"/>
      <c r="E103" s="696"/>
      <c r="F103" s="696"/>
      <c r="G103" s="696"/>
      <c r="H103" s="696"/>
      <c r="I103" s="696"/>
      <c r="J103" s="696"/>
      <c r="K103" s="696"/>
      <c r="L103" s="696"/>
      <c r="M103" s="696"/>
      <c r="N103" s="773"/>
      <c r="O103" s="778" t="s">
        <v>86</v>
      </c>
      <c r="P103" s="722">
        <v>44</v>
      </c>
      <c r="Q103" s="722">
        <v>52</v>
      </c>
      <c r="R103" s="722"/>
      <c r="S103" s="722"/>
    </row>
    <row r="104" spans="1:19" hidden="1" x14ac:dyDescent="0.25">
      <c r="A104" s="696"/>
      <c r="B104" s="696"/>
      <c r="C104" s="696"/>
      <c r="D104" s="696"/>
      <c r="E104" s="696"/>
      <c r="F104" s="696"/>
      <c r="G104" s="696"/>
      <c r="H104" s="696"/>
      <c r="I104" s="696"/>
      <c r="J104" s="696"/>
      <c r="K104" s="696"/>
      <c r="L104" s="696"/>
      <c r="M104" s="696"/>
      <c r="N104" s="773"/>
      <c r="O104" s="766" t="s">
        <v>85</v>
      </c>
      <c r="P104" s="722">
        <v>50</v>
      </c>
      <c r="Q104" s="722">
        <v>47</v>
      </c>
      <c r="R104" s="722"/>
      <c r="S104" s="722"/>
    </row>
    <row r="105" spans="1:19" hidden="1" x14ac:dyDescent="0.25">
      <c r="A105" s="696"/>
      <c r="B105" s="696"/>
      <c r="C105" s="696"/>
      <c r="D105" s="696"/>
      <c r="E105" s="696"/>
      <c r="F105" s="696"/>
      <c r="G105" s="696"/>
      <c r="H105" s="696"/>
      <c r="I105" s="696"/>
      <c r="J105" s="696"/>
      <c r="K105" s="696"/>
      <c r="L105" s="696"/>
      <c r="M105" s="696"/>
      <c r="N105" s="773"/>
      <c r="O105" s="766" t="s">
        <v>339</v>
      </c>
      <c r="P105" s="722" t="s">
        <v>344</v>
      </c>
      <c r="Q105" s="722" t="s">
        <v>344</v>
      </c>
      <c r="R105" s="722"/>
      <c r="S105" s="722"/>
    </row>
    <row r="106" spans="1:19" hidden="1" x14ac:dyDescent="0.25">
      <c r="A106" s="696"/>
      <c r="B106" s="696"/>
      <c r="C106" s="696"/>
      <c r="D106" s="696"/>
      <c r="E106" s="696"/>
      <c r="F106" s="696"/>
      <c r="G106" s="696"/>
      <c r="H106" s="696"/>
      <c r="I106" s="696"/>
      <c r="J106" s="696"/>
      <c r="K106" s="696"/>
      <c r="L106" s="696"/>
      <c r="M106" s="696"/>
      <c r="N106" s="773"/>
      <c r="O106" s="766" t="s">
        <v>74</v>
      </c>
      <c r="P106" s="722">
        <v>43</v>
      </c>
      <c r="Q106" s="722">
        <v>49</v>
      </c>
      <c r="R106" s="722"/>
      <c r="S106" s="722"/>
    </row>
    <row r="107" spans="1:19" hidden="1" x14ac:dyDescent="0.25">
      <c r="A107" s="696"/>
      <c r="B107" s="696"/>
      <c r="C107" s="696"/>
      <c r="D107" s="696"/>
      <c r="E107" s="696"/>
      <c r="F107" s="696"/>
      <c r="G107" s="696"/>
      <c r="H107" s="696"/>
      <c r="I107" s="696"/>
      <c r="J107" s="696"/>
      <c r="K107" s="696"/>
      <c r="L107" s="696"/>
      <c r="M107" s="696"/>
      <c r="N107" s="773"/>
      <c r="O107" s="766" t="s">
        <v>340</v>
      </c>
      <c r="P107" s="722">
        <v>45</v>
      </c>
      <c r="Q107" s="722">
        <v>44</v>
      </c>
      <c r="R107" s="722"/>
      <c r="S107" s="722"/>
    </row>
    <row r="108" spans="1:19" hidden="1" x14ac:dyDescent="0.25">
      <c r="A108" s="696"/>
      <c r="B108" s="696"/>
      <c r="C108" s="696"/>
      <c r="D108" s="696"/>
      <c r="E108" s="696"/>
      <c r="F108" s="696"/>
      <c r="G108" s="696"/>
      <c r="H108" s="696"/>
      <c r="I108" s="696"/>
      <c r="J108" s="696"/>
      <c r="K108" s="696"/>
      <c r="L108" s="696"/>
      <c r="M108" s="696"/>
      <c r="N108" s="773"/>
      <c r="O108" s="766" t="s">
        <v>73</v>
      </c>
      <c r="P108" s="722" t="s">
        <v>344</v>
      </c>
      <c r="Q108" s="722" t="s">
        <v>344</v>
      </c>
      <c r="R108" s="722"/>
      <c r="S108" s="722"/>
    </row>
    <row r="109" spans="1:19" hidden="1" x14ac:dyDescent="0.25">
      <c r="A109" s="696"/>
      <c r="B109" s="696"/>
      <c r="C109" s="696"/>
      <c r="D109" s="696"/>
      <c r="E109" s="696"/>
      <c r="F109" s="696"/>
      <c r="G109" s="696"/>
      <c r="H109" s="696"/>
      <c r="I109" s="696"/>
      <c r="J109" s="696"/>
      <c r="K109" s="696"/>
      <c r="L109" s="696"/>
      <c r="M109" s="696"/>
      <c r="N109" s="685"/>
      <c r="O109" s="685"/>
      <c r="P109" s="685"/>
      <c r="Q109" s="685"/>
      <c r="R109" s="685"/>
      <c r="S109" s="685"/>
    </row>
    <row r="110" spans="1:19" hidden="1" x14ac:dyDescent="0.25">
      <c r="A110" s="696"/>
      <c r="B110" s="696"/>
      <c r="C110" s="696"/>
      <c r="D110" s="696"/>
      <c r="E110" s="696"/>
      <c r="F110" s="696"/>
      <c r="G110" s="696"/>
      <c r="H110" s="696"/>
      <c r="I110" s="696"/>
      <c r="J110" s="696"/>
      <c r="K110" s="696"/>
      <c r="L110" s="696"/>
      <c r="M110" s="696"/>
      <c r="N110" s="696"/>
      <c r="O110" s="696"/>
      <c r="P110" s="696"/>
      <c r="Q110" s="696"/>
      <c r="R110" s="696"/>
      <c r="S110" s="696"/>
    </row>
    <row r="111" spans="1:19" hidden="1" x14ac:dyDescent="0.25">
      <c r="A111" s="696"/>
      <c r="B111" s="696"/>
      <c r="C111" s="696"/>
      <c r="D111" s="696"/>
      <c r="E111" s="696"/>
      <c r="F111" s="696"/>
      <c r="G111" s="696"/>
      <c r="H111" s="696"/>
      <c r="I111" s="696"/>
      <c r="J111" s="696"/>
      <c r="K111" s="696"/>
      <c r="L111" s="696"/>
      <c r="M111" s="696"/>
      <c r="N111" s="696"/>
      <c r="O111" s="696"/>
      <c r="P111" s="696"/>
      <c r="Q111" s="696"/>
      <c r="R111" s="696"/>
      <c r="S111" s="696"/>
    </row>
    <row r="112" spans="1:19" hidden="1" x14ac:dyDescent="0.25">
      <c r="A112" s="696"/>
      <c r="B112" s="696"/>
      <c r="C112" s="696"/>
    </row>
    <row r="113" spans="1:3" hidden="1" x14ac:dyDescent="0.25">
      <c r="A113" s="696"/>
      <c r="B113" s="696"/>
      <c r="C113" s="696"/>
    </row>
    <row r="114" spans="1:3" hidden="1" x14ac:dyDescent="0.25">
      <c r="A114" s="696"/>
      <c r="B114" s="696"/>
      <c r="C114" s="696"/>
    </row>
    <row r="115" spans="1:3" hidden="1" x14ac:dyDescent="0.25">
      <c r="A115" s="696"/>
      <c r="B115" s="696"/>
      <c r="C115" s="696"/>
    </row>
    <row r="116" spans="1:3" hidden="1" x14ac:dyDescent="0.25">
      <c r="A116" s="696"/>
      <c r="B116" s="696"/>
      <c r="C116" s="696"/>
    </row>
    <row r="117" spans="1:3" hidden="1" x14ac:dyDescent="0.25">
      <c r="A117" s="696"/>
      <c r="B117" s="696"/>
      <c r="C117" s="696"/>
    </row>
    <row r="118" spans="1:3" hidden="1" x14ac:dyDescent="0.25">
      <c r="A118" s="696"/>
      <c r="B118" s="696"/>
      <c r="C118" s="696"/>
    </row>
    <row r="119" spans="1:3" hidden="1" x14ac:dyDescent="0.25">
      <c r="A119" s="696"/>
      <c r="B119" s="696"/>
      <c r="C119" s="696"/>
    </row>
    <row r="120" spans="1:3" hidden="1" x14ac:dyDescent="0.25">
      <c r="A120" s="696"/>
      <c r="B120" s="696"/>
      <c r="C120" s="696"/>
    </row>
    <row r="121" spans="1:3" hidden="1" x14ac:dyDescent="0.25">
      <c r="A121" s="696"/>
      <c r="B121" s="696"/>
      <c r="C121" s="696"/>
    </row>
    <row r="122" spans="1:3" hidden="1" x14ac:dyDescent="0.25">
      <c r="A122" s="696"/>
      <c r="B122" s="696"/>
      <c r="C122" s="696"/>
    </row>
    <row r="123" spans="1:3" hidden="1" x14ac:dyDescent="0.25">
      <c r="A123" s="696"/>
      <c r="B123" s="696"/>
      <c r="C123" s="696"/>
    </row>
    <row r="124" spans="1:3" hidden="1" x14ac:dyDescent="0.25">
      <c r="A124" s="696"/>
      <c r="B124" s="696"/>
      <c r="C124" s="696"/>
    </row>
    <row r="125" spans="1:3" hidden="1" x14ac:dyDescent="0.25">
      <c r="A125" s="696"/>
      <c r="B125" s="696"/>
      <c r="C125" s="696"/>
    </row>
    <row r="126" spans="1:3" hidden="1" x14ac:dyDescent="0.25">
      <c r="A126" s="696"/>
      <c r="B126" s="696"/>
      <c r="C126" s="696"/>
    </row>
    <row r="127" spans="1:3" hidden="1" x14ac:dyDescent="0.25">
      <c r="A127" s="696"/>
      <c r="B127" s="696"/>
      <c r="C127" s="696"/>
    </row>
    <row r="128" spans="1:3" hidden="1" x14ac:dyDescent="0.25">
      <c r="A128" s="696"/>
      <c r="B128" s="696"/>
      <c r="C128" s="696"/>
    </row>
    <row r="129" spans="1:3" hidden="1" x14ac:dyDescent="0.25">
      <c r="A129" s="696"/>
      <c r="B129" s="696"/>
      <c r="C129" s="696"/>
    </row>
    <row r="130" spans="1:3" hidden="1" x14ac:dyDescent="0.25">
      <c r="A130" s="696"/>
      <c r="B130" s="696"/>
      <c r="C130" s="696"/>
    </row>
    <row r="131" spans="1:3" hidden="1" x14ac:dyDescent="0.25">
      <c r="A131" s="696"/>
      <c r="B131" s="696"/>
      <c r="C131" s="696"/>
    </row>
    <row r="132" spans="1:3" x14ac:dyDescent="0.25">
      <c r="A132" s="693"/>
      <c r="B132" s="694"/>
      <c r="C132" s="694"/>
    </row>
  </sheetData>
  <mergeCells count="12">
    <mergeCell ref="Q5:AB5"/>
    <mergeCell ref="D63:P63"/>
    <mergeCell ref="D93:D94"/>
    <mergeCell ref="D2:P2"/>
    <mergeCell ref="D3:P3"/>
    <mergeCell ref="D4:P4"/>
    <mergeCell ref="D5:P5"/>
    <mergeCell ref="D64:P64"/>
    <mergeCell ref="D65:P65"/>
    <mergeCell ref="D76:G76"/>
    <mergeCell ref="D79:D82"/>
    <mergeCell ref="D85:D90"/>
  </mergeCells>
  <pageMargins left="0.74803149606299202" right="0.74803149606299202" top="0.98425196850393704" bottom="0.98425196850393704" header="0.511811023622047" footer="0.511811023622047"/>
  <pageSetup paperSize="9" scale="45" orientation="landscape" r:id="rId1"/>
  <headerFooter alignWithMargins="0">
    <oddHeader>&amp;C&amp;"-,Bold"DEVELOPMENT INDICATORS 2017</oddHeader>
    <oddFooter>&amp;LDepartment of Planning, Monitoring and Evaluation (DPME). &amp;CPage &amp;P of &amp;N&amp;R&amp;D</oddFooter>
  </headerFooter>
  <colBreaks count="1" manualBreakCount="1">
    <brk id="1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116"/>
  <sheetViews>
    <sheetView showGridLines="0" view="pageBreakPreview" topLeftCell="C1" zoomScaleNormal="100" zoomScaleSheetLayoutView="100" workbookViewId="0">
      <selection activeCell="I125" sqref="I125"/>
    </sheetView>
  </sheetViews>
  <sheetFormatPr defaultColWidth="9.140625" defaultRowHeight="12.75" x14ac:dyDescent="0.2"/>
  <cols>
    <col min="1" max="1" width="3.7109375" style="4476" customWidth="1"/>
    <col min="2" max="2" width="14.42578125" style="4475" customWidth="1"/>
    <col min="3" max="3" width="3.7109375" style="4475" customWidth="1"/>
    <col min="4" max="4" width="29.5703125" style="4474" customWidth="1"/>
    <col min="5" max="21" width="9.140625" style="4474" customWidth="1"/>
    <col min="22" max="16384" width="9.140625" style="4474"/>
  </cols>
  <sheetData>
    <row r="1" spans="1:22" x14ac:dyDescent="0.2">
      <c r="D1" s="4555"/>
      <c r="E1" s="4555"/>
      <c r="F1" s="4555"/>
      <c r="G1" s="4555"/>
      <c r="H1" s="4555"/>
      <c r="I1" s="4555"/>
      <c r="J1" s="4555"/>
      <c r="K1" s="4555"/>
    </row>
    <row r="2" spans="1:22" ht="15" customHeight="1" x14ac:dyDescent="0.2">
      <c r="A2" s="4476">
        <v>1</v>
      </c>
      <c r="B2" s="4476" t="s">
        <v>0</v>
      </c>
      <c r="C2" s="4476">
        <f>1+'[33]BM '!C2</f>
        <v>17</v>
      </c>
      <c r="D2" s="4550" t="s">
        <v>3</v>
      </c>
      <c r="E2" s="4549"/>
      <c r="F2" s="4549"/>
      <c r="G2" s="4549"/>
      <c r="H2" s="4549"/>
      <c r="I2" s="4549"/>
      <c r="J2" s="4549"/>
      <c r="K2" s="4549"/>
      <c r="L2" s="4549"/>
      <c r="M2" s="4549"/>
      <c r="N2" s="4549"/>
      <c r="O2" s="4549"/>
      <c r="P2" s="4549"/>
      <c r="Q2" s="4549"/>
      <c r="R2" s="4549"/>
      <c r="S2" s="4549"/>
      <c r="T2" s="4549"/>
      <c r="U2" s="4548"/>
    </row>
    <row r="3" spans="1:22" ht="15" customHeight="1" x14ac:dyDescent="0.2">
      <c r="A3" s="4476">
        <v>2</v>
      </c>
      <c r="B3" s="4476" t="s">
        <v>2</v>
      </c>
      <c r="C3" s="4476"/>
      <c r="D3" s="4550" t="s">
        <v>3</v>
      </c>
      <c r="E3" s="4549"/>
      <c r="F3" s="4549"/>
      <c r="G3" s="4549"/>
      <c r="H3" s="4549"/>
      <c r="I3" s="4549"/>
      <c r="J3" s="4549"/>
      <c r="K3" s="4549"/>
      <c r="L3" s="4549"/>
      <c r="M3" s="4549"/>
      <c r="N3" s="4549"/>
      <c r="O3" s="4549"/>
      <c r="P3" s="4549"/>
      <c r="Q3" s="4549"/>
      <c r="R3" s="4549"/>
      <c r="S3" s="4549"/>
      <c r="T3" s="4549"/>
      <c r="U3" s="4548"/>
    </row>
    <row r="4" spans="1:22" ht="12.75" customHeight="1" x14ac:dyDescent="0.2">
      <c r="A4" s="4476">
        <v>3</v>
      </c>
      <c r="B4" s="4476" t="s">
        <v>4</v>
      </c>
      <c r="C4" s="4476"/>
      <c r="D4" s="4550" t="s">
        <v>1821</v>
      </c>
      <c r="E4" s="4549"/>
      <c r="F4" s="4549"/>
      <c r="G4" s="4549"/>
      <c r="H4" s="4549"/>
      <c r="I4" s="4549"/>
      <c r="J4" s="4549"/>
      <c r="K4" s="4549"/>
      <c r="L4" s="4549"/>
      <c r="M4" s="4549"/>
      <c r="N4" s="4549"/>
      <c r="O4" s="4549"/>
      <c r="P4" s="4549"/>
      <c r="Q4" s="4549"/>
      <c r="R4" s="4549"/>
      <c r="S4" s="4549"/>
      <c r="T4" s="4549"/>
      <c r="U4" s="4548"/>
    </row>
    <row r="5" spans="1:22" x14ac:dyDescent="0.2">
      <c r="C5" s="4476"/>
      <c r="K5" s="4509"/>
      <c r="L5" s="4587"/>
      <c r="M5" s="4587"/>
      <c r="N5" s="4587"/>
      <c r="O5" s="4587"/>
      <c r="P5" s="4587"/>
      <c r="Q5" s="4587"/>
      <c r="R5" s="4587"/>
      <c r="S5" s="4587"/>
      <c r="T5" s="4587"/>
      <c r="U5" s="4587"/>
      <c r="V5" s="4477"/>
    </row>
    <row r="6" spans="1:22" x14ac:dyDescent="0.2">
      <c r="A6" s="4476">
        <v>5</v>
      </c>
      <c r="B6" s="4476" t="s">
        <v>5</v>
      </c>
      <c r="D6" s="4596" t="s">
        <v>112</v>
      </c>
      <c r="E6" s="4596" t="s">
        <v>3</v>
      </c>
      <c r="F6" s="4596"/>
      <c r="G6" s="4596"/>
      <c r="H6" s="4596"/>
      <c r="I6" s="4595"/>
      <c r="J6" s="4595"/>
      <c r="K6" s="4558"/>
      <c r="L6" s="4587"/>
      <c r="M6" s="4594"/>
      <c r="N6" s="4594"/>
      <c r="O6" s="4594"/>
      <c r="P6" s="4594"/>
      <c r="Q6" s="4594"/>
      <c r="R6" s="4594"/>
      <c r="S6" s="4594"/>
      <c r="T6" s="4594"/>
      <c r="U6" s="4594"/>
      <c r="V6" s="4477"/>
    </row>
    <row r="7" spans="1:22" ht="14.45" customHeight="1" x14ac:dyDescent="0.2">
      <c r="D7" s="4529"/>
      <c r="E7" s="4541">
        <v>2001</v>
      </c>
      <c r="F7" s="4541">
        <v>2002</v>
      </c>
      <c r="G7" s="4541">
        <v>2003</v>
      </c>
      <c r="H7" s="4541">
        <v>2004</v>
      </c>
      <c r="I7" s="4541">
        <v>2005</v>
      </c>
      <c r="J7" s="4541">
        <v>2006</v>
      </c>
      <c r="K7" s="4541">
        <v>2007</v>
      </c>
      <c r="L7" s="4541">
        <v>2008</v>
      </c>
      <c r="M7" s="4541">
        <v>2009</v>
      </c>
      <c r="N7" s="4541">
        <v>2010</v>
      </c>
      <c r="O7" s="4541">
        <v>2011</v>
      </c>
      <c r="P7" s="4541">
        <v>2012</v>
      </c>
      <c r="Q7" s="4541">
        <v>2013</v>
      </c>
      <c r="R7" s="4541">
        <v>2014</v>
      </c>
      <c r="S7" s="4541">
        <v>2015</v>
      </c>
      <c r="T7" s="4541">
        <v>2016</v>
      </c>
      <c r="U7" s="4541">
        <v>2017</v>
      </c>
      <c r="V7" s="4593"/>
    </row>
    <row r="8" spans="1:22" x14ac:dyDescent="0.2">
      <c r="D8" s="4516" t="s">
        <v>1820</v>
      </c>
      <c r="E8" s="4539"/>
      <c r="F8" s="4539"/>
      <c r="G8" s="4539"/>
      <c r="H8" s="4539"/>
      <c r="I8" s="4539"/>
      <c r="J8" s="4539"/>
      <c r="K8" s="4539"/>
      <c r="L8" s="4539"/>
      <c r="M8" s="4539"/>
      <c r="N8" s="4539"/>
      <c r="O8" s="4539"/>
      <c r="P8" s="4539"/>
      <c r="Q8" s="4539"/>
      <c r="R8" s="4539"/>
      <c r="S8" s="4539"/>
      <c r="T8" s="4539"/>
      <c r="U8" s="4539"/>
      <c r="V8" s="4592"/>
    </row>
    <row r="9" spans="1:22" x14ac:dyDescent="0.2">
      <c r="D9" s="4515" t="s">
        <v>1819</v>
      </c>
      <c r="E9" s="4590">
        <v>2129</v>
      </c>
      <c r="F9" s="4590">
        <v>2177.5</v>
      </c>
      <c r="G9" s="4590">
        <v>2006</v>
      </c>
      <c r="H9" s="4590">
        <v>1998</v>
      </c>
      <c r="I9" s="4590">
        <v>2440.5</v>
      </c>
      <c r="J9" s="4590">
        <v>2573</v>
      </c>
      <c r="K9" s="4590">
        <v>2325</v>
      </c>
      <c r="L9" s="4590">
        <v>2379.9844079402401</v>
      </c>
      <c r="M9" s="4590">
        <v>2220.9082455121093</v>
      </c>
      <c r="N9" s="4590">
        <v>2258.5948090345109</v>
      </c>
      <c r="O9" s="4590">
        <v>2269.9426425158872</v>
      </c>
      <c r="P9" s="4590">
        <v>2274.6988455800774</v>
      </c>
      <c r="Q9" s="4590">
        <v>2365.6091728737533</v>
      </c>
      <c r="R9" s="4590">
        <v>2392.6113034777945</v>
      </c>
      <c r="S9" s="4590">
        <v>2637</v>
      </c>
      <c r="T9" s="4590">
        <v>2602</v>
      </c>
      <c r="U9" s="4590">
        <v>2735</v>
      </c>
      <c r="V9" s="4587"/>
    </row>
    <row r="10" spans="1:22" ht="15.75" customHeight="1" x14ac:dyDescent="0.2">
      <c r="D10" s="4515" t="s">
        <v>1818</v>
      </c>
      <c r="E10" s="4590">
        <v>7404</v>
      </c>
      <c r="F10" s="4590">
        <v>7410</v>
      </c>
      <c r="G10" s="4590">
        <v>7725</v>
      </c>
      <c r="H10" s="4590">
        <v>8039</v>
      </c>
      <c r="I10" s="4590">
        <v>8336.5</v>
      </c>
      <c r="J10" s="4590">
        <v>8675.5</v>
      </c>
      <c r="K10" s="4590">
        <v>9146.5</v>
      </c>
      <c r="L10" s="4590">
        <v>10083.17665144513</v>
      </c>
      <c r="M10" s="4590">
        <v>9966.943254108277</v>
      </c>
      <c r="N10" s="4590">
        <v>9626.6474084566908</v>
      </c>
      <c r="O10" s="4590">
        <v>9942.385411183106</v>
      </c>
      <c r="P10" s="4590">
        <v>10222.218489834988</v>
      </c>
      <c r="Q10" s="4590">
        <v>10524.415223359194</v>
      </c>
      <c r="R10" s="4590">
        <v>10822.210861710188</v>
      </c>
      <c r="S10" s="4590">
        <v>10935</v>
      </c>
      <c r="T10" s="4590">
        <v>11021</v>
      </c>
      <c r="U10" s="4590">
        <v>11288</v>
      </c>
      <c r="V10" s="4587"/>
    </row>
    <row r="11" spans="1:22" x14ac:dyDescent="0.2">
      <c r="D11" s="4591" t="s">
        <v>1242</v>
      </c>
      <c r="E11" s="4590">
        <v>861</v>
      </c>
      <c r="F11" s="4590">
        <v>1116.5</v>
      </c>
      <c r="G11" s="4590">
        <v>851</v>
      </c>
      <c r="H11" s="4590">
        <v>800.5</v>
      </c>
      <c r="I11" s="4590">
        <v>740</v>
      </c>
      <c r="J11" s="4590">
        <v>859.5</v>
      </c>
      <c r="K11" s="4590">
        <v>736.5</v>
      </c>
      <c r="L11" s="4590">
        <v>818.61495003769858</v>
      </c>
      <c r="M11" s="4590">
        <v>714.6480947219294</v>
      </c>
      <c r="N11" s="4590">
        <v>665.29209048298367</v>
      </c>
      <c r="O11" s="4590">
        <v>644.1343415675841</v>
      </c>
      <c r="P11" s="4590">
        <v>696.24244234158959</v>
      </c>
      <c r="Q11" s="4590">
        <v>739.95601888918736</v>
      </c>
      <c r="R11" s="4590">
        <v>701.50574996723083</v>
      </c>
      <c r="S11" s="4590">
        <v>880</v>
      </c>
      <c r="T11" s="4590">
        <v>874</v>
      </c>
      <c r="U11" s="4590">
        <v>843</v>
      </c>
      <c r="V11" s="4587"/>
    </row>
    <row r="12" spans="1:22" x14ac:dyDescent="0.2">
      <c r="C12" s="4476"/>
      <c r="D12" s="4589" t="s">
        <v>1817</v>
      </c>
      <c r="E12" s="4588">
        <v>1267</v>
      </c>
      <c r="F12" s="4588">
        <v>1260.5</v>
      </c>
      <c r="G12" s="4588">
        <v>1230.5</v>
      </c>
      <c r="H12" s="4588">
        <v>1206.5</v>
      </c>
      <c r="I12" s="4588">
        <v>1251.5</v>
      </c>
      <c r="J12" s="4588">
        <v>1311</v>
      </c>
      <c r="K12" s="4588">
        <v>1258.5</v>
      </c>
      <c r="L12" s="4588">
        <v>1303.0850276473977</v>
      </c>
      <c r="M12" s="4588">
        <v>1291.3246197177054</v>
      </c>
      <c r="N12" s="4588">
        <v>1237.4418465182118</v>
      </c>
      <c r="O12" s="4588">
        <v>1213.5877452405825</v>
      </c>
      <c r="P12" s="4588">
        <v>1231.7294365782625</v>
      </c>
      <c r="Q12" s="4588">
        <v>1235.6474196773265</v>
      </c>
      <c r="R12" s="4588">
        <v>1229.9756276517362</v>
      </c>
      <c r="S12" s="4588">
        <v>1288</v>
      </c>
      <c r="T12" s="4588">
        <v>1283</v>
      </c>
      <c r="U12" s="4588">
        <v>1303</v>
      </c>
      <c r="V12" s="4587"/>
    </row>
    <row r="13" spans="1:22" x14ac:dyDescent="0.2">
      <c r="D13" s="4586" t="s">
        <v>1816</v>
      </c>
      <c r="E13" s="4585">
        <v>11659.564736131906</v>
      </c>
      <c r="F13" s="4585">
        <v>11965.041438403612</v>
      </c>
      <c r="G13" s="4585">
        <v>11812.429745588339</v>
      </c>
      <c r="H13" s="4585">
        <v>12043.837496420887</v>
      </c>
      <c r="I13" s="4585">
        <v>12768.858708318956</v>
      </c>
      <c r="J13" s="4585">
        <v>13418.80723334651</v>
      </c>
      <c r="K13" s="4585">
        <v>13467.260828648677</v>
      </c>
      <c r="L13" s="4585">
        <v>14584.861037070465</v>
      </c>
      <c r="M13" s="4585">
        <v>14193.824214060021</v>
      </c>
      <c r="N13" s="4585">
        <v>13787.976154492397</v>
      </c>
      <c r="O13" s="4585">
        <v>14070.050140507159</v>
      </c>
      <c r="P13" s="4585">
        <v>14424.889214334915</v>
      </c>
      <c r="Q13" s="4585">
        <v>14865.627834799463</v>
      </c>
      <c r="R13" s="4585">
        <v>15146.303542806947</v>
      </c>
      <c r="S13" s="4584">
        <v>15741</v>
      </c>
      <c r="T13" s="4584">
        <v>15780</v>
      </c>
      <c r="U13" s="4584">
        <v>16169</v>
      </c>
      <c r="V13" s="4583"/>
    </row>
    <row r="14" spans="1:22" ht="15" customHeight="1" x14ac:dyDescent="0.2">
      <c r="D14" s="4582" t="s">
        <v>1815</v>
      </c>
      <c r="E14" s="4580"/>
      <c r="F14" s="4581"/>
      <c r="G14" s="4581"/>
      <c r="H14" s="4581"/>
      <c r="I14" s="4581"/>
      <c r="J14" s="4581"/>
      <c r="K14" s="4580"/>
      <c r="L14" s="4579"/>
      <c r="M14" s="4578"/>
      <c r="N14" s="4578"/>
      <c r="O14" s="4577"/>
      <c r="P14" s="4577"/>
      <c r="Q14" s="4576"/>
      <c r="R14" s="4576"/>
      <c r="S14" s="4576"/>
      <c r="T14" s="4576"/>
      <c r="U14" s="4576"/>
      <c r="V14" s="4477"/>
    </row>
    <row r="15" spans="1:22" ht="13.5" customHeight="1" x14ac:dyDescent="0.2">
      <c r="D15" s="4575" t="s">
        <v>1814</v>
      </c>
      <c r="E15" s="4574">
        <v>45.8</v>
      </c>
      <c r="F15" s="4574">
        <v>43.1</v>
      </c>
      <c r="G15" s="4574">
        <v>41.2</v>
      </c>
      <c r="H15" s="4574">
        <v>41</v>
      </c>
      <c r="I15" s="4574">
        <v>42.6</v>
      </c>
      <c r="J15" s="4574">
        <v>44.4</v>
      </c>
      <c r="K15" s="4574">
        <v>44.1</v>
      </c>
      <c r="L15" s="4574">
        <v>46</v>
      </c>
      <c r="M15" s="4574">
        <v>44.5</v>
      </c>
      <c r="N15" s="4574">
        <v>42</v>
      </c>
      <c r="O15" s="4574">
        <v>41.6</v>
      </c>
      <c r="P15" s="4574">
        <v>42.2</v>
      </c>
      <c r="Q15" s="4574">
        <v>42.7</v>
      </c>
      <c r="R15" s="4574">
        <v>42.8</v>
      </c>
      <c r="S15" s="4574">
        <v>43.7</v>
      </c>
      <c r="T15" s="4574">
        <v>43</v>
      </c>
      <c r="U15" s="4574">
        <v>43.4</v>
      </c>
      <c r="V15" s="4571"/>
    </row>
    <row r="16" spans="1:22" ht="13.5" customHeight="1" x14ac:dyDescent="0.2">
      <c r="D16" s="4573" t="s">
        <v>1813</v>
      </c>
      <c r="E16" s="4572">
        <v>60.8</v>
      </c>
      <c r="F16" s="4572">
        <v>59.7</v>
      </c>
      <c r="G16" s="4572">
        <v>58.3</v>
      </c>
      <c r="H16" s="4572">
        <v>55.7</v>
      </c>
      <c r="I16" s="4572">
        <v>56.3</v>
      </c>
      <c r="J16" s="4572">
        <v>57.8</v>
      </c>
      <c r="K16" s="4572">
        <v>57.7</v>
      </c>
      <c r="L16" s="4572">
        <v>59.5</v>
      </c>
      <c r="M16" s="4572">
        <v>57.9</v>
      </c>
      <c r="N16" s="4572">
        <v>56.1</v>
      </c>
      <c r="O16" s="4572">
        <v>55.9</v>
      </c>
      <c r="P16" s="4572">
        <v>56.2</v>
      </c>
      <c r="Q16" s="4572">
        <v>56.8</v>
      </c>
      <c r="R16" s="4572">
        <v>57.1</v>
      </c>
      <c r="S16" s="4572">
        <v>58.5</v>
      </c>
      <c r="T16" s="4572">
        <v>58.7</v>
      </c>
      <c r="U16" s="4572">
        <v>59.8</v>
      </c>
      <c r="V16" s="4571"/>
    </row>
    <row r="17" spans="1:21" ht="13.5" customHeight="1" x14ac:dyDescent="0.2">
      <c r="D17" s="4570"/>
      <c r="E17" s="4482"/>
      <c r="F17" s="4482"/>
      <c r="G17" s="4482"/>
      <c r="H17" s="4482"/>
      <c r="I17" s="4482"/>
      <c r="J17" s="4482"/>
      <c r="K17" s="4482"/>
      <c r="L17" s="4483"/>
      <c r="M17" s="4483"/>
      <c r="N17" s="4483"/>
      <c r="O17" s="1551"/>
      <c r="P17" s="1514"/>
    </row>
    <row r="18" spans="1:21" ht="13.5" customHeight="1" x14ac:dyDescent="0.2">
      <c r="D18" s="4569" t="s">
        <v>6</v>
      </c>
      <c r="E18" s="4568" t="s">
        <v>1812</v>
      </c>
      <c r="F18" s="4482"/>
      <c r="G18" s="4482"/>
      <c r="H18" s="4482"/>
      <c r="I18" s="4482"/>
      <c r="J18" s="4482"/>
      <c r="K18" s="4482"/>
      <c r="L18" s="4567"/>
      <c r="M18" s="4567"/>
      <c r="N18" s="4567"/>
      <c r="O18" s="4566"/>
      <c r="P18" s="4566"/>
      <c r="Q18" s="4565"/>
      <c r="R18" s="4565"/>
      <c r="S18" s="4565"/>
      <c r="T18" s="4565"/>
      <c r="U18" s="4565"/>
    </row>
    <row r="19" spans="1:21" ht="13.5" customHeight="1" x14ac:dyDescent="0.2">
      <c r="D19" s="4529"/>
      <c r="E19" s="4541">
        <v>2001</v>
      </c>
      <c r="F19" s="4541">
        <v>2002</v>
      </c>
      <c r="G19" s="4541">
        <v>2003</v>
      </c>
      <c r="H19" s="4541">
        <v>2004</v>
      </c>
      <c r="I19" s="4541">
        <v>2005</v>
      </c>
      <c r="J19" s="4541">
        <v>2006</v>
      </c>
      <c r="K19" s="4541">
        <v>2007</v>
      </c>
      <c r="L19" s="4541">
        <v>2008</v>
      </c>
      <c r="M19" s="4541">
        <v>2009</v>
      </c>
      <c r="N19" s="4541">
        <v>2010</v>
      </c>
      <c r="O19" s="4541">
        <v>2011</v>
      </c>
      <c r="P19" s="4541">
        <v>2012</v>
      </c>
      <c r="Q19" s="4541">
        <v>2013</v>
      </c>
      <c r="R19" s="4541">
        <v>2014</v>
      </c>
      <c r="S19" s="4541">
        <v>2015</v>
      </c>
      <c r="T19" s="4541">
        <v>2016</v>
      </c>
      <c r="U19" s="4541">
        <v>2017</v>
      </c>
    </row>
    <row r="20" spans="1:21" ht="13.5" customHeight="1" x14ac:dyDescent="0.2">
      <c r="D20" s="4537" t="s">
        <v>27</v>
      </c>
      <c r="E20" s="4538">
        <v>31.756281049710992</v>
      </c>
      <c r="F20" s="4538">
        <v>35.43249249356613</v>
      </c>
      <c r="G20" s="4538">
        <v>30.136307155246108</v>
      </c>
      <c r="H20" s="4538">
        <v>28.770622196134873</v>
      </c>
      <c r="I20" s="4538">
        <v>33.969438150414064</v>
      </c>
      <c r="J20" s="4538">
        <v>37.002732376839717</v>
      </c>
      <c r="K20" s="4538">
        <v>33.089802916964068</v>
      </c>
      <c r="L20" s="4538">
        <v>55.357592625292291</v>
      </c>
      <c r="M20" s="4538">
        <v>54.734771226159026</v>
      </c>
      <c r="N20" s="4538">
        <v>52.827080856504722</v>
      </c>
      <c r="O20" s="4538">
        <v>52.597569564881354</v>
      </c>
      <c r="P20" s="4538">
        <v>52.187546959623788</v>
      </c>
      <c r="Q20" s="4538">
        <v>52.253103496242204</v>
      </c>
      <c r="R20" s="4538">
        <v>52.420076534080252</v>
      </c>
      <c r="S20" s="4538">
        <v>53.8</v>
      </c>
      <c r="T20" s="4538">
        <v>53.3</v>
      </c>
      <c r="U20" s="4538">
        <v>54.2</v>
      </c>
    </row>
    <row r="21" spans="1:21" ht="13.5" customHeight="1" x14ac:dyDescent="0.2">
      <c r="D21" s="4537" t="s">
        <v>19</v>
      </c>
      <c r="E21" s="4538">
        <v>48.118986816943426</v>
      </c>
      <c r="F21" s="4538">
        <v>46.957257464035337</v>
      </c>
      <c r="G21" s="4538">
        <v>46.827743982924439</v>
      </c>
      <c r="H21" s="4538">
        <v>45.574803488252464</v>
      </c>
      <c r="I21" s="4538">
        <v>44.506987053543853</v>
      </c>
      <c r="J21" s="4538">
        <v>43.966376783882851</v>
      </c>
      <c r="K21" s="4538">
        <v>45.187549606072579</v>
      </c>
      <c r="L21" s="4538">
        <v>36.076712667771332</v>
      </c>
      <c r="M21" s="4538">
        <v>34.312294153866802</v>
      </c>
      <c r="N21" s="4538">
        <v>32.921125528464493</v>
      </c>
      <c r="O21" s="4538">
        <v>32.608633294489302</v>
      </c>
      <c r="P21" s="4538">
        <v>31.313589373415507</v>
      </c>
      <c r="Q21" s="4538">
        <v>32</v>
      </c>
      <c r="R21" s="4538">
        <v>33.1</v>
      </c>
      <c r="S21" s="4538">
        <v>33.5</v>
      </c>
      <c r="T21" s="4538">
        <v>33.799999999999997</v>
      </c>
      <c r="U21" s="4538">
        <v>33.799999999999997</v>
      </c>
    </row>
    <row r="22" spans="1:21" ht="13.5" customHeight="1" x14ac:dyDescent="0.2">
      <c r="D22" s="4537" t="s">
        <v>26</v>
      </c>
      <c r="E22" s="4538">
        <v>52.146434149121035</v>
      </c>
      <c r="F22" s="4538">
        <v>51.363396371286235</v>
      </c>
      <c r="G22" s="4538">
        <v>50.688894562453441</v>
      </c>
      <c r="H22" s="4538">
        <v>51.945681228477355</v>
      </c>
      <c r="I22" s="4538">
        <v>55.653331725658894</v>
      </c>
      <c r="J22" s="4538">
        <v>56.63234431213921</v>
      </c>
      <c r="K22" s="4538">
        <v>56.750446157612728</v>
      </c>
      <c r="L22" s="4538">
        <v>44.835318802074795</v>
      </c>
      <c r="M22" s="4538">
        <v>40.237470817564521</v>
      </c>
      <c r="N22" s="4538">
        <v>39.053352141657605</v>
      </c>
      <c r="O22" s="4538">
        <v>38.612926530474425</v>
      </c>
      <c r="P22" s="4538">
        <v>40.159138048603552</v>
      </c>
      <c r="Q22" s="4538">
        <v>41.51464292508112</v>
      </c>
      <c r="R22" s="4538">
        <v>40.519908465462024</v>
      </c>
      <c r="S22" s="4538">
        <v>39.700000000000003</v>
      </c>
      <c r="T22" s="4538">
        <v>39.299999999999997</v>
      </c>
      <c r="U22" s="4538">
        <v>38.799999999999997</v>
      </c>
    </row>
    <row r="23" spans="1:21" ht="13.5" customHeight="1" x14ac:dyDescent="0.2">
      <c r="D23" s="4537" t="s">
        <v>20</v>
      </c>
      <c r="E23" s="4538">
        <v>37.84026634307228</v>
      </c>
      <c r="F23" s="4538">
        <v>39.650391495348266</v>
      </c>
      <c r="G23" s="4538">
        <v>38.55608012857013</v>
      </c>
      <c r="H23" s="4538">
        <v>37.953896252788667</v>
      </c>
      <c r="I23" s="4538">
        <v>39.145001543319552</v>
      </c>
      <c r="J23" s="4538">
        <v>41.884000698801046</v>
      </c>
      <c r="K23" s="4538">
        <v>40.648125503875114</v>
      </c>
      <c r="L23" s="4538">
        <v>46.259960967314186</v>
      </c>
      <c r="M23" s="4538">
        <v>43.370560560041454</v>
      </c>
      <c r="N23" s="4538">
        <v>42.493113913762208</v>
      </c>
      <c r="O23" s="4538">
        <v>42.627430205625508</v>
      </c>
      <c r="P23" s="4538">
        <v>39.797085637587955</v>
      </c>
      <c r="Q23" s="4538">
        <v>40.59486098934692</v>
      </c>
      <c r="R23" s="4538">
        <v>40.33378683985886</v>
      </c>
      <c r="S23" s="4538">
        <v>43</v>
      </c>
      <c r="T23" s="4538">
        <v>41.5</v>
      </c>
      <c r="U23" s="4538">
        <v>42</v>
      </c>
    </row>
    <row r="24" spans="1:21" ht="13.5" customHeight="1" x14ac:dyDescent="0.2">
      <c r="D24" s="4537" t="s">
        <v>22</v>
      </c>
      <c r="E24" s="4538">
        <v>29.66547048021247</v>
      </c>
      <c r="F24" s="4538">
        <v>29.008284216250146</v>
      </c>
      <c r="G24" s="4538">
        <v>27.39046632847014</v>
      </c>
      <c r="H24" s="4538">
        <v>29.2355170313513</v>
      </c>
      <c r="I24" s="4538">
        <v>28.547980818177294</v>
      </c>
      <c r="J24" s="4538">
        <v>28.041642076381422</v>
      </c>
      <c r="K24" s="4538">
        <v>29.912676109281428</v>
      </c>
      <c r="L24" s="4538">
        <v>42.340741467452318</v>
      </c>
      <c r="M24" s="4538">
        <v>39.740398793954242</v>
      </c>
      <c r="N24" s="4538">
        <v>37.594927570092402</v>
      </c>
      <c r="O24" s="4538">
        <v>38.053899242808754</v>
      </c>
      <c r="P24" s="4538">
        <v>37.744007954394768</v>
      </c>
      <c r="Q24" s="4538">
        <v>38.22127571640268</v>
      </c>
      <c r="R24" s="4538">
        <v>37.633076187065654</v>
      </c>
      <c r="S24" s="4538">
        <v>38.1</v>
      </c>
      <c r="T24" s="4538">
        <v>36.9</v>
      </c>
      <c r="U24" s="4538">
        <v>36.9</v>
      </c>
    </row>
    <row r="25" spans="1:21" ht="13.5" customHeight="1" x14ac:dyDescent="0.2">
      <c r="D25" s="4537" t="s">
        <v>25</v>
      </c>
      <c r="E25" s="4538">
        <v>40.929994905922378</v>
      </c>
      <c r="F25" s="4538">
        <v>41.342464175175635</v>
      </c>
      <c r="G25" s="4538">
        <v>41.047497216286835</v>
      </c>
      <c r="H25" s="4538">
        <v>41.009779526760113</v>
      </c>
      <c r="I25" s="4538">
        <v>41.117690100945417</v>
      </c>
      <c r="J25" s="4538">
        <v>42.524456603313482</v>
      </c>
      <c r="K25" s="4538">
        <v>42.979141009662492</v>
      </c>
      <c r="L25" s="4538">
        <v>42.198658810393695</v>
      </c>
      <c r="M25" s="4538">
        <v>38.861365321401635</v>
      </c>
      <c r="N25" s="4538">
        <v>36.532931475532138</v>
      </c>
      <c r="O25" s="4538">
        <v>34.773477252342254</v>
      </c>
      <c r="P25" s="4538">
        <v>35.571194971079393</v>
      </c>
      <c r="Q25" s="4538">
        <v>36.299999999999997</v>
      </c>
      <c r="R25" s="4538">
        <v>37.938704259310029</v>
      </c>
      <c r="S25" s="4538">
        <v>38.5</v>
      </c>
      <c r="T25" s="4538">
        <v>37.4</v>
      </c>
      <c r="U25" s="4538">
        <v>39.1</v>
      </c>
    </row>
    <row r="26" spans="1:21" ht="13.5" customHeight="1" x14ac:dyDescent="0.2">
      <c r="D26" s="4537" t="s">
        <v>21</v>
      </c>
      <c r="E26" s="4538">
        <v>36.579526202896787</v>
      </c>
      <c r="F26" s="4538">
        <v>37.698776845275788</v>
      </c>
      <c r="G26" s="4538">
        <v>35.878175548593717</v>
      </c>
      <c r="H26" s="4538">
        <v>37.143136712459516</v>
      </c>
      <c r="I26" s="4538">
        <v>40.090768969994727</v>
      </c>
      <c r="J26" s="4538">
        <v>39.405559710359753</v>
      </c>
      <c r="K26" s="4538">
        <v>39.934393024234069</v>
      </c>
      <c r="L26" s="4538">
        <v>57.600698240728605</v>
      </c>
      <c r="M26" s="4538">
        <v>54.465065341165477</v>
      </c>
      <c r="N26" s="4538">
        <v>51.442640658544228</v>
      </c>
      <c r="O26" s="4538">
        <v>51.632854370450275</v>
      </c>
      <c r="P26" s="4538">
        <v>52.645299237483364</v>
      </c>
      <c r="Q26" s="4538">
        <v>52.469354894865276</v>
      </c>
      <c r="R26" s="4538">
        <v>51.699735538642386</v>
      </c>
      <c r="S26" s="4538">
        <v>52.3</v>
      </c>
      <c r="T26" s="4538">
        <v>51.2</v>
      </c>
      <c r="U26" s="4538">
        <v>50.8</v>
      </c>
    </row>
    <row r="27" spans="1:21" ht="13.5" customHeight="1" x14ac:dyDescent="0.2">
      <c r="D27" s="4537" t="s">
        <v>24</v>
      </c>
      <c r="E27" s="4538">
        <v>46.439078334423655</v>
      </c>
      <c r="F27" s="4538">
        <v>48.151308918118247</v>
      </c>
      <c r="G27" s="4538">
        <v>46.500448351222161</v>
      </c>
      <c r="H27" s="4538">
        <v>44.9244010462305</v>
      </c>
      <c r="I27" s="4538">
        <v>41.569521739447126</v>
      </c>
      <c r="J27" s="4538">
        <v>44.957282631949141</v>
      </c>
      <c r="K27" s="4538">
        <v>44.288761888488338</v>
      </c>
      <c r="L27" s="4538">
        <v>42.703224644637942</v>
      </c>
      <c r="M27" s="4538">
        <v>41.543210943839583</v>
      </c>
      <c r="N27" s="4538">
        <v>39.029207354418162</v>
      </c>
      <c r="O27" s="4538">
        <v>39.00176365509482</v>
      </c>
      <c r="P27" s="4538">
        <v>40.144686143569061</v>
      </c>
      <c r="Q27" s="4538">
        <v>42.405584759613625</v>
      </c>
      <c r="R27" s="4538">
        <v>41.875781452544615</v>
      </c>
      <c r="S27" s="4538">
        <v>42.7</v>
      </c>
      <c r="T27" s="4538">
        <v>41.5</v>
      </c>
      <c r="U27" s="4538">
        <v>42.6</v>
      </c>
    </row>
    <row r="28" spans="1:21" ht="13.5" customHeight="1" x14ac:dyDescent="0.2">
      <c r="D28" s="4564" t="s">
        <v>23</v>
      </c>
      <c r="E28" s="4563">
        <v>54.627211637990555</v>
      </c>
      <c r="F28" s="4563">
        <v>52.717945664570912</v>
      </c>
      <c r="G28" s="4563">
        <v>53.547606020872365</v>
      </c>
      <c r="H28" s="4563">
        <v>52.900933297850607</v>
      </c>
      <c r="I28" s="4563">
        <v>52.857809310955346</v>
      </c>
      <c r="J28" s="4563">
        <v>55.451761485237647</v>
      </c>
      <c r="K28" s="4563">
        <v>55.09392751546099</v>
      </c>
      <c r="L28" s="4563">
        <v>29.849987055280184</v>
      </c>
      <c r="M28" s="4563">
        <v>30.422230394348638</v>
      </c>
      <c r="N28" s="4563">
        <v>29.428922963203796</v>
      </c>
      <c r="O28" s="4563">
        <v>30.16726620524032</v>
      </c>
      <c r="P28" s="4563">
        <v>32.128848030470451</v>
      </c>
      <c r="Q28" s="4563">
        <v>32.760004435444145</v>
      </c>
      <c r="R28" s="4563">
        <v>34.17533411739273</v>
      </c>
      <c r="S28" s="4563">
        <v>36.200000000000003</v>
      </c>
      <c r="T28" s="4563">
        <v>37.5</v>
      </c>
      <c r="U28" s="4563">
        <v>38.1</v>
      </c>
    </row>
    <row r="29" spans="1:21" s="4559" customFormat="1" ht="13.5" customHeight="1" x14ac:dyDescent="0.2">
      <c r="A29" s="4476"/>
      <c r="B29" s="4562"/>
      <c r="C29" s="4562"/>
      <c r="D29" s="4561" t="s">
        <v>28</v>
      </c>
      <c r="E29" s="4560">
        <v>42.354965011895132</v>
      </c>
      <c r="F29" s="4560">
        <v>42.835676155122613</v>
      </c>
      <c r="G29" s="4560">
        <v>41.509571594326673</v>
      </c>
      <c r="H29" s="4560">
        <v>41.590244863339571</v>
      </c>
      <c r="I29" s="4560">
        <v>43.373047458502697</v>
      </c>
      <c r="J29" s="4560">
        <v>44.893965416879325</v>
      </c>
      <c r="K29" s="4560">
        <v>44.429330064917863</v>
      </c>
      <c r="L29" s="4560">
        <v>45.914560268885651</v>
      </c>
      <c r="M29" s="4560">
        <v>43.868181939782929</v>
      </c>
      <c r="N29" s="4560">
        <v>41.836006429942699</v>
      </c>
      <c r="O29" s="4560">
        <v>41.919411185819413</v>
      </c>
      <c r="P29" s="4560">
        <v>42.208199263417832</v>
      </c>
      <c r="Q29" s="4560">
        <v>42.727179824361301</v>
      </c>
      <c r="R29" s="4560">
        <v>42.773691749481927</v>
      </c>
      <c r="S29" s="4560">
        <v>43.7</v>
      </c>
      <c r="T29" s="4560">
        <v>43</v>
      </c>
      <c r="U29" s="4560">
        <v>43.4</v>
      </c>
    </row>
    <row r="30" spans="1:21" x14ac:dyDescent="0.2">
      <c r="N30" s="4477"/>
    </row>
    <row r="31" spans="1:21" x14ac:dyDescent="0.2">
      <c r="D31" s="4555"/>
      <c r="E31" s="4556"/>
      <c r="F31" s="4558"/>
      <c r="G31" s="4556"/>
      <c r="H31" s="4556"/>
      <c r="I31" s="4557"/>
      <c r="J31" s="4556"/>
      <c r="K31" s="4556"/>
    </row>
    <row r="32" spans="1:21" x14ac:dyDescent="0.2">
      <c r="A32" s="4476">
        <v>6</v>
      </c>
      <c r="B32" s="4476" t="s">
        <v>90</v>
      </c>
      <c r="D32" s="4555"/>
      <c r="E32" s="4556"/>
      <c r="F32" s="4558"/>
      <c r="G32" s="4556"/>
      <c r="H32" s="4556"/>
      <c r="I32" s="4557"/>
      <c r="J32" s="4556"/>
      <c r="K32" s="4556"/>
    </row>
    <row r="33" spans="4:11" x14ac:dyDescent="0.2">
      <c r="D33" s="4555"/>
      <c r="E33" s="4556"/>
      <c r="F33" s="4556"/>
      <c r="G33" s="4556"/>
      <c r="H33" s="4556"/>
      <c r="I33" s="4556"/>
      <c r="J33" s="4556"/>
      <c r="K33" s="4556"/>
    </row>
    <row r="34" spans="4:11" x14ac:dyDescent="0.2">
      <c r="D34" s="4555"/>
      <c r="E34" s="4556"/>
      <c r="F34" s="4556"/>
      <c r="G34" s="4556"/>
      <c r="H34" s="4556"/>
      <c r="I34" s="4556"/>
      <c r="J34" s="4556"/>
      <c r="K34" s="4556"/>
    </row>
    <row r="35" spans="4:11" x14ac:dyDescent="0.2">
      <c r="D35" s="4555"/>
      <c r="E35" s="4556"/>
      <c r="F35" s="4556"/>
      <c r="G35" s="4556"/>
      <c r="H35" s="4556"/>
      <c r="I35" s="4556"/>
      <c r="J35" s="4556"/>
      <c r="K35" s="4556"/>
    </row>
    <row r="36" spans="4:11" x14ac:dyDescent="0.2">
      <c r="D36" s="4555"/>
      <c r="E36" s="4556"/>
      <c r="F36" s="4556"/>
      <c r="G36" s="4556"/>
      <c r="H36" s="4556"/>
      <c r="I36" s="4556"/>
      <c r="J36" s="4556"/>
      <c r="K36" s="4556"/>
    </row>
    <row r="37" spans="4:11" x14ac:dyDescent="0.2">
      <c r="D37" s="4555"/>
      <c r="E37" s="4556"/>
      <c r="F37" s="4556"/>
      <c r="G37" s="4556"/>
      <c r="H37" s="4556"/>
      <c r="I37" s="4556"/>
      <c r="J37" s="4556"/>
      <c r="K37" s="4556"/>
    </row>
    <row r="38" spans="4:11" x14ac:dyDescent="0.2">
      <c r="D38" s="4555"/>
      <c r="E38" s="4556"/>
      <c r="F38" s="4556"/>
      <c r="G38" s="4556"/>
      <c r="H38" s="4556"/>
      <c r="I38" s="4556"/>
      <c r="J38" s="4556"/>
      <c r="K38" s="4556"/>
    </row>
    <row r="39" spans="4:11" x14ac:dyDescent="0.2">
      <c r="D39" s="4555"/>
      <c r="E39" s="4556"/>
      <c r="F39" s="4556"/>
      <c r="G39" s="4556"/>
      <c r="H39" s="4556"/>
      <c r="I39" s="4556"/>
      <c r="J39" s="4556"/>
      <c r="K39" s="4556"/>
    </row>
    <row r="40" spans="4:11" x14ac:dyDescent="0.2">
      <c r="D40" s="4555"/>
      <c r="E40" s="4556"/>
      <c r="F40" s="4556"/>
      <c r="G40" s="4556"/>
      <c r="H40" s="4556"/>
      <c r="I40" s="4556"/>
      <c r="J40" s="4556"/>
      <c r="K40" s="4556"/>
    </row>
    <row r="41" spans="4:11" x14ac:dyDescent="0.2">
      <c r="D41" s="4555"/>
      <c r="E41" s="4556"/>
      <c r="F41" s="4556"/>
      <c r="G41" s="4556"/>
      <c r="H41" s="4556"/>
      <c r="I41" s="4556"/>
      <c r="J41" s="4556"/>
      <c r="K41" s="4556"/>
    </row>
    <row r="42" spans="4:11" x14ac:dyDescent="0.2">
      <c r="D42" s="4555"/>
      <c r="E42" s="4556"/>
      <c r="F42" s="4556"/>
      <c r="G42" s="4556"/>
      <c r="H42" s="4556"/>
      <c r="I42" s="4556"/>
      <c r="J42" s="4556"/>
      <c r="K42" s="4556"/>
    </row>
    <row r="43" spans="4:11" x14ac:dyDescent="0.2">
      <c r="D43" s="4555"/>
      <c r="E43" s="4555"/>
      <c r="F43" s="4555"/>
      <c r="G43" s="4555"/>
      <c r="H43" s="4555"/>
      <c r="I43" s="4555"/>
      <c r="J43" s="4555"/>
      <c r="K43" s="4555"/>
    </row>
    <row r="44" spans="4:11" x14ac:dyDescent="0.2">
      <c r="D44" s="4555"/>
      <c r="E44" s="4555"/>
      <c r="F44" s="4555"/>
      <c r="G44" s="4555"/>
      <c r="H44" s="4555"/>
      <c r="I44" s="4555"/>
      <c r="J44" s="4555"/>
      <c r="K44" s="4555"/>
    </row>
    <row r="45" spans="4:11" x14ac:dyDescent="0.2">
      <c r="D45" s="4555"/>
      <c r="E45" s="4555"/>
      <c r="F45" s="4555"/>
      <c r="G45" s="4555"/>
      <c r="H45" s="4555"/>
      <c r="I45" s="4555"/>
      <c r="J45" s="4555"/>
      <c r="K45" s="4555"/>
    </row>
    <row r="46" spans="4:11" x14ac:dyDescent="0.2">
      <c r="D46" s="4555"/>
      <c r="E46" s="4555"/>
      <c r="F46" s="4555"/>
      <c r="G46" s="4555"/>
      <c r="H46" s="4555"/>
      <c r="I46" s="4555"/>
      <c r="J46" s="4555"/>
      <c r="K46" s="4555"/>
    </row>
    <row r="47" spans="4:11" x14ac:dyDescent="0.2">
      <c r="D47" s="4555"/>
      <c r="E47" s="4555"/>
      <c r="F47" s="4555"/>
      <c r="G47" s="4555"/>
      <c r="H47" s="4555"/>
      <c r="I47" s="4555"/>
      <c r="J47" s="4555"/>
      <c r="K47" s="4555"/>
    </row>
    <row r="48" spans="4:11" x14ac:dyDescent="0.2">
      <c r="D48" s="4555"/>
      <c r="E48" s="4555"/>
      <c r="F48" s="4555"/>
      <c r="G48" s="4555"/>
      <c r="H48" s="4555"/>
      <c r="I48" s="4555"/>
      <c r="J48" s="4555"/>
      <c r="K48" s="4555"/>
    </row>
    <row r="49" spans="1:21" x14ac:dyDescent="0.2">
      <c r="D49" s="4555"/>
      <c r="E49" s="4555"/>
      <c r="F49" s="4555"/>
      <c r="G49" s="4555"/>
      <c r="H49" s="4555"/>
      <c r="I49" s="4555"/>
      <c r="J49" s="4555"/>
      <c r="K49" s="4555"/>
    </row>
    <row r="50" spans="1:21" x14ac:dyDescent="0.2">
      <c r="D50" s="4555"/>
      <c r="E50" s="4555"/>
      <c r="F50" s="4555"/>
      <c r="G50" s="4555"/>
      <c r="H50" s="4555"/>
      <c r="I50" s="4555"/>
      <c r="J50" s="4555"/>
      <c r="K50" s="4555"/>
    </row>
    <row r="51" spans="1:21" x14ac:dyDescent="0.2">
      <c r="D51" s="4555"/>
      <c r="E51" s="4555"/>
      <c r="F51" s="4555"/>
      <c r="G51" s="4555"/>
      <c r="H51" s="4555"/>
      <c r="I51" s="4555"/>
      <c r="J51" s="4555"/>
      <c r="K51" s="4555"/>
    </row>
    <row r="52" spans="1:21" ht="15" customHeight="1" x14ac:dyDescent="0.2">
      <c r="A52" s="4476">
        <v>7</v>
      </c>
      <c r="B52" s="4476" t="s">
        <v>29</v>
      </c>
      <c r="C52" s="4476"/>
      <c r="D52" s="4550" t="s">
        <v>294</v>
      </c>
      <c r="E52" s="4549"/>
      <c r="F52" s="4549"/>
      <c r="G52" s="4549"/>
      <c r="H52" s="4549"/>
      <c r="I52" s="4549"/>
      <c r="J52" s="4549"/>
      <c r="K52" s="4549"/>
      <c r="L52" s="4549"/>
      <c r="M52" s="4549"/>
      <c r="N52" s="4549"/>
      <c r="O52" s="4549"/>
      <c r="P52" s="4549"/>
      <c r="Q52" s="4549"/>
      <c r="R52" s="4549"/>
      <c r="S52" s="4549"/>
      <c r="T52" s="4549"/>
      <c r="U52" s="4548"/>
    </row>
    <row r="53" spans="1:21" ht="45" customHeight="1" x14ac:dyDescent="0.2">
      <c r="A53" s="4554">
        <v>8</v>
      </c>
      <c r="B53" s="4554" t="s">
        <v>32</v>
      </c>
      <c r="C53" s="4554"/>
      <c r="D53" s="4550" t="s">
        <v>1811</v>
      </c>
      <c r="E53" s="4549"/>
      <c r="F53" s="4549"/>
      <c r="G53" s="4549"/>
      <c r="H53" s="4549"/>
      <c r="I53" s="4549"/>
      <c r="J53" s="4549"/>
      <c r="K53" s="4549"/>
      <c r="L53" s="4549"/>
      <c r="M53" s="4549"/>
      <c r="N53" s="4549"/>
      <c r="O53" s="4549"/>
      <c r="P53" s="4549"/>
      <c r="Q53" s="4549"/>
      <c r="R53" s="4549"/>
      <c r="S53" s="4549"/>
      <c r="T53" s="4549"/>
      <c r="U53" s="4548"/>
    </row>
    <row r="54" spans="1:21" ht="20.45" customHeight="1" x14ac:dyDescent="0.2">
      <c r="A54" s="4476">
        <v>9</v>
      </c>
      <c r="B54" s="4476" t="s">
        <v>31</v>
      </c>
      <c r="C54" s="4476"/>
      <c r="D54" s="4553" t="s">
        <v>1810</v>
      </c>
      <c r="E54" s="4552"/>
      <c r="F54" s="4552"/>
      <c r="G54" s="4552"/>
      <c r="H54" s="4552"/>
      <c r="I54" s="4552"/>
      <c r="J54" s="4552"/>
      <c r="K54" s="4552"/>
      <c r="L54" s="4552"/>
      <c r="M54" s="4552"/>
      <c r="N54" s="4552"/>
      <c r="O54" s="4552"/>
      <c r="P54" s="4552"/>
      <c r="Q54" s="4552"/>
      <c r="R54" s="4552"/>
      <c r="S54" s="4552"/>
      <c r="T54" s="4552"/>
      <c r="U54" s="4551"/>
    </row>
    <row r="55" spans="1:21" ht="30.75" customHeight="1" x14ac:dyDescent="0.2">
      <c r="A55" s="4476">
        <v>10</v>
      </c>
      <c r="B55" s="4476" t="s">
        <v>34</v>
      </c>
      <c r="C55" s="4476"/>
      <c r="D55" s="4550" t="s">
        <v>1809</v>
      </c>
      <c r="E55" s="4549"/>
      <c r="F55" s="4549"/>
      <c r="G55" s="4549"/>
      <c r="H55" s="4549"/>
      <c r="I55" s="4549"/>
      <c r="J55" s="4549"/>
      <c r="K55" s="4549"/>
      <c r="L55" s="4549"/>
      <c r="M55" s="4549"/>
      <c r="N55" s="4549"/>
      <c r="O55" s="4549"/>
      <c r="P55" s="4549"/>
      <c r="Q55" s="4549"/>
      <c r="R55" s="4549"/>
      <c r="S55" s="4549"/>
      <c r="T55" s="4549"/>
      <c r="U55" s="4548"/>
    </row>
    <row r="57" spans="1:21" s="1514" customFormat="1" hidden="1" x14ac:dyDescent="0.2">
      <c r="A57" s="4535"/>
      <c r="B57" s="4534"/>
      <c r="C57" s="4534"/>
      <c r="D57" s="4544" t="s">
        <v>6</v>
      </c>
      <c r="E57" s="4544" t="s">
        <v>1808</v>
      </c>
      <c r="F57" s="1896"/>
      <c r="G57" s="1896"/>
      <c r="H57" s="1896"/>
      <c r="I57" s="1896"/>
      <c r="J57" s="1896"/>
      <c r="K57" s="1896"/>
      <c r="L57" s="4543"/>
      <c r="M57" s="1896"/>
      <c r="O57" s="1551"/>
      <c r="Q57" s="1551"/>
    </row>
    <row r="58" spans="1:21" s="1514" customFormat="1" hidden="1" x14ac:dyDescent="0.2">
      <c r="A58" s="4535"/>
      <c r="B58" s="4534"/>
      <c r="C58" s="4534"/>
      <c r="D58" s="4542"/>
      <c r="E58" s="4541">
        <v>2001</v>
      </c>
      <c r="F58" s="4541">
        <v>2002</v>
      </c>
      <c r="G58" s="4541">
        <v>2003</v>
      </c>
      <c r="H58" s="4541">
        <v>2004</v>
      </c>
      <c r="I58" s="4541">
        <v>2005</v>
      </c>
      <c r="J58" s="4541">
        <v>2006</v>
      </c>
      <c r="K58" s="4541">
        <v>2007</v>
      </c>
      <c r="L58" s="4541">
        <v>2008</v>
      </c>
      <c r="M58" s="4541">
        <v>2009</v>
      </c>
      <c r="N58" s="4541">
        <v>2010</v>
      </c>
      <c r="O58" s="4541">
        <v>2011</v>
      </c>
      <c r="P58" s="4541">
        <v>2012</v>
      </c>
      <c r="Q58" s="4541">
        <v>2013</v>
      </c>
      <c r="R58" s="4541">
        <v>2014</v>
      </c>
      <c r="S58" s="4541">
        <v>2015</v>
      </c>
      <c r="T58" s="4541"/>
      <c r="U58" s="4541">
        <v>2015</v>
      </c>
    </row>
    <row r="59" spans="1:21" s="1514" customFormat="1" hidden="1" x14ac:dyDescent="0.2">
      <c r="A59" s="4535"/>
      <c r="B59" s="4534"/>
      <c r="C59" s="4534"/>
      <c r="D59" s="4540"/>
      <c r="E59" s="4539"/>
      <c r="F59" s="4539"/>
      <c r="G59" s="4539"/>
      <c r="H59" s="4539"/>
      <c r="I59" s="4539"/>
      <c r="J59" s="4539"/>
      <c r="K59" s="4539"/>
      <c r="L59" s="4539"/>
      <c r="M59" s="4539"/>
      <c r="N59" s="4539"/>
      <c r="O59" s="4539"/>
      <c r="P59" s="4539"/>
      <c r="Q59" s="4539"/>
      <c r="R59" s="4539"/>
      <c r="S59" s="4539"/>
      <c r="T59" s="4539"/>
      <c r="U59" s="4539"/>
    </row>
    <row r="60" spans="1:21" s="1514" customFormat="1" hidden="1" x14ac:dyDescent="0.2">
      <c r="A60" s="4535"/>
      <c r="B60" s="4534"/>
      <c r="C60" s="4534"/>
      <c r="D60" s="4537"/>
      <c r="E60" s="4547"/>
      <c r="F60" s="4547"/>
      <c r="G60" s="4547"/>
      <c r="H60" s="4547"/>
      <c r="I60" s="4547"/>
      <c r="J60" s="4547"/>
      <c r="K60" s="4547"/>
      <c r="L60" s="4547"/>
      <c r="M60" s="4547"/>
      <c r="N60" s="4547"/>
      <c r="O60" s="4547"/>
      <c r="P60" s="4547"/>
      <c r="Q60" s="4547"/>
      <c r="R60" s="4547"/>
      <c r="S60" s="4547"/>
      <c r="T60" s="4547"/>
      <c r="U60" s="4547"/>
    </row>
    <row r="61" spans="1:21" s="1514" customFormat="1" hidden="1" x14ac:dyDescent="0.2">
      <c r="A61" s="4535"/>
      <c r="B61" s="4534"/>
      <c r="C61" s="4534"/>
      <c r="D61" s="4537" t="s">
        <v>27</v>
      </c>
      <c r="E61" s="4538">
        <v>31.756281049710992</v>
      </c>
      <c r="F61" s="4538">
        <v>35.43249249356613</v>
      </c>
      <c r="G61" s="4538">
        <v>30.136307155246108</v>
      </c>
      <c r="H61" s="4538">
        <v>28.770622196134873</v>
      </c>
      <c r="I61" s="4538">
        <v>33.969438150414064</v>
      </c>
      <c r="J61" s="4538">
        <v>37.002732376839717</v>
      </c>
      <c r="K61" s="4538">
        <v>33.089802916964068</v>
      </c>
      <c r="L61" s="4538">
        <v>67.402334420097162</v>
      </c>
      <c r="M61" s="4538">
        <v>68.71309365932602</v>
      </c>
      <c r="N61" s="4538">
        <v>67.181331381611528</v>
      </c>
      <c r="O61" s="4538">
        <v>67.268438124564341</v>
      </c>
      <c r="P61" s="4538">
        <v>68.133064522252837</v>
      </c>
      <c r="Q61" s="4538">
        <v>67.5710171210428</v>
      </c>
      <c r="R61" s="4538">
        <v>67.849999999999994</v>
      </c>
      <c r="S61" s="4538">
        <v>67.849999999999994</v>
      </c>
      <c r="T61" s="4538"/>
      <c r="U61" s="4538">
        <v>67.849999999999994</v>
      </c>
    </row>
    <row r="62" spans="1:21" s="1514" customFormat="1" hidden="1" x14ac:dyDescent="0.2">
      <c r="A62" s="4535"/>
      <c r="B62" s="4534"/>
      <c r="C62" s="4534"/>
      <c r="D62" s="4537" t="s">
        <v>19</v>
      </c>
      <c r="E62" s="4538">
        <v>48.118986816943426</v>
      </c>
      <c r="F62" s="4538">
        <v>46.957257464035337</v>
      </c>
      <c r="G62" s="4538">
        <v>46.827743982924439</v>
      </c>
      <c r="H62" s="4538">
        <v>45.574803488252464</v>
      </c>
      <c r="I62" s="4538">
        <v>44.506987053543853</v>
      </c>
      <c r="J62" s="4538">
        <v>43.966376783882851</v>
      </c>
      <c r="K62" s="4538">
        <v>45.187549606072579</v>
      </c>
      <c r="L62" s="4538">
        <v>47.081367823634537</v>
      </c>
      <c r="M62" s="4538">
        <v>45.79748647809906</v>
      </c>
      <c r="N62" s="4538">
        <v>44.136744911398822</v>
      </c>
      <c r="O62" s="4538">
        <v>44.271779811641132</v>
      </c>
      <c r="P62" s="4538">
        <v>43.899267479668282</v>
      </c>
      <c r="Q62" s="4538">
        <v>45.459701462787912</v>
      </c>
      <c r="R62" s="4538">
        <v>47.024999999999999</v>
      </c>
      <c r="S62" s="4538">
        <v>47.075000000000003</v>
      </c>
      <c r="T62" s="4538"/>
      <c r="U62" s="4538">
        <v>47.075000000000003</v>
      </c>
    </row>
    <row r="63" spans="1:21" s="1514" customFormat="1" hidden="1" x14ac:dyDescent="0.2">
      <c r="A63" s="4535"/>
      <c r="B63" s="4534"/>
      <c r="C63" s="4534"/>
      <c r="D63" s="4537" t="s">
        <v>26</v>
      </c>
      <c r="E63" s="4538">
        <v>52.146434149121035</v>
      </c>
      <c r="F63" s="4538">
        <v>51.363396371286235</v>
      </c>
      <c r="G63" s="4538">
        <v>50.688894562453441</v>
      </c>
      <c r="H63" s="4538">
        <v>51.945681228477355</v>
      </c>
      <c r="I63" s="4538">
        <v>55.653331725658894</v>
      </c>
      <c r="J63" s="4538">
        <v>56.63234431213921</v>
      </c>
      <c r="K63" s="4538">
        <v>56.750446157612728</v>
      </c>
      <c r="L63" s="4538">
        <v>58.105532134282548</v>
      </c>
      <c r="M63" s="4538">
        <v>54.787157000735576</v>
      </c>
      <c r="N63" s="4538">
        <v>53.089707151141681</v>
      </c>
      <c r="O63" s="4538">
        <v>53.967248891981811</v>
      </c>
      <c r="P63" s="4538">
        <v>56.00434808136383</v>
      </c>
      <c r="Q63" s="4538">
        <v>57.564949089607296</v>
      </c>
      <c r="R63" s="4538">
        <v>57.85</v>
      </c>
      <c r="S63" s="4538">
        <v>58.349999999999994</v>
      </c>
      <c r="T63" s="4538"/>
      <c r="U63" s="4538">
        <v>58.349999999999994</v>
      </c>
    </row>
    <row r="64" spans="1:21" s="1514" customFormat="1" hidden="1" x14ac:dyDescent="0.2">
      <c r="A64" s="4535"/>
      <c r="B64" s="4534"/>
      <c r="C64" s="4534"/>
      <c r="D64" s="4537" t="s">
        <v>20</v>
      </c>
      <c r="E64" s="4538">
        <v>37.84026634307228</v>
      </c>
      <c r="F64" s="4538">
        <v>39.650391495348266</v>
      </c>
      <c r="G64" s="4538">
        <v>38.55608012857013</v>
      </c>
      <c r="H64" s="4538">
        <v>37.953896252788667</v>
      </c>
      <c r="I64" s="4538">
        <v>39.145001543319552</v>
      </c>
      <c r="J64" s="4538">
        <v>41.884000698801046</v>
      </c>
      <c r="K64" s="4538">
        <v>40.648125503875114</v>
      </c>
      <c r="L64" s="4538">
        <v>60.587454841631043</v>
      </c>
      <c r="M64" s="4538">
        <v>58.616953159557525</v>
      </c>
      <c r="N64" s="4538">
        <v>58.858286858247077</v>
      </c>
      <c r="O64" s="4538">
        <v>58.783585537164079</v>
      </c>
      <c r="P64" s="4538">
        <v>58.720660619177458</v>
      </c>
      <c r="Q64" s="4538">
        <v>60.276779482107699</v>
      </c>
      <c r="R64" s="4538">
        <v>61.199999999999996</v>
      </c>
      <c r="S64" s="4538">
        <v>62.2</v>
      </c>
      <c r="T64" s="4538"/>
      <c r="U64" s="4538">
        <v>62.2</v>
      </c>
    </row>
    <row r="65" spans="1:21" s="1514" customFormat="1" hidden="1" x14ac:dyDescent="0.2">
      <c r="A65" s="4535"/>
      <c r="B65" s="4534"/>
      <c r="C65" s="4534"/>
      <c r="D65" s="4537" t="s">
        <v>22</v>
      </c>
      <c r="E65" s="4538">
        <v>29.66547048021247</v>
      </c>
      <c r="F65" s="4538">
        <v>29.008284216250146</v>
      </c>
      <c r="G65" s="4538">
        <v>27.39046632847014</v>
      </c>
      <c r="H65" s="4538">
        <v>29.2355170313513</v>
      </c>
      <c r="I65" s="4538">
        <v>28.547980818177294</v>
      </c>
      <c r="J65" s="4538">
        <v>28.041642076381422</v>
      </c>
      <c r="K65" s="4538">
        <v>29.912676109281428</v>
      </c>
      <c r="L65" s="4538">
        <v>54.048818956118303</v>
      </c>
      <c r="M65" s="4538">
        <v>49.430295200031111</v>
      </c>
      <c r="N65" s="4538">
        <v>46.792543708363787</v>
      </c>
      <c r="O65" s="4538">
        <v>47.183343604032075</v>
      </c>
      <c r="P65" s="4538">
        <v>47.436524626204005</v>
      </c>
      <c r="Q65" s="4538">
        <v>48.25520582701089</v>
      </c>
      <c r="R65" s="4538">
        <v>48.45</v>
      </c>
      <c r="S65" s="4538">
        <v>48.325000000000003</v>
      </c>
      <c r="T65" s="4538"/>
      <c r="U65" s="4538">
        <v>48.325000000000003</v>
      </c>
    </row>
    <row r="66" spans="1:21" s="1514" customFormat="1" hidden="1" x14ac:dyDescent="0.2">
      <c r="A66" s="4535"/>
      <c r="B66" s="4534"/>
      <c r="C66" s="4534"/>
      <c r="D66" s="4537" t="s">
        <v>25</v>
      </c>
      <c r="E66" s="4538">
        <v>40.929994905922378</v>
      </c>
      <c r="F66" s="4538">
        <v>41.342464175175635</v>
      </c>
      <c r="G66" s="4538">
        <v>41.047497216286835</v>
      </c>
      <c r="H66" s="4538">
        <v>41.009779526760113</v>
      </c>
      <c r="I66" s="4538">
        <v>41.117690100945417</v>
      </c>
      <c r="J66" s="4538">
        <v>42.524456603313482</v>
      </c>
      <c r="K66" s="4538">
        <v>42.979141009662492</v>
      </c>
      <c r="L66" s="4538">
        <v>55.735171620413055</v>
      </c>
      <c r="M66" s="4538">
        <v>53.40959874334353</v>
      </c>
      <c r="N66" s="4538">
        <v>49.673576483168198</v>
      </c>
      <c r="O66" s="4538">
        <v>47.137520254371054</v>
      </c>
      <c r="P66" s="4538">
        <v>47.489980766126294</v>
      </c>
      <c r="Q66" s="4538">
        <v>49.435493960628463</v>
      </c>
      <c r="R66" s="4538">
        <v>51.55</v>
      </c>
      <c r="S66" s="4538">
        <v>51.9</v>
      </c>
      <c r="T66" s="4538"/>
      <c r="U66" s="4538">
        <v>51.9</v>
      </c>
    </row>
    <row r="67" spans="1:21" s="1514" customFormat="1" hidden="1" x14ac:dyDescent="0.2">
      <c r="A67" s="4535"/>
      <c r="B67" s="4534"/>
      <c r="C67" s="4534"/>
      <c r="D67" s="4537" t="s">
        <v>21</v>
      </c>
      <c r="E67" s="4538">
        <v>36.579526202896787</v>
      </c>
      <c r="F67" s="4538">
        <v>37.698776845275788</v>
      </c>
      <c r="G67" s="4538">
        <v>35.878175548593717</v>
      </c>
      <c r="H67" s="4538">
        <v>37.143136712459516</v>
      </c>
      <c r="I67" s="4538">
        <v>40.090768969994727</v>
      </c>
      <c r="J67" s="4538">
        <v>39.405559710359753</v>
      </c>
      <c r="K67" s="4538">
        <v>39.934393024234069</v>
      </c>
      <c r="L67" s="4538">
        <v>73.392508774971361</v>
      </c>
      <c r="M67" s="4538">
        <v>71.556116454128556</v>
      </c>
      <c r="N67" s="4538">
        <v>70.570018644927956</v>
      </c>
      <c r="O67" s="4538">
        <v>70.815583560683365</v>
      </c>
      <c r="P67" s="4538">
        <v>70.14305864277928</v>
      </c>
      <c r="Q67" s="4538">
        <v>69.8824688933435</v>
      </c>
      <c r="R67" s="4538">
        <v>68.850000000000009</v>
      </c>
      <c r="S67" s="4538">
        <v>72.474999999999994</v>
      </c>
      <c r="T67" s="4538"/>
      <c r="U67" s="4538">
        <v>72.474999999999994</v>
      </c>
    </row>
    <row r="68" spans="1:21" s="1514" customFormat="1" hidden="1" x14ac:dyDescent="0.2">
      <c r="A68" s="4535"/>
      <c r="B68" s="4534"/>
      <c r="C68" s="4534"/>
      <c r="D68" s="4537" t="s">
        <v>24</v>
      </c>
      <c r="E68" s="4538">
        <v>46.439078334423655</v>
      </c>
      <c r="F68" s="4538">
        <v>48.151308918118247</v>
      </c>
      <c r="G68" s="4538">
        <v>46.500448351222161</v>
      </c>
      <c r="H68" s="4538">
        <v>44.9244010462305</v>
      </c>
      <c r="I68" s="4538">
        <v>41.569521739447126</v>
      </c>
      <c r="J68" s="4538">
        <v>44.957282631949141</v>
      </c>
      <c r="K68" s="4538">
        <v>44.288761888488338</v>
      </c>
      <c r="L68" s="4538">
        <v>55.747256729499959</v>
      </c>
      <c r="M68" s="4538">
        <v>55.739634143491365</v>
      </c>
      <c r="N68" s="4538">
        <v>54.366991964327262</v>
      </c>
      <c r="O68" s="4538">
        <v>55.115238141098018</v>
      </c>
      <c r="P68" s="4538">
        <v>56.913954577713284</v>
      </c>
      <c r="Q68" s="4538">
        <v>58.865436022511339</v>
      </c>
      <c r="R68" s="4538">
        <v>58.975000000000001</v>
      </c>
      <c r="S68" s="4538">
        <v>58.45</v>
      </c>
      <c r="T68" s="4538"/>
      <c r="U68" s="4538">
        <v>58.45</v>
      </c>
    </row>
    <row r="69" spans="1:21" s="1514" customFormat="1" hidden="1" x14ac:dyDescent="0.2">
      <c r="A69" s="4535"/>
      <c r="B69" s="4534"/>
      <c r="C69" s="4534"/>
      <c r="D69" s="4537" t="s">
        <v>23</v>
      </c>
      <c r="E69" s="4538">
        <v>54.627211637990555</v>
      </c>
      <c r="F69" s="4538">
        <v>52.717945664570912</v>
      </c>
      <c r="G69" s="4538">
        <v>53.547606020872365</v>
      </c>
      <c r="H69" s="4538">
        <v>52.900933297850607</v>
      </c>
      <c r="I69" s="4538">
        <v>52.857809310955346</v>
      </c>
      <c r="J69" s="4538">
        <v>55.451761485237647</v>
      </c>
      <c r="K69" s="4538">
        <v>55.09392751546099</v>
      </c>
      <c r="L69" s="4538">
        <v>42.477564972253234</v>
      </c>
      <c r="M69" s="4538">
        <v>41.068008902965502</v>
      </c>
      <c r="N69" s="4538">
        <v>37.985657210378477</v>
      </c>
      <c r="O69" s="4538">
        <v>37.531726069560555</v>
      </c>
      <c r="P69" s="4538">
        <v>40.402616924759705</v>
      </c>
      <c r="Q69" s="4538">
        <v>39.945110444803397</v>
      </c>
      <c r="R69" s="4538">
        <v>40.924999999999997</v>
      </c>
      <c r="S69" s="4538">
        <v>44.924999999999997</v>
      </c>
      <c r="T69" s="4538"/>
      <c r="U69" s="4538">
        <v>44.924999999999997</v>
      </c>
    </row>
    <row r="70" spans="1:21" s="1514" customFormat="1" hidden="1" x14ac:dyDescent="0.2">
      <c r="A70" s="4535"/>
      <c r="B70" s="4534"/>
      <c r="C70" s="4534"/>
      <c r="D70" s="4533" t="s">
        <v>28</v>
      </c>
      <c r="E70" s="4546">
        <v>42.354965011895132</v>
      </c>
      <c r="F70" s="4546">
        <v>42.835676155122613</v>
      </c>
      <c r="G70" s="4546">
        <v>41.509571594326673</v>
      </c>
      <c r="H70" s="4546">
        <v>41.590244863339571</v>
      </c>
      <c r="I70" s="4546">
        <v>43.373047458502697</v>
      </c>
      <c r="J70" s="4546">
        <v>44.893965416879325</v>
      </c>
      <c r="K70" s="4546">
        <v>44.429330064917863</v>
      </c>
      <c r="L70" s="4546">
        <v>59.284120220350218</v>
      </c>
      <c r="M70" s="4546">
        <v>57.474348716026704</v>
      </c>
      <c r="N70" s="4546">
        <v>55.686260729101676</v>
      </c>
      <c r="O70" s="4546">
        <v>55.734168268463293</v>
      </c>
      <c r="P70" s="4546">
        <v>56.180874434130402</v>
      </c>
      <c r="Q70" s="4546">
        <v>56.772236332336774</v>
      </c>
      <c r="R70" s="4546">
        <v>57.1</v>
      </c>
      <c r="S70" s="4546">
        <v>58.5</v>
      </c>
      <c r="T70" s="4546"/>
      <c r="U70" s="4546">
        <v>58.5</v>
      </c>
    </row>
    <row r="71" spans="1:21" s="1514" customFormat="1" hidden="1" x14ac:dyDescent="0.2">
      <c r="A71" s="4535"/>
      <c r="B71" s="4534"/>
      <c r="C71" s="4534"/>
      <c r="L71" s="4545"/>
    </row>
    <row r="72" spans="1:21" s="1514" customFormat="1" hidden="1" x14ac:dyDescent="0.2">
      <c r="A72" s="4535"/>
      <c r="B72" s="4534"/>
      <c r="C72" s="4534"/>
      <c r="D72" s="4544" t="s">
        <v>6</v>
      </c>
      <c r="E72" s="4544" t="s">
        <v>1807</v>
      </c>
      <c r="F72" s="1896"/>
      <c r="G72" s="1896"/>
      <c r="H72" s="1896"/>
      <c r="I72" s="1896"/>
      <c r="J72" s="1896"/>
      <c r="K72" s="1896"/>
      <c r="L72" s="4543"/>
      <c r="M72" s="1896"/>
      <c r="O72" s="1551"/>
    </row>
    <row r="73" spans="1:21" s="1514" customFormat="1" hidden="1" x14ac:dyDescent="0.2">
      <c r="A73" s="4535"/>
      <c r="B73" s="4534"/>
      <c r="C73" s="4534"/>
      <c r="D73" s="4542"/>
      <c r="E73" s="4541">
        <v>2001</v>
      </c>
      <c r="F73" s="4541">
        <v>2002</v>
      </c>
      <c r="G73" s="4541">
        <v>2003</v>
      </c>
      <c r="H73" s="4541">
        <v>2004</v>
      </c>
      <c r="I73" s="4541">
        <v>2005</v>
      </c>
      <c r="J73" s="4541">
        <v>2006</v>
      </c>
      <c r="K73" s="4541">
        <v>2007</v>
      </c>
      <c r="L73" s="4541">
        <v>2008</v>
      </c>
      <c r="M73" s="4541">
        <v>2009</v>
      </c>
      <c r="N73" s="4541">
        <v>2010</v>
      </c>
      <c r="O73" s="4541">
        <v>2011</v>
      </c>
      <c r="P73" s="4541">
        <v>2012</v>
      </c>
      <c r="Q73" s="4541">
        <v>2013</v>
      </c>
      <c r="R73" s="4541">
        <v>2014</v>
      </c>
      <c r="S73" s="4541">
        <v>2015</v>
      </c>
      <c r="T73" s="4541"/>
      <c r="U73" s="4541">
        <v>2015</v>
      </c>
    </row>
    <row r="74" spans="1:21" s="1514" customFormat="1" hidden="1" x14ac:dyDescent="0.2">
      <c r="A74" s="4535"/>
      <c r="B74" s="4534"/>
      <c r="C74" s="4534"/>
      <c r="D74" s="4540"/>
      <c r="E74" s="4539"/>
      <c r="F74" s="4539"/>
      <c r="G74" s="4539"/>
      <c r="H74" s="4539"/>
      <c r="I74" s="4539"/>
      <c r="J74" s="4539"/>
      <c r="K74" s="4539"/>
      <c r="L74" s="4539"/>
      <c r="M74" s="4539"/>
      <c r="N74" s="4539"/>
      <c r="O74" s="4539"/>
      <c r="P74" s="4539"/>
      <c r="Q74" s="4539"/>
      <c r="R74" s="4539"/>
      <c r="S74" s="4539"/>
      <c r="T74" s="4539"/>
      <c r="U74" s="4539"/>
    </row>
    <row r="75" spans="1:21" s="1514" customFormat="1" hidden="1" x14ac:dyDescent="0.2">
      <c r="A75" s="4535"/>
      <c r="B75" s="4534"/>
      <c r="C75" s="4534"/>
      <c r="D75" s="4537"/>
      <c r="E75" s="4538"/>
      <c r="F75" s="4538"/>
      <c r="G75" s="4538"/>
      <c r="H75" s="4538"/>
      <c r="I75" s="4538"/>
      <c r="J75" s="4538"/>
      <c r="K75" s="4538"/>
      <c r="L75" s="4538"/>
      <c r="M75" s="4538"/>
      <c r="N75" s="4538"/>
      <c r="O75" s="4538"/>
      <c r="P75" s="4538"/>
      <c r="Q75" s="4538"/>
      <c r="R75" s="4538"/>
      <c r="S75" s="4538"/>
      <c r="T75" s="4538"/>
      <c r="U75" s="4538"/>
    </row>
    <row r="76" spans="1:21" s="1514" customFormat="1" hidden="1" x14ac:dyDescent="0.2">
      <c r="A76" s="4535"/>
      <c r="B76" s="4534"/>
      <c r="C76" s="4534"/>
      <c r="D76" s="4537" t="s">
        <v>467</v>
      </c>
      <c r="E76" s="4538">
        <v>64.634882591007894</v>
      </c>
      <c r="F76" s="4538">
        <v>65.881555094493478</v>
      </c>
      <c r="G76" s="4538">
        <v>64.222196856013809</v>
      </c>
      <c r="H76" s="4538">
        <v>62.90828400072138</v>
      </c>
      <c r="I76" s="4538">
        <v>64.269517733194078</v>
      </c>
      <c r="J76" s="4538">
        <v>64.819535832597623</v>
      </c>
      <c r="K76" s="4538">
        <v>64.289810349309136</v>
      </c>
      <c r="L76" s="4538">
        <v>67.139957670086019</v>
      </c>
      <c r="M76" s="4538">
        <v>65.1807105856943</v>
      </c>
      <c r="N76" s="4538">
        <v>63.29066644762019</v>
      </c>
      <c r="O76" s="4538">
        <v>62.751425987964531</v>
      </c>
      <c r="P76" s="4538">
        <v>63.264202089679777</v>
      </c>
      <c r="Q76" s="4538">
        <v>63.4</v>
      </c>
      <c r="R76" s="4538">
        <v>63.7</v>
      </c>
      <c r="S76" s="4538">
        <v>65.099999999999994</v>
      </c>
      <c r="T76" s="4538"/>
      <c r="U76" s="4538">
        <v>65.099999999999994</v>
      </c>
    </row>
    <row r="77" spans="1:21" s="1514" customFormat="1" hidden="1" x14ac:dyDescent="0.2">
      <c r="A77" s="4535"/>
      <c r="B77" s="4534"/>
      <c r="C77" s="4534"/>
      <c r="D77" s="4537" t="s">
        <v>468</v>
      </c>
      <c r="E77" s="4536">
        <v>50.863602910453288</v>
      </c>
      <c r="F77" s="4536">
        <v>52.522343788908231</v>
      </c>
      <c r="G77" s="4536">
        <v>50.456671538930962</v>
      </c>
      <c r="H77" s="4536">
        <v>48.313009661265255</v>
      </c>
      <c r="I77" s="4536">
        <v>50.362207992727534</v>
      </c>
      <c r="J77" s="4536">
        <v>51.872240541787932</v>
      </c>
      <c r="K77" s="4536">
        <v>50.783509209581993</v>
      </c>
      <c r="L77" s="4536">
        <v>51.861720551692891</v>
      </c>
      <c r="M77" s="4536">
        <v>50.15960471751044</v>
      </c>
      <c r="N77" s="4536">
        <v>48.435273610623248</v>
      </c>
      <c r="O77" s="4536">
        <v>49.014293685902487</v>
      </c>
      <c r="P77" s="4536">
        <v>49.369475219699751</v>
      </c>
      <c r="Q77" s="4536">
        <v>50.4</v>
      </c>
      <c r="R77" s="4536">
        <v>50.7</v>
      </c>
      <c r="S77" s="4536">
        <v>52.1</v>
      </c>
      <c r="T77" s="4536"/>
      <c r="U77" s="4536">
        <v>52.1</v>
      </c>
    </row>
    <row r="78" spans="1:21" s="1514" customFormat="1" hidden="1" x14ac:dyDescent="0.2">
      <c r="A78" s="4535"/>
      <c r="B78" s="4534"/>
      <c r="C78" s="4534"/>
      <c r="D78" s="4533" t="s">
        <v>257</v>
      </c>
      <c r="E78" s="4532">
        <v>57.356284207845135</v>
      </c>
      <c r="F78" s="4532">
        <v>58.826644319925983</v>
      </c>
      <c r="G78" s="4532">
        <v>56.960750812611295</v>
      </c>
      <c r="H78" s="4532">
        <v>55.218047341957032</v>
      </c>
      <c r="I78" s="4532">
        <v>56.950978913340322</v>
      </c>
      <c r="J78" s="4532">
        <v>58.015775618251745</v>
      </c>
      <c r="K78" s="4532">
        <v>57.203361484734934</v>
      </c>
      <c r="L78" s="4532">
        <v>57.844721106008087</v>
      </c>
      <c r="M78" s="4532">
        <v>55.851479746204291</v>
      </c>
      <c r="N78" s="4532">
        <v>54.274999999999999</v>
      </c>
      <c r="O78" s="4532">
        <v>54.375</v>
      </c>
      <c r="P78" s="4532">
        <v>54.824999999999996</v>
      </c>
      <c r="Q78" s="4532">
        <v>56.8</v>
      </c>
      <c r="R78" s="4532">
        <v>57.1</v>
      </c>
      <c r="S78" s="4532">
        <v>58.5</v>
      </c>
      <c r="T78" s="4532"/>
      <c r="U78" s="4532">
        <v>58.5</v>
      </c>
    </row>
    <row r="79" spans="1:21" s="1514" customFormat="1" hidden="1" x14ac:dyDescent="0.2">
      <c r="A79" s="4535"/>
      <c r="B79" s="4534"/>
      <c r="C79" s="4534"/>
      <c r="L79" s="4545"/>
      <c r="N79" s="1551"/>
    </row>
    <row r="80" spans="1:21" s="1514" customFormat="1" hidden="1" x14ac:dyDescent="0.2">
      <c r="A80" s="4535"/>
      <c r="B80" s="4534"/>
      <c r="C80" s="4534"/>
      <c r="D80" s="4544" t="s">
        <v>6</v>
      </c>
      <c r="E80" s="4544" t="s">
        <v>1806</v>
      </c>
      <c r="F80" s="1896"/>
      <c r="G80" s="1896"/>
      <c r="H80" s="1896"/>
      <c r="I80" s="1896"/>
      <c r="J80" s="1896"/>
      <c r="K80" s="1896"/>
      <c r="L80" s="4543"/>
      <c r="M80" s="1896"/>
      <c r="O80" s="1551"/>
    </row>
    <row r="81" spans="1:21" s="1514" customFormat="1" hidden="1" x14ac:dyDescent="0.2">
      <c r="A81" s="4535"/>
      <c r="B81" s="4534"/>
      <c r="C81" s="4534"/>
      <c r="D81" s="4542"/>
      <c r="E81" s="4541">
        <v>2001</v>
      </c>
      <c r="F81" s="4541">
        <v>2002</v>
      </c>
      <c r="G81" s="4541">
        <v>2003</v>
      </c>
      <c r="H81" s="4541">
        <v>2004</v>
      </c>
      <c r="I81" s="4541">
        <v>2005</v>
      </c>
      <c r="J81" s="4541">
        <v>2006</v>
      </c>
      <c r="K81" s="4541">
        <v>2007</v>
      </c>
      <c r="L81" s="4541">
        <v>2008</v>
      </c>
      <c r="M81" s="4541">
        <v>2009</v>
      </c>
      <c r="N81" s="4541">
        <v>2010</v>
      </c>
      <c r="O81" s="4541">
        <v>2011</v>
      </c>
      <c r="P81" s="4541">
        <v>2012</v>
      </c>
      <c r="Q81" s="4541">
        <v>2013</v>
      </c>
      <c r="R81" s="4541">
        <v>2014</v>
      </c>
      <c r="S81" s="4541">
        <v>2015</v>
      </c>
      <c r="T81" s="4541"/>
      <c r="U81" s="4541">
        <v>2015</v>
      </c>
    </row>
    <row r="82" spans="1:21" s="1514" customFormat="1" hidden="1" x14ac:dyDescent="0.2">
      <c r="A82" s="4535"/>
      <c r="B82" s="4534"/>
      <c r="C82" s="4534"/>
      <c r="D82" s="4540"/>
      <c r="E82" s="4539"/>
      <c r="F82" s="4539"/>
      <c r="G82" s="4539"/>
      <c r="H82" s="4539"/>
      <c r="I82" s="4539"/>
      <c r="J82" s="4539"/>
      <c r="K82" s="4539"/>
      <c r="L82" s="4539"/>
      <c r="M82" s="4539"/>
      <c r="N82" s="4539"/>
      <c r="O82" s="4539"/>
      <c r="P82" s="4539"/>
      <c r="Q82" s="4539"/>
      <c r="R82" s="4539"/>
      <c r="S82" s="4539"/>
      <c r="T82" s="4539"/>
      <c r="U82" s="4539"/>
    </row>
    <row r="83" spans="1:21" s="1514" customFormat="1" hidden="1" x14ac:dyDescent="0.2">
      <c r="A83" s="4535"/>
      <c r="B83" s="4534"/>
      <c r="C83" s="4534"/>
      <c r="D83" s="4537"/>
      <c r="E83" s="4538"/>
      <c r="F83" s="4538"/>
      <c r="G83" s="4538"/>
      <c r="H83" s="4538"/>
      <c r="I83" s="4538"/>
      <c r="J83" s="4538"/>
      <c r="K83" s="4538"/>
      <c r="L83" s="4538"/>
      <c r="M83" s="4538"/>
      <c r="N83" s="4538"/>
      <c r="O83" s="4538"/>
      <c r="P83" s="4538"/>
      <c r="Q83" s="4538"/>
      <c r="R83" s="4538"/>
      <c r="S83" s="4538"/>
      <c r="T83" s="4538"/>
      <c r="U83" s="4538"/>
    </row>
    <row r="84" spans="1:21" s="1514" customFormat="1" hidden="1" x14ac:dyDescent="0.2">
      <c r="A84" s="4535"/>
      <c r="B84" s="4534"/>
      <c r="C84" s="4534"/>
      <c r="D84" s="4537" t="s">
        <v>467</v>
      </c>
      <c r="E84" s="4538">
        <v>49.606207108573123</v>
      </c>
      <c r="F84" s="4538">
        <v>50.401527470003458</v>
      </c>
      <c r="G84" s="4538">
        <v>49.027663411262964</v>
      </c>
      <c r="H84" s="4538">
        <v>49.545315257937595</v>
      </c>
      <c r="I84" s="4538">
        <v>51.38563234543367</v>
      </c>
      <c r="J84" s="4538">
        <v>52.759333827456722</v>
      </c>
      <c r="K84" s="4538">
        <v>52.215789906638648</v>
      </c>
      <c r="L84" s="4538">
        <v>53.833932272650983</v>
      </c>
      <c r="M84" s="4538">
        <v>50.814126444390496</v>
      </c>
      <c r="N84" s="4538">
        <v>48.723896886955586</v>
      </c>
      <c r="O84" s="4538">
        <v>48.508201688170104</v>
      </c>
      <c r="P84" s="4538">
        <v>48.711927975809793</v>
      </c>
      <c r="Q84" s="4538">
        <v>48.7</v>
      </c>
      <c r="R84" s="4538">
        <v>48.9</v>
      </c>
      <c r="S84" s="4538">
        <v>49.9</v>
      </c>
      <c r="T84" s="4538"/>
      <c r="U84" s="4538">
        <v>49.9</v>
      </c>
    </row>
    <row r="85" spans="1:21" s="1514" customFormat="1" hidden="1" x14ac:dyDescent="0.2">
      <c r="A85" s="4535"/>
      <c r="B85" s="4534"/>
      <c r="C85" s="4534"/>
      <c r="D85" s="4537" t="s">
        <v>468</v>
      </c>
      <c r="E85" s="4536">
        <v>35.886686166771682</v>
      </c>
      <c r="F85" s="4536">
        <v>36.074717402600719</v>
      </c>
      <c r="G85" s="4536">
        <v>34.775731393866749</v>
      </c>
      <c r="H85" s="4536">
        <v>34.447517775213868</v>
      </c>
      <c r="I85" s="4536">
        <v>36.159352757809472</v>
      </c>
      <c r="J85" s="4536">
        <v>37.791675161772957</v>
      </c>
      <c r="K85" s="4536">
        <v>37.375718793690574</v>
      </c>
      <c r="L85" s="4536">
        <v>38.43212045613128</v>
      </c>
      <c r="M85" s="4536">
        <v>37.275527749134227</v>
      </c>
      <c r="N85" s="4536">
        <v>35.268155185829563</v>
      </c>
      <c r="O85" s="4536">
        <v>35.609978504611377</v>
      </c>
      <c r="P85" s="4536">
        <v>35.954082398788827</v>
      </c>
      <c r="Q85" s="4536">
        <v>37</v>
      </c>
      <c r="R85" s="4536">
        <v>36.9</v>
      </c>
      <c r="S85" s="4536">
        <v>37.700000000000003</v>
      </c>
      <c r="T85" s="4536"/>
      <c r="U85" s="4536">
        <v>37.700000000000003</v>
      </c>
    </row>
    <row r="86" spans="1:21" s="1514" customFormat="1" hidden="1" x14ac:dyDescent="0.2">
      <c r="A86" s="4535"/>
      <c r="B86" s="4534"/>
      <c r="C86" s="4534"/>
      <c r="D86" s="4533" t="s">
        <v>257</v>
      </c>
      <c r="E86" s="4532">
        <v>42.354965011895125</v>
      </c>
      <c r="F86" s="4532">
        <v>42.835676155122592</v>
      </c>
      <c r="G86" s="4532">
        <v>41.509571594326594</v>
      </c>
      <c r="H86" s="4532">
        <v>41.590244863339606</v>
      </c>
      <c r="I86" s="4532">
        <v>43.373047458502704</v>
      </c>
      <c r="J86" s="4532">
        <v>44.893965416879368</v>
      </c>
      <c r="K86" s="4532">
        <v>44.42933006491787</v>
      </c>
      <c r="L86" s="4532">
        <v>44.591633791139799</v>
      </c>
      <c r="M86" s="4532">
        <v>42.464870064073523</v>
      </c>
      <c r="N86" s="4532">
        <v>40.75</v>
      </c>
      <c r="O86" s="4532">
        <v>40.825000000000003</v>
      </c>
      <c r="P86" s="4532">
        <v>41.024999999999999</v>
      </c>
      <c r="Q86" s="4532">
        <v>42.7</v>
      </c>
      <c r="R86" s="4532">
        <v>42.8</v>
      </c>
      <c r="S86" s="4532">
        <v>43.7</v>
      </c>
      <c r="T86" s="4532"/>
      <c r="U86" s="4532">
        <v>43.7</v>
      </c>
    </row>
    <row r="87" spans="1:21" hidden="1" x14ac:dyDescent="0.2">
      <c r="D87" s="4531" t="s">
        <v>6</v>
      </c>
      <c r="E87" s="4531" t="s">
        <v>1806</v>
      </c>
      <c r="F87" s="4530"/>
      <c r="G87" s="4530"/>
      <c r="H87" s="4530"/>
      <c r="I87" s="4530"/>
      <c r="J87" s="4530"/>
      <c r="K87" s="4530"/>
      <c r="L87" s="4530"/>
      <c r="M87" s="4530"/>
      <c r="O87" s="4477"/>
    </row>
    <row r="88" spans="1:21" ht="12.75" hidden="1" customHeight="1" x14ac:dyDescent="0.2">
      <c r="D88" s="4529"/>
      <c r="E88" s="4528">
        <v>2001</v>
      </c>
      <c r="F88" s="4527"/>
      <c r="G88" s="4527"/>
      <c r="H88" s="4527"/>
      <c r="I88" s="4527"/>
      <c r="J88" s="4527"/>
      <c r="K88" s="4526"/>
      <c r="L88" s="4525"/>
      <c r="M88" s="4524"/>
      <c r="N88" s="4523"/>
      <c r="O88" s="4522"/>
    </row>
    <row r="89" spans="1:21" hidden="1" x14ac:dyDescent="0.2">
      <c r="D89" s="4516"/>
      <c r="E89" s="4521" t="s">
        <v>992</v>
      </c>
      <c r="F89" s="4520"/>
      <c r="G89" s="4520"/>
      <c r="H89" s="4520"/>
      <c r="I89" s="4520"/>
      <c r="J89" s="4520"/>
      <c r="K89" s="4520"/>
      <c r="L89" s="4519"/>
      <c r="M89" s="4518"/>
      <c r="N89" s="4517"/>
      <c r="O89" s="4516"/>
    </row>
    <row r="90" spans="1:21" hidden="1" x14ac:dyDescent="0.2">
      <c r="D90" s="4515"/>
      <c r="E90" s="4514"/>
      <c r="F90" s="4513"/>
      <c r="G90" s="4513"/>
      <c r="H90" s="4513"/>
      <c r="I90" s="4513"/>
      <c r="J90" s="4513"/>
      <c r="K90" s="4513"/>
      <c r="L90" s="4512"/>
      <c r="M90" s="4511"/>
      <c r="N90" s="4510"/>
      <c r="O90" s="4477"/>
    </row>
    <row r="91" spans="1:21" hidden="1" x14ac:dyDescent="0.2">
      <c r="D91" s="4515" t="s">
        <v>467</v>
      </c>
      <c r="E91" s="4514">
        <v>49.606207108573123</v>
      </c>
      <c r="F91" s="4513"/>
      <c r="G91" s="4513"/>
      <c r="H91" s="4513"/>
      <c r="I91" s="4513"/>
      <c r="J91" s="4513"/>
      <c r="K91" s="4513"/>
      <c r="L91" s="4512"/>
      <c r="M91" s="4511"/>
      <c r="N91" s="4510"/>
      <c r="O91" s="4509"/>
    </row>
    <row r="92" spans="1:21" hidden="1" x14ac:dyDescent="0.2">
      <c r="D92" s="4515" t="s">
        <v>468</v>
      </c>
      <c r="E92" s="4514">
        <v>35.886686166771682</v>
      </c>
      <c r="F92" s="4513"/>
      <c r="G92" s="4513"/>
      <c r="H92" s="4513"/>
      <c r="I92" s="4513"/>
      <c r="J92" s="4513"/>
      <c r="K92" s="4513"/>
      <c r="L92" s="4512"/>
      <c r="M92" s="4511"/>
      <c r="N92" s="4510"/>
      <c r="O92" s="4509"/>
    </row>
    <row r="93" spans="1:21" hidden="1" x14ac:dyDescent="0.2">
      <c r="D93" s="4508" t="s">
        <v>257</v>
      </c>
      <c r="E93" s="4507">
        <v>42.354965011895125</v>
      </c>
      <c r="F93" s="4506"/>
      <c r="G93" s="4506"/>
      <c r="H93" s="4506"/>
      <c r="I93" s="4506"/>
      <c r="J93" s="4506"/>
      <c r="K93" s="4506"/>
      <c r="L93" s="4505"/>
      <c r="M93" s="4504"/>
      <c r="N93" s="4503"/>
      <c r="O93" s="4502"/>
    </row>
    <row r="94" spans="1:21" hidden="1" x14ac:dyDescent="0.2"/>
    <row r="95" spans="1:21" hidden="1" x14ac:dyDescent="0.2"/>
    <row r="96" spans="1:21" hidden="1" x14ac:dyDescent="0.2"/>
    <row r="97" spans="1:21" hidden="1" x14ac:dyDescent="0.2"/>
    <row r="98" spans="1:21" hidden="1" x14ac:dyDescent="0.2"/>
    <row r="99" spans="1:21" hidden="1" x14ac:dyDescent="0.2">
      <c r="E99" s="4501"/>
      <c r="F99" s="4501"/>
      <c r="G99" s="4501"/>
      <c r="H99" s="4501"/>
      <c r="I99" s="4501"/>
      <c r="J99" s="4501"/>
      <c r="K99" s="4501"/>
      <c r="L99" s="4501"/>
      <c r="M99" s="4501"/>
      <c r="N99" s="4501"/>
      <c r="O99" s="4501"/>
      <c r="P99" s="4501"/>
      <c r="Q99" s="4501"/>
    </row>
    <row r="100" spans="1:21" s="4498" customFormat="1" hidden="1" x14ac:dyDescent="0.2">
      <c r="A100" s="4500"/>
      <c r="B100" s="4499"/>
      <c r="C100" s="4499"/>
    </row>
    <row r="101" spans="1:21" s="4484" customFormat="1" ht="13.5" hidden="1" customHeight="1" x14ac:dyDescent="0.2">
      <c r="A101" s="4488"/>
      <c r="B101" s="4487"/>
      <c r="C101" s="4487"/>
      <c r="D101" s="4497"/>
      <c r="E101" s="4496">
        <v>2001</v>
      </c>
      <c r="F101" s="4495"/>
      <c r="G101" s="4495"/>
      <c r="H101" s="4495"/>
      <c r="I101" s="4495"/>
      <c r="J101" s="4495"/>
      <c r="K101" s="4492"/>
      <c r="L101" s="4494"/>
      <c r="M101" s="4493"/>
      <c r="N101" s="4492"/>
      <c r="O101" s="4492"/>
      <c r="P101" s="4492"/>
      <c r="Q101" s="4492"/>
      <c r="R101" s="4492"/>
      <c r="S101" s="4492"/>
      <c r="T101" s="4492"/>
      <c r="U101" s="4492"/>
    </row>
    <row r="102" spans="1:21" s="4484" customFormat="1" ht="13.5" hidden="1" customHeight="1" x14ac:dyDescent="0.2">
      <c r="A102" s="4488"/>
      <c r="B102" s="4487"/>
      <c r="C102" s="4487"/>
      <c r="D102" s="4491"/>
      <c r="E102" s="4490" t="s">
        <v>98</v>
      </c>
      <c r="F102" s="4490"/>
      <c r="G102" s="4490"/>
      <c r="H102" s="4490"/>
      <c r="I102" s="4490"/>
      <c r="J102" s="4490"/>
      <c r="K102" s="4490"/>
      <c r="L102" s="4489"/>
      <c r="M102" s="4489"/>
      <c r="N102" s="4489"/>
      <c r="O102" s="4489"/>
      <c r="P102" s="4489"/>
      <c r="Q102" s="4489"/>
      <c r="R102" s="4489"/>
      <c r="S102" s="4489"/>
      <c r="T102" s="4489"/>
      <c r="U102" s="4489"/>
    </row>
    <row r="103" spans="1:21" s="4484" customFormat="1" hidden="1" x14ac:dyDescent="0.2">
      <c r="A103" s="4488"/>
      <c r="B103" s="4487"/>
      <c r="C103" s="4487"/>
      <c r="M103" s="4486"/>
      <c r="N103" s="4485"/>
    </row>
    <row r="104" spans="1:21" s="4477" customFormat="1" hidden="1" x14ac:dyDescent="0.2">
      <c r="A104" s="4479"/>
      <c r="B104" s="4478"/>
      <c r="C104" s="4478"/>
      <c r="M104" s="4483"/>
      <c r="N104" s="4482"/>
    </row>
    <row r="105" spans="1:21" s="4477" customFormat="1" hidden="1" x14ac:dyDescent="0.2">
      <c r="A105" s="4479"/>
      <c r="B105" s="4478"/>
      <c r="C105" s="4478"/>
      <c r="M105" s="4481"/>
      <c r="N105" s="4480"/>
    </row>
    <row r="106" spans="1:21" s="4477" customFormat="1" hidden="1" x14ac:dyDescent="0.2">
      <c r="A106" s="4479"/>
      <c r="B106" s="4478"/>
      <c r="C106" s="4478"/>
    </row>
    <row r="107" spans="1:21" s="4477" customFormat="1" hidden="1" x14ac:dyDescent="0.2">
      <c r="A107" s="4479"/>
      <c r="B107" s="4478"/>
      <c r="C107" s="4478"/>
    </row>
    <row r="108" spans="1:21" hidden="1" x14ac:dyDescent="0.2"/>
    <row r="109" spans="1:21" hidden="1" x14ac:dyDescent="0.2"/>
    <row r="110" spans="1:21" hidden="1" x14ac:dyDescent="0.2"/>
    <row r="111" spans="1:21" hidden="1" x14ac:dyDescent="0.2"/>
    <row r="112" spans="1:21" hidden="1" x14ac:dyDescent="0.2"/>
    <row r="113" hidden="1" x14ac:dyDescent="0.2"/>
    <row r="114" hidden="1" x14ac:dyDescent="0.2"/>
    <row r="115" hidden="1" x14ac:dyDescent="0.2"/>
    <row r="116" hidden="1" x14ac:dyDescent="0.2"/>
  </sheetData>
  <sheetProtection selectLockedCells="1"/>
  <mergeCells count="7">
    <mergeCell ref="D53:U53"/>
    <mergeCell ref="D54:U54"/>
    <mergeCell ref="D55:U55"/>
    <mergeCell ref="D2:U2"/>
    <mergeCell ref="D3:U3"/>
    <mergeCell ref="D4:U4"/>
    <mergeCell ref="D52:U52"/>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87"/>
  <sheetViews>
    <sheetView showGridLines="0" view="pageBreakPreview" topLeftCell="C50" zoomScaleNormal="100" zoomScaleSheetLayoutView="100" workbookViewId="0">
      <selection activeCell="I125" sqref="I125"/>
    </sheetView>
  </sheetViews>
  <sheetFormatPr defaultColWidth="9.140625" defaultRowHeight="12.75" x14ac:dyDescent="0.2"/>
  <cols>
    <col min="1" max="1" width="3.7109375" style="4476" customWidth="1"/>
    <col min="2" max="2" width="14.42578125" style="4475" customWidth="1"/>
    <col min="3" max="3" width="3.7109375" style="4475" customWidth="1"/>
    <col min="4" max="4" width="25.28515625" style="4555" customWidth="1"/>
    <col min="5" max="21" width="9.140625" style="4555" customWidth="1"/>
    <col min="22" max="16384" width="9.140625" style="4555"/>
  </cols>
  <sheetData>
    <row r="1" spans="1:21" x14ac:dyDescent="0.2">
      <c r="D1" s="4694"/>
      <c r="E1" s="4694"/>
      <c r="F1" s="4694"/>
      <c r="G1" s="4694"/>
      <c r="H1" s="4694"/>
      <c r="I1" s="4694"/>
      <c r="J1" s="4694"/>
    </row>
    <row r="2" spans="1:21" ht="12.75" customHeight="1" x14ac:dyDescent="0.2">
      <c r="A2" s="4476">
        <v>1</v>
      </c>
      <c r="B2" s="4476" t="s">
        <v>0</v>
      </c>
      <c r="C2" s="4476">
        <v>18</v>
      </c>
      <c r="D2" s="4693" t="s">
        <v>1847</v>
      </c>
      <c r="E2" s="4692"/>
      <c r="F2" s="4692"/>
      <c r="G2" s="4692"/>
      <c r="H2" s="4692"/>
      <c r="I2" s="4692"/>
      <c r="J2" s="4692"/>
      <c r="K2" s="4692"/>
      <c r="L2" s="4692"/>
      <c r="M2" s="4692"/>
      <c r="N2" s="4692"/>
      <c r="O2" s="4692"/>
      <c r="P2" s="4692"/>
      <c r="Q2" s="4692"/>
      <c r="R2" s="4692"/>
      <c r="S2" s="4692"/>
      <c r="T2" s="4692"/>
      <c r="U2" s="4691"/>
    </row>
    <row r="3" spans="1:21" ht="15" customHeight="1" x14ac:dyDescent="0.2">
      <c r="A3" s="4476">
        <v>2</v>
      </c>
      <c r="B3" s="4476" t="s">
        <v>2</v>
      </c>
      <c r="C3" s="4476"/>
      <c r="D3" s="4550" t="s">
        <v>3</v>
      </c>
      <c r="E3" s="4549"/>
      <c r="F3" s="4549"/>
      <c r="G3" s="4549"/>
      <c r="H3" s="4549"/>
      <c r="I3" s="4549"/>
      <c r="J3" s="4549"/>
      <c r="K3" s="4549"/>
      <c r="L3" s="4549"/>
      <c r="M3" s="4549"/>
      <c r="N3" s="4549"/>
      <c r="O3" s="4549"/>
      <c r="P3" s="4549"/>
      <c r="Q3" s="4549"/>
      <c r="R3" s="4549"/>
      <c r="S3" s="4549"/>
      <c r="T3" s="4549"/>
      <c r="U3" s="4548"/>
    </row>
    <row r="4" spans="1:21" ht="12.75" customHeight="1" x14ac:dyDescent="0.2">
      <c r="A4" s="4476">
        <v>3</v>
      </c>
      <c r="B4" s="4476" t="s">
        <v>4</v>
      </c>
      <c r="C4" s="4476"/>
      <c r="D4" s="4550" t="s">
        <v>1848</v>
      </c>
      <c r="E4" s="4549"/>
      <c r="F4" s="4549"/>
      <c r="G4" s="4549"/>
      <c r="H4" s="4549"/>
      <c r="I4" s="4549"/>
      <c r="J4" s="4549"/>
      <c r="K4" s="4549"/>
      <c r="L4" s="4549"/>
      <c r="M4" s="4549"/>
      <c r="N4" s="4549"/>
      <c r="O4" s="4549"/>
      <c r="P4" s="4549"/>
      <c r="Q4" s="4549"/>
      <c r="R4" s="4549"/>
      <c r="S4" s="4549"/>
      <c r="T4" s="4549"/>
      <c r="U4" s="4548"/>
    </row>
    <row r="5" spans="1:21" ht="15" x14ac:dyDescent="0.25">
      <c r="A5" s="4476">
        <v>5</v>
      </c>
      <c r="B5" s="4476" t="s">
        <v>5</v>
      </c>
      <c r="C5" s="4476"/>
      <c r="L5" s="4620"/>
    </row>
    <row r="6" spans="1:21" ht="15" x14ac:dyDescent="0.25">
      <c r="D6" s="4690" t="s">
        <v>40</v>
      </c>
      <c r="E6" s="4690" t="s">
        <v>1847</v>
      </c>
      <c r="F6" s="4690"/>
      <c r="G6" s="4690"/>
      <c r="H6" s="4690"/>
      <c r="I6" s="4620"/>
      <c r="J6" s="4620"/>
      <c r="K6" s="4620"/>
      <c r="L6" s="4620"/>
      <c r="O6" s="4625"/>
    </row>
    <row r="7" spans="1:21" x14ac:dyDescent="0.2">
      <c r="D7" s="4686"/>
      <c r="E7" s="4684">
        <v>2001</v>
      </c>
      <c r="F7" s="4684">
        <v>2002</v>
      </c>
      <c r="G7" s="4684">
        <v>2003</v>
      </c>
      <c r="H7" s="4684">
        <v>2004</v>
      </c>
      <c r="I7" s="4684">
        <v>2005</v>
      </c>
      <c r="J7" s="4684">
        <v>2006</v>
      </c>
      <c r="K7" s="4685">
        <v>2007</v>
      </c>
      <c r="L7" s="4684">
        <v>2008</v>
      </c>
      <c r="M7" s="4684">
        <v>2009</v>
      </c>
      <c r="N7" s="4684">
        <v>2010</v>
      </c>
      <c r="O7" s="4684">
        <v>2011</v>
      </c>
      <c r="P7" s="4684">
        <v>2012</v>
      </c>
      <c r="Q7" s="4684">
        <v>2013</v>
      </c>
      <c r="R7" s="4684">
        <v>2014</v>
      </c>
      <c r="S7" s="4684">
        <v>2015</v>
      </c>
      <c r="T7" s="4684">
        <v>2016</v>
      </c>
      <c r="U7" s="4684">
        <v>2017</v>
      </c>
    </row>
    <row r="8" spans="1:21" x14ac:dyDescent="0.2">
      <c r="D8" s="4570" t="s">
        <v>1846</v>
      </c>
      <c r="E8" s="4679">
        <v>25.370740413489695</v>
      </c>
      <c r="F8" s="4679">
        <v>27.18050850150826</v>
      </c>
      <c r="G8" s="4679">
        <v>27.11576670202453</v>
      </c>
      <c r="H8" s="4679">
        <v>24.7</v>
      </c>
      <c r="I8" s="4679">
        <v>23.8</v>
      </c>
      <c r="J8" s="4679">
        <v>22.6</v>
      </c>
      <c r="K8" s="4679">
        <v>22.3</v>
      </c>
      <c r="L8" s="4679">
        <v>22.5</v>
      </c>
      <c r="M8" s="4679">
        <v>23.7</v>
      </c>
      <c r="N8" s="4679">
        <v>24.9</v>
      </c>
      <c r="O8" s="4679">
        <v>24.8</v>
      </c>
      <c r="P8" s="4679">
        <v>24.9</v>
      </c>
      <c r="Q8" s="4679">
        <v>24.7</v>
      </c>
      <c r="R8" s="4679">
        <v>25.1</v>
      </c>
      <c r="S8" s="4679">
        <v>25.3</v>
      </c>
      <c r="T8" s="4679">
        <v>26.7</v>
      </c>
      <c r="U8" s="4679">
        <v>27.5</v>
      </c>
    </row>
    <row r="9" spans="1:21" x14ac:dyDescent="0.2">
      <c r="D9" s="4689" t="s">
        <v>1845</v>
      </c>
      <c r="E9" s="4678">
        <v>36.109673419085098</v>
      </c>
      <c r="F9" s="4678">
        <v>38.371714052141307</v>
      </c>
      <c r="G9" s="4678">
        <v>39.851131873400583</v>
      </c>
      <c r="H9" s="4678">
        <v>39.037150298905452</v>
      </c>
      <c r="I9" s="4678">
        <v>36.915376875247134</v>
      </c>
      <c r="J9" s="4678">
        <v>35.025767928507051</v>
      </c>
      <c r="K9" s="4678">
        <v>35.29933054501911</v>
      </c>
      <c r="L9" s="4678">
        <v>29.660461123966297</v>
      </c>
      <c r="M9" s="4678">
        <v>32.4</v>
      </c>
      <c r="N9" s="4678">
        <v>35.4</v>
      </c>
      <c r="O9" s="4678">
        <v>35.6</v>
      </c>
      <c r="P9" s="4678">
        <v>35.6</v>
      </c>
      <c r="Q9" s="4678">
        <v>35.299999999999997</v>
      </c>
      <c r="R9" s="4678">
        <v>35.299999999999997</v>
      </c>
      <c r="S9" s="4678">
        <v>34.799999999999997</v>
      </c>
      <c r="T9" s="4678">
        <v>36.1</v>
      </c>
      <c r="U9" s="4678">
        <v>36.5</v>
      </c>
    </row>
    <row r="10" spans="1:21" x14ac:dyDescent="0.2">
      <c r="D10" s="4558"/>
      <c r="E10" s="4629"/>
      <c r="F10" s="4630"/>
      <c r="G10" s="4629"/>
      <c r="H10" s="4629"/>
      <c r="I10" s="4628"/>
      <c r="J10" s="4628"/>
      <c r="K10" s="4626"/>
      <c r="L10" s="4688"/>
      <c r="M10" s="4688"/>
      <c r="N10" s="4626"/>
    </row>
    <row r="11" spans="1:21" x14ac:dyDescent="0.2">
      <c r="B11" s="4476"/>
      <c r="C11" s="4476"/>
      <c r="D11" s="4596" t="s">
        <v>67</v>
      </c>
      <c r="E11" s="4569" t="s">
        <v>1844</v>
      </c>
      <c r="F11" s="4630"/>
      <c r="G11" s="4629"/>
      <c r="H11" s="4687"/>
      <c r="I11" s="4687"/>
      <c r="J11" s="4687"/>
      <c r="K11" s="4687"/>
      <c r="L11" s="4629"/>
      <c r="M11" s="4619"/>
      <c r="N11" s="4619"/>
      <c r="O11" s="4625"/>
    </row>
    <row r="12" spans="1:21" x14ac:dyDescent="0.2">
      <c r="D12" s="4686"/>
      <c r="E12" s="4684">
        <v>2001</v>
      </c>
      <c r="F12" s="4684">
        <v>2002</v>
      </c>
      <c r="G12" s="4684">
        <v>2003</v>
      </c>
      <c r="H12" s="4684">
        <v>2004</v>
      </c>
      <c r="I12" s="4684">
        <v>2005</v>
      </c>
      <c r="J12" s="4684">
        <v>2006</v>
      </c>
      <c r="K12" s="4685">
        <v>2007</v>
      </c>
      <c r="L12" s="4684">
        <v>2008</v>
      </c>
      <c r="M12" s="4684">
        <v>2009</v>
      </c>
      <c r="N12" s="4684">
        <v>2010</v>
      </c>
      <c r="O12" s="4684">
        <v>2011</v>
      </c>
      <c r="P12" s="4684">
        <v>2012</v>
      </c>
      <c r="Q12" s="4684">
        <v>2013</v>
      </c>
      <c r="R12" s="4684">
        <v>2014</v>
      </c>
      <c r="S12" s="4684">
        <v>2015</v>
      </c>
      <c r="T12" s="4684">
        <v>2016</v>
      </c>
      <c r="U12" s="4684">
        <v>2017</v>
      </c>
    </row>
    <row r="13" spans="1:21" x14ac:dyDescent="0.2">
      <c r="D13" s="4569" t="s">
        <v>480</v>
      </c>
      <c r="E13" s="4682"/>
      <c r="F13" s="4683"/>
      <c r="G13" s="4682"/>
      <c r="H13" s="4682"/>
      <c r="I13" s="4680"/>
      <c r="J13" s="4680"/>
      <c r="K13" s="4681"/>
      <c r="L13" s="4680"/>
      <c r="M13" s="4680"/>
      <c r="N13" s="4680"/>
      <c r="O13" s="4680"/>
      <c r="P13" s="4680"/>
      <c r="Q13" s="4680"/>
      <c r="R13" s="4680"/>
      <c r="S13" s="4680"/>
      <c r="T13" s="4680"/>
      <c r="U13" s="4680"/>
    </row>
    <row r="14" spans="1:21" x14ac:dyDescent="0.2">
      <c r="D14" s="4558" t="s">
        <v>27</v>
      </c>
      <c r="E14" s="4679">
        <v>20.421721305015698</v>
      </c>
      <c r="F14" s="4679">
        <v>21.440093725358981</v>
      </c>
      <c r="G14" s="4679">
        <v>21.870334912843795</v>
      </c>
      <c r="H14" s="4679">
        <v>20.119035393924058</v>
      </c>
      <c r="I14" s="4679">
        <v>20.388248729984809</v>
      </c>
      <c r="J14" s="4679">
        <v>17.592022016917625</v>
      </c>
      <c r="K14" s="4679">
        <v>18.774264382034378</v>
      </c>
      <c r="L14" s="4679">
        <v>17.867740516716722</v>
      </c>
      <c r="M14" s="4679">
        <v>20.399999999999999</v>
      </c>
      <c r="N14" s="4679">
        <v>21.4</v>
      </c>
      <c r="O14" s="4679">
        <v>21.8</v>
      </c>
      <c r="P14" s="4679">
        <v>23.4</v>
      </c>
      <c r="Q14" s="4679">
        <v>22.7</v>
      </c>
      <c r="R14" s="4679">
        <v>22.7</v>
      </c>
      <c r="S14" s="4679">
        <v>20.7</v>
      </c>
      <c r="T14" s="4679">
        <v>21.3</v>
      </c>
      <c r="U14" s="4679">
        <v>20.9</v>
      </c>
    </row>
    <row r="15" spans="1:21" x14ac:dyDescent="0.2">
      <c r="D15" s="4558" t="s">
        <v>19</v>
      </c>
      <c r="E15" s="4679">
        <v>30.017800711599207</v>
      </c>
      <c r="F15" s="4679">
        <v>29.269471621251874</v>
      </c>
      <c r="G15" s="4679">
        <v>31.930099963409038</v>
      </c>
      <c r="H15" s="4679">
        <v>31.845863621412363</v>
      </c>
      <c r="I15" s="4679">
        <v>28.287244551431247</v>
      </c>
      <c r="J15" s="4679">
        <v>26.537371075316418</v>
      </c>
      <c r="K15" s="4679">
        <v>26.78131321465133</v>
      </c>
      <c r="L15" s="4679">
        <v>26.301489319020988</v>
      </c>
      <c r="M15" s="4679">
        <v>27.4</v>
      </c>
      <c r="N15" s="4679">
        <v>27</v>
      </c>
      <c r="O15" s="4679">
        <v>27.2</v>
      </c>
      <c r="P15" s="4679">
        <v>28.7</v>
      </c>
      <c r="Q15" s="4679">
        <v>29.6</v>
      </c>
      <c r="R15" s="4679">
        <v>29.6</v>
      </c>
      <c r="S15" s="4679">
        <v>28.8</v>
      </c>
      <c r="T15" s="4679">
        <v>28.4</v>
      </c>
      <c r="U15" s="4679">
        <v>34.299999999999997</v>
      </c>
    </row>
    <row r="16" spans="1:21" x14ac:dyDescent="0.2">
      <c r="D16" s="4570" t="s">
        <v>26</v>
      </c>
      <c r="E16" s="4679">
        <v>21.33447654957601</v>
      </c>
      <c r="F16" s="4679">
        <v>22.144211213283548</v>
      </c>
      <c r="G16" s="4679">
        <v>23.168922495717922</v>
      </c>
      <c r="H16" s="4679">
        <v>19.740232744233531</v>
      </c>
      <c r="I16" s="4679">
        <v>23.239900584024596</v>
      </c>
      <c r="J16" s="4679">
        <v>22.165417560034872</v>
      </c>
      <c r="K16" s="4679">
        <v>22.810249280613967</v>
      </c>
      <c r="L16" s="4679">
        <v>22.833632476514122</v>
      </c>
      <c r="M16" s="4679">
        <v>26.6</v>
      </c>
      <c r="N16" s="4679">
        <v>26.4</v>
      </c>
      <c r="O16" s="4679">
        <v>28.4</v>
      </c>
      <c r="P16" s="4679">
        <v>28.3</v>
      </c>
      <c r="Q16" s="4679">
        <v>27.9</v>
      </c>
      <c r="R16" s="4679">
        <v>29.9</v>
      </c>
      <c r="S16" s="4679">
        <v>32</v>
      </c>
      <c r="T16" s="4679">
        <v>29.2</v>
      </c>
      <c r="U16" s="4679">
        <v>29.5</v>
      </c>
    </row>
    <row r="17" spans="1:21" x14ac:dyDescent="0.2">
      <c r="D17" s="4570" t="s">
        <v>20</v>
      </c>
      <c r="E17" s="4679">
        <v>23.880766105909334</v>
      </c>
      <c r="F17" s="4679">
        <v>26.21938576147399</v>
      </c>
      <c r="G17" s="4679">
        <v>25.513622917857496</v>
      </c>
      <c r="H17" s="4679">
        <v>23.855804532201113</v>
      </c>
      <c r="I17" s="4679">
        <v>27.188403482298479</v>
      </c>
      <c r="J17" s="4679">
        <v>23.653566959737816</v>
      </c>
      <c r="K17" s="4679">
        <v>22.484505475660139</v>
      </c>
      <c r="L17" s="4679">
        <v>23.645774949514102</v>
      </c>
      <c r="M17" s="4679">
        <v>26</v>
      </c>
      <c r="N17" s="4679">
        <v>27.8</v>
      </c>
      <c r="O17" s="4679">
        <v>27.5</v>
      </c>
      <c r="P17" s="4679">
        <v>32.200000000000003</v>
      </c>
      <c r="Q17" s="4679">
        <v>32.700000000000003</v>
      </c>
      <c r="R17" s="4679">
        <v>34.1</v>
      </c>
      <c r="S17" s="4679">
        <v>30.8</v>
      </c>
      <c r="T17" s="4679">
        <v>33.700000000000003</v>
      </c>
      <c r="U17" s="4679">
        <v>33.6</v>
      </c>
    </row>
    <row r="18" spans="1:21" x14ac:dyDescent="0.2">
      <c r="D18" s="4570" t="s">
        <v>22</v>
      </c>
      <c r="E18" s="4679">
        <v>22.527274871789412</v>
      </c>
      <c r="F18" s="4679">
        <v>27.168131696003272</v>
      </c>
      <c r="G18" s="4679">
        <v>25.906291478652999</v>
      </c>
      <c r="H18" s="4679">
        <v>23.345840723796108</v>
      </c>
      <c r="I18" s="4679">
        <v>24.355061594576114</v>
      </c>
      <c r="J18" s="4679">
        <v>20.562587050497136</v>
      </c>
      <c r="K18" s="4679">
        <v>22.43773479970644</v>
      </c>
      <c r="L18" s="4679">
        <v>21.658956111840201</v>
      </c>
      <c r="M18" s="4679">
        <v>19.600000000000001</v>
      </c>
      <c r="N18" s="4679">
        <v>19.7</v>
      </c>
      <c r="O18" s="4679">
        <v>19.3</v>
      </c>
      <c r="P18" s="4679">
        <v>20.399999999999999</v>
      </c>
      <c r="Q18" s="4679">
        <v>20.8</v>
      </c>
      <c r="R18" s="4679">
        <v>22.3</v>
      </c>
      <c r="S18" s="4679">
        <v>21.3</v>
      </c>
      <c r="T18" s="4679">
        <v>23.3</v>
      </c>
      <c r="U18" s="4679">
        <v>24.6</v>
      </c>
    </row>
    <row r="19" spans="1:21" x14ac:dyDescent="0.2">
      <c r="D19" s="4558" t="s">
        <v>25</v>
      </c>
      <c r="E19" s="4679">
        <v>26.728532449998038</v>
      </c>
      <c r="F19" s="4679">
        <v>28.329689187703337</v>
      </c>
      <c r="G19" s="4679">
        <v>29.074987774980148</v>
      </c>
      <c r="H19" s="4679">
        <v>26.085838037708601</v>
      </c>
      <c r="I19" s="4679">
        <v>24.868350437718238</v>
      </c>
      <c r="J19" s="4679">
        <v>28.110135035906058</v>
      </c>
      <c r="K19" s="4679">
        <v>26.094088050294488</v>
      </c>
      <c r="L19" s="4679">
        <v>24.294980772399384</v>
      </c>
      <c r="M19" s="4679">
        <v>27.2</v>
      </c>
      <c r="N19" s="4679">
        <v>26.5</v>
      </c>
      <c r="O19" s="4679">
        <v>26.2</v>
      </c>
      <c r="P19" s="4679">
        <v>25.1</v>
      </c>
      <c r="Q19" s="4679">
        <v>26.7</v>
      </c>
      <c r="R19" s="4679">
        <v>26.4</v>
      </c>
      <c r="S19" s="4679">
        <v>25.7</v>
      </c>
      <c r="T19" s="4679">
        <v>28.1</v>
      </c>
      <c r="U19" s="4679">
        <v>26</v>
      </c>
    </row>
    <row r="20" spans="1:21" x14ac:dyDescent="0.2">
      <c r="D20" s="4558" t="s">
        <v>21</v>
      </c>
      <c r="E20" s="4679">
        <v>27.621300603565491</v>
      </c>
      <c r="F20" s="4679">
        <v>28.295779386048459</v>
      </c>
      <c r="G20" s="4679">
        <v>28.078724755625377</v>
      </c>
      <c r="H20" s="4679">
        <v>25.546043968628069</v>
      </c>
      <c r="I20" s="4679">
        <v>21.485874862568384</v>
      </c>
      <c r="J20" s="4679">
        <v>21.355758472246094</v>
      </c>
      <c r="K20" s="4679">
        <v>20.15830974298839</v>
      </c>
      <c r="L20" s="4679">
        <v>21.512580043616502</v>
      </c>
      <c r="M20" s="4679">
        <v>23.9</v>
      </c>
      <c r="N20" s="4679">
        <v>27.1</v>
      </c>
      <c r="O20" s="4679">
        <v>27.1</v>
      </c>
      <c r="P20" s="4679">
        <v>24.9</v>
      </c>
      <c r="Q20" s="4679">
        <v>24.9</v>
      </c>
      <c r="R20" s="4679">
        <v>24.9</v>
      </c>
      <c r="S20" s="4679">
        <v>27.8</v>
      </c>
      <c r="T20" s="4679">
        <v>29.3</v>
      </c>
      <c r="U20" s="4679">
        <v>29.6</v>
      </c>
    </row>
    <row r="21" spans="1:21" x14ac:dyDescent="0.2">
      <c r="D21" s="4570" t="s">
        <v>24</v>
      </c>
      <c r="E21" s="4679">
        <v>20.052437427817154</v>
      </c>
      <c r="F21" s="4679">
        <v>22.010400221283046</v>
      </c>
      <c r="G21" s="4679">
        <v>20.642756006316414</v>
      </c>
      <c r="H21" s="4679">
        <v>19.269546843422695</v>
      </c>
      <c r="I21" s="4679">
        <v>21.038404472868422</v>
      </c>
      <c r="J21" s="4679">
        <v>23.526339542152407</v>
      </c>
      <c r="K21" s="4679">
        <v>19.619436561664685</v>
      </c>
      <c r="L21" s="4679">
        <v>23.395494907430482</v>
      </c>
      <c r="M21" s="4679">
        <v>25.5</v>
      </c>
      <c r="N21" s="4679">
        <v>28.2</v>
      </c>
      <c r="O21" s="4679">
        <v>29.2</v>
      </c>
      <c r="P21" s="4679">
        <v>29.5</v>
      </c>
      <c r="Q21" s="4679">
        <v>28</v>
      </c>
      <c r="R21" s="4679">
        <v>29</v>
      </c>
      <c r="S21" s="4679">
        <v>26.9</v>
      </c>
      <c r="T21" s="4679">
        <v>30</v>
      </c>
      <c r="U21" s="4679">
        <v>30.9</v>
      </c>
    </row>
    <row r="22" spans="1:21" x14ac:dyDescent="0.2">
      <c r="D22" s="4573" t="s">
        <v>23</v>
      </c>
      <c r="E22" s="4678">
        <v>31.835921346879857</v>
      </c>
      <c r="F22" s="4678">
        <v>35.542727787459761</v>
      </c>
      <c r="G22" s="4678">
        <v>36.106334167147836</v>
      </c>
      <c r="H22" s="4678">
        <v>28.976578220133298</v>
      </c>
      <c r="I22" s="4678">
        <v>30.323285024804029</v>
      </c>
      <c r="J22" s="4678">
        <v>29.615023093936287</v>
      </c>
      <c r="K22" s="4678">
        <v>29.522431411776463</v>
      </c>
      <c r="L22" s="4678">
        <v>29.720413064372174</v>
      </c>
      <c r="M22" s="4678">
        <v>25.9</v>
      </c>
      <c r="N22" s="4678">
        <v>22.5</v>
      </c>
      <c r="O22" s="4678">
        <v>19.600000000000001</v>
      </c>
      <c r="P22" s="4678">
        <v>20.5</v>
      </c>
      <c r="Q22" s="4678">
        <v>18</v>
      </c>
      <c r="R22" s="4678">
        <v>16.5</v>
      </c>
      <c r="S22" s="4678">
        <v>19.399999999999999</v>
      </c>
      <c r="T22" s="4678">
        <v>20</v>
      </c>
      <c r="U22" s="4678">
        <v>20.3</v>
      </c>
    </row>
    <row r="23" spans="1:21" x14ac:dyDescent="0.2">
      <c r="D23" s="4677" t="s">
        <v>28</v>
      </c>
      <c r="E23" s="4676">
        <v>25.370740413489667</v>
      </c>
      <c r="F23" s="4676">
        <v>27.180508501508349</v>
      </c>
      <c r="G23" s="4676">
        <v>27.11576670202464</v>
      </c>
      <c r="H23" s="4676">
        <v>24.672790326915823</v>
      </c>
      <c r="I23" s="4676">
        <v>23.839990494289875</v>
      </c>
      <c r="J23" s="4676">
        <v>22.615760539777636</v>
      </c>
      <c r="K23" s="4676">
        <v>22.326519139844482</v>
      </c>
      <c r="L23" s="4676">
        <v>22.548772782676849</v>
      </c>
      <c r="M23" s="4676">
        <v>23.7</v>
      </c>
      <c r="N23" s="4676">
        <v>24.9</v>
      </c>
      <c r="O23" s="4676">
        <v>24.8</v>
      </c>
      <c r="P23" s="4676">
        <v>24.9</v>
      </c>
      <c r="Q23" s="4676">
        <v>24.7</v>
      </c>
      <c r="R23" s="4676">
        <v>25.1</v>
      </c>
      <c r="S23" s="4676">
        <v>25.3</v>
      </c>
      <c r="T23" s="4676">
        <v>26.7</v>
      </c>
      <c r="U23" s="4676">
        <v>27.5</v>
      </c>
    </row>
    <row r="24" spans="1:21" x14ac:dyDescent="0.2">
      <c r="D24" s="4675"/>
      <c r="E24" s="4674"/>
      <c r="F24" s="4674"/>
      <c r="G24" s="4674"/>
      <c r="H24" s="4674"/>
      <c r="I24" s="4674"/>
      <c r="J24" s="4674"/>
      <c r="K24" s="4674"/>
      <c r="L24" s="4673"/>
      <c r="M24" s="4673"/>
      <c r="N24" s="4673"/>
      <c r="O24" s="4673"/>
      <c r="P24" s="4672"/>
    </row>
    <row r="25" spans="1:21" s="4635" customFormat="1" x14ac:dyDescent="0.2">
      <c r="A25" s="4535"/>
      <c r="B25" s="4534"/>
      <c r="C25" s="4534"/>
      <c r="D25" s="4613" t="s">
        <v>258</v>
      </c>
      <c r="E25" s="4612" t="s">
        <v>1843</v>
      </c>
      <c r="F25" s="1520"/>
      <c r="G25" s="4616"/>
      <c r="H25" s="4616"/>
      <c r="I25" s="4615"/>
      <c r="J25" s="4614"/>
      <c r="K25" s="4614"/>
      <c r="L25" s="4614"/>
      <c r="M25" s="4614"/>
      <c r="N25" s="4614"/>
      <c r="O25" s="4671"/>
      <c r="P25" s="4614"/>
      <c r="Q25" s="4670"/>
      <c r="R25" s="4670"/>
      <c r="S25" s="4670"/>
      <c r="T25" s="4670"/>
      <c r="U25" s="4670"/>
    </row>
    <row r="26" spans="1:21" ht="12.75" customHeight="1" x14ac:dyDescent="0.2">
      <c r="D26" s="4651"/>
      <c r="E26" s="4669">
        <v>2001</v>
      </c>
      <c r="F26" s="4669">
        <v>2002</v>
      </c>
      <c r="G26" s="4669">
        <v>2003</v>
      </c>
      <c r="H26" s="4669">
        <v>2004</v>
      </c>
      <c r="I26" s="4669">
        <v>2005</v>
      </c>
      <c r="J26" s="4669">
        <v>2006</v>
      </c>
      <c r="K26" s="4669">
        <v>2007</v>
      </c>
      <c r="L26" s="4668">
        <v>2008</v>
      </c>
      <c r="M26" s="4668">
        <v>2009</v>
      </c>
      <c r="N26" s="4668">
        <v>2010</v>
      </c>
      <c r="O26" s="4668">
        <v>2011</v>
      </c>
      <c r="P26" s="4668">
        <v>2012</v>
      </c>
      <c r="Q26" s="4668">
        <v>2013</v>
      </c>
      <c r="R26" s="4668">
        <v>2014</v>
      </c>
      <c r="S26" s="4668">
        <v>2015</v>
      </c>
      <c r="T26" s="4668">
        <v>2016</v>
      </c>
      <c r="U26" s="4668">
        <v>2017</v>
      </c>
    </row>
    <row r="27" spans="1:21" s="4665" customFormat="1" x14ac:dyDescent="0.2">
      <c r="A27" s="4667"/>
      <c r="B27" s="4666"/>
      <c r="C27" s="4666"/>
      <c r="D27" s="4664" t="s">
        <v>1842</v>
      </c>
      <c r="E27" s="4662">
        <v>49.556608498903657</v>
      </c>
      <c r="F27" s="4662">
        <v>52.365488698625505</v>
      </c>
      <c r="G27" s="4662">
        <v>54.827733170732408</v>
      </c>
      <c r="H27" s="4662">
        <v>51.047144480847152</v>
      </c>
      <c r="I27" s="4662">
        <v>48.313051977952036</v>
      </c>
      <c r="J27" s="4662">
        <v>46.662747889266548</v>
      </c>
      <c r="K27" s="4662">
        <v>46.483378566700999</v>
      </c>
      <c r="L27" s="4662">
        <v>45.61432465079168</v>
      </c>
      <c r="M27" s="4662">
        <v>48.335652094750827</v>
      </c>
      <c r="N27" s="4662">
        <v>51.211586095188466</v>
      </c>
      <c r="O27" s="4662">
        <v>50.281651701226124</v>
      </c>
      <c r="P27" s="4662">
        <v>51.698207753618561</v>
      </c>
      <c r="Q27" s="4661">
        <v>51.425685294707677</v>
      </c>
      <c r="R27" s="4661">
        <v>51.290864961635428</v>
      </c>
      <c r="S27" s="4661">
        <v>50.130442400407723</v>
      </c>
      <c r="T27" s="4661">
        <v>53.348435626122793</v>
      </c>
      <c r="U27" s="4661">
        <v>53.393903405785714</v>
      </c>
    </row>
    <row r="28" spans="1:21" s="4665" customFormat="1" x14ac:dyDescent="0.2">
      <c r="A28" s="4667"/>
      <c r="B28" s="4666"/>
      <c r="C28" s="4666"/>
      <c r="D28" s="4663" t="s">
        <v>1841</v>
      </c>
      <c r="E28" s="4662">
        <v>30.006583046640955</v>
      </c>
      <c r="F28" s="4662">
        <v>31.279821135541802</v>
      </c>
      <c r="G28" s="4662">
        <v>31.050283981445975</v>
      </c>
      <c r="H28" s="4662">
        <v>28.60780720592475</v>
      </c>
      <c r="I28" s="4662">
        <v>28.082964613263144</v>
      </c>
      <c r="J28" s="4662">
        <v>25.955049151476818</v>
      </c>
      <c r="K28" s="4662">
        <v>26.009564159105924</v>
      </c>
      <c r="L28" s="4662">
        <v>25.840552427776831</v>
      </c>
      <c r="M28" s="4662">
        <v>28.082684668804671</v>
      </c>
      <c r="N28" s="4662">
        <v>29.261616346284651</v>
      </c>
      <c r="O28" s="4662">
        <v>29.899373983783157</v>
      </c>
      <c r="P28" s="4662">
        <v>29.565182557813518</v>
      </c>
      <c r="Q28" s="4661">
        <v>29.111088787376804</v>
      </c>
      <c r="R28" s="4661">
        <v>30.077564142101188</v>
      </c>
      <c r="S28" s="4661">
        <v>30.186378438074414</v>
      </c>
      <c r="T28" s="4661">
        <v>31.664757250929309</v>
      </c>
      <c r="U28" s="4661">
        <v>33.056109109497648</v>
      </c>
    </row>
    <row r="29" spans="1:21" s="4635" customFormat="1" x14ac:dyDescent="0.2">
      <c r="A29" s="4535"/>
      <c r="B29" s="4534"/>
      <c r="C29" s="4534"/>
      <c r="D29" s="4663" t="s">
        <v>1840</v>
      </c>
      <c r="E29" s="4662">
        <v>15.348552168548469</v>
      </c>
      <c r="F29" s="4662">
        <v>16.727720869361381</v>
      </c>
      <c r="G29" s="4662">
        <v>16.436128287012679</v>
      </c>
      <c r="H29" s="4662">
        <v>15.309559486335328</v>
      </c>
      <c r="I29" s="4662">
        <v>14.705728618206923</v>
      </c>
      <c r="J29" s="4662">
        <v>14.734966545056366</v>
      </c>
      <c r="K29" s="4662">
        <v>13.512775447998388</v>
      </c>
      <c r="L29" s="4662">
        <v>15.955901048925055</v>
      </c>
      <c r="M29" s="4662">
        <v>16.584563029049672</v>
      </c>
      <c r="N29" s="4662">
        <v>17.693728516011891</v>
      </c>
      <c r="O29" s="4662">
        <v>18.090229302861054</v>
      </c>
      <c r="P29" s="4662">
        <v>18.187009451508718</v>
      </c>
      <c r="Q29" s="4661">
        <v>18.588248762915565</v>
      </c>
      <c r="R29" s="4661">
        <v>19.094579058322445</v>
      </c>
      <c r="S29" s="4661">
        <v>19.518242457226449</v>
      </c>
      <c r="T29" s="4661">
        <v>21.140483132434824</v>
      </c>
      <c r="U29" s="4661">
        <v>21.985828119422994</v>
      </c>
    </row>
    <row r="30" spans="1:21" s="4635" customFormat="1" x14ac:dyDescent="0.2">
      <c r="A30" s="4535"/>
      <c r="B30" s="4534"/>
      <c r="C30" s="4534"/>
      <c r="D30" s="4664" t="s">
        <v>1839</v>
      </c>
      <c r="E30" s="4662">
        <v>11.413586942521773</v>
      </c>
      <c r="F30" s="4662">
        <v>13.255828788899427</v>
      </c>
      <c r="G30" s="4662">
        <v>12.562898806553372</v>
      </c>
      <c r="H30" s="4662">
        <v>10.643161935657966</v>
      </c>
      <c r="I30" s="4662">
        <v>10.560847323939962</v>
      </c>
      <c r="J30" s="4662">
        <v>9.9807886244265802</v>
      </c>
      <c r="K30" s="4662">
        <v>10.378274219367707</v>
      </c>
      <c r="L30" s="4662">
        <v>10.262524243664069</v>
      </c>
      <c r="M30" s="4662">
        <v>11.216521355769235</v>
      </c>
      <c r="N30" s="4662">
        <v>12.601007273356682</v>
      </c>
      <c r="O30" s="4662">
        <v>12.601867539017034</v>
      </c>
      <c r="P30" s="4662">
        <v>12.80590961334333</v>
      </c>
      <c r="Q30" s="4661">
        <v>12.769495079856002</v>
      </c>
      <c r="R30" s="4661">
        <v>13.374628573906866</v>
      </c>
      <c r="S30" s="4661">
        <v>14.07522840397036</v>
      </c>
      <c r="T30" s="4661">
        <v>14.843637471922699</v>
      </c>
      <c r="U30" s="4661">
        <v>15.920460816512314</v>
      </c>
    </row>
    <row r="31" spans="1:21" s="4635" customFormat="1" x14ac:dyDescent="0.2">
      <c r="A31" s="4535"/>
      <c r="B31" s="4534"/>
      <c r="C31" s="4534"/>
      <c r="D31" s="4663" t="s">
        <v>1838</v>
      </c>
      <c r="E31" s="4662">
        <v>8.3886179986402318</v>
      </c>
      <c r="F31" s="4662">
        <v>9.2104286438743177</v>
      </c>
      <c r="G31" s="4662">
        <v>8.3836251103396613</v>
      </c>
      <c r="H31" s="4662">
        <v>6.458066643082133</v>
      </c>
      <c r="I31" s="4662">
        <v>6.9382843179818439</v>
      </c>
      <c r="J31" s="4662">
        <v>5.1909668005062457</v>
      </c>
      <c r="K31" s="4662">
        <v>5.6456566792137934</v>
      </c>
      <c r="L31" s="4662">
        <v>6.7434230431741833</v>
      </c>
      <c r="M31" s="4662">
        <v>6.248783077057853</v>
      </c>
      <c r="N31" s="4662">
        <v>7.5805969331481302</v>
      </c>
      <c r="O31" s="4662">
        <v>6.209235517416734</v>
      </c>
      <c r="P31" s="4662">
        <v>7.0401361858174418</v>
      </c>
      <c r="Q31" s="4661">
        <v>7.6987400495165517</v>
      </c>
      <c r="R31" s="4661">
        <v>7.6526536126624354</v>
      </c>
      <c r="S31" s="4661">
        <v>8.694483992374046</v>
      </c>
      <c r="T31" s="4661">
        <v>9.0434368930705578</v>
      </c>
      <c r="U31" s="4661">
        <v>9.4892141374650567</v>
      </c>
    </row>
    <row r="32" spans="1:21" s="4635" customFormat="1" x14ac:dyDescent="0.2">
      <c r="A32" s="4535"/>
      <c r="B32" s="4534"/>
      <c r="C32" s="4534"/>
      <c r="D32" s="4660" t="s">
        <v>257</v>
      </c>
      <c r="E32" s="4659">
        <v>25.370740413489695</v>
      </c>
      <c r="F32" s="4659">
        <v>27.180508501508378</v>
      </c>
      <c r="G32" s="4659">
        <v>27.115766702024597</v>
      </c>
      <c r="H32" s="4659">
        <v>24.672790326915951</v>
      </c>
      <c r="I32" s="4659">
        <v>23.839990494289712</v>
      </c>
      <c r="J32" s="4659">
        <v>22.615760539777558</v>
      </c>
      <c r="K32" s="4659">
        <v>22.326519139844354</v>
      </c>
      <c r="L32" s="4659">
        <v>22.548772782676899</v>
      </c>
      <c r="M32" s="4659">
        <v>23.676036911890659</v>
      </c>
      <c r="N32" s="4659">
        <v>24.870199929044048</v>
      </c>
      <c r="O32" s="4659">
        <v>24.784677973271108</v>
      </c>
      <c r="P32" s="4659">
        <v>24.870194505395812</v>
      </c>
      <c r="Q32" s="4658">
        <v>24.73737697547622</v>
      </c>
      <c r="R32" s="4658">
        <v>25.079268765127839</v>
      </c>
      <c r="S32" s="4658">
        <v>25.345096563891889</v>
      </c>
      <c r="T32" s="4658">
        <v>26.715305376306265</v>
      </c>
      <c r="U32" s="4658">
        <v>27.459008795167733</v>
      </c>
    </row>
    <row r="33" spans="1:21" s="4635" customFormat="1" x14ac:dyDescent="0.2">
      <c r="A33" s="4535"/>
      <c r="B33" s="4534"/>
      <c r="C33" s="4534"/>
      <c r="D33" s="4655"/>
      <c r="E33" s="4657"/>
      <c r="F33" s="4657"/>
      <c r="G33" s="4657"/>
      <c r="H33" s="4657"/>
      <c r="I33" s="4657"/>
      <c r="J33" s="4657"/>
      <c r="K33" s="4657"/>
      <c r="L33" s="4653"/>
      <c r="M33" s="4650"/>
      <c r="N33" s="4650"/>
      <c r="O33" s="4656"/>
      <c r="P33" s="4652"/>
    </row>
    <row r="34" spans="1:21" s="4635" customFormat="1" x14ac:dyDescent="0.2">
      <c r="A34" s="4535"/>
      <c r="B34" s="4534"/>
      <c r="C34" s="4534"/>
      <c r="D34" s="4655"/>
      <c r="E34" s="4654"/>
      <c r="F34" s="4654"/>
      <c r="G34" s="4654"/>
      <c r="H34" s="4654"/>
      <c r="I34" s="4654"/>
      <c r="J34" s="4654"/>
      <c r="K34" s="4654"/>
      <c r="L34" s="4653"/>
      <c r="M34" s="4650"/>
      <c r="N34" s="4650"/>
      <c r="O34" s="4650"/>
      <c r="P34" s="4652"/>
    </row>
    <row r="35" spans="1:21" s="4635" customFormat="1" x14ac:dyDescent="0.2">
      <c r="A35" s="4535"/>
      <c r="B35" s="4534"/>
      <c r="C35" s="4534"/>
      <c r="D35" s="4651" t="s">
        <v>276</v>
      </c>
      <c r="E35" s="4568" t="s">
        <v>1837</v>
      </c>
      <c r="F35" s="1562"/>
      <c r="G35" s="4650"/>
      <c r="H35" s="4650"/>
      <c r="I35" s="4649"/>
      <c r="J35" s="4647"/>
      <c r="K35" s="4647"/>
      <c r="L35" s="4648"/>
      <c r="M35" s="4647"/>
      <c r="N35" s="4647"/>
      <c r="O35" s="4647"/>
      <c r="P35" s="4647"/>
    </row>
    <row r="36" spans="1:21" ht="12.75" customHeight="1" x14ac:dyDescent="0.2">
      <c r="D36" s="4516" t="s">
        <v>1820</v>
      </c>
      <c r="E36" s="4646">
        <v>2001</v>
      </c>
      <c r="F36" s="4646">
        <v>2002</v>
      </c>
      <c r="G36" s="4646">
        <v>2003</v>
      </c>
      <c r="H36" s="4646">
        <v>2004</v>
      </c>
      <c r="I36" s="4646">
        <v>2005</v>
      </c>
      <c r="J36" s="4646">
        <v>2006</v>
      </c>
      <c r="K36" s="4645">
        <v>2007</v>
      </c>
      <c r="L36" s="4645">
        <v>2008</v>
      </c>
      <c r="M36" s="4645">
        <v>2009</v>
      </c>
      <c r="N36" s="4645">
        <v>2010</v>
      </c>
      <c r="O36" s="4645">
        <v>2011</v>
      </c>
      <c r="P36" s="4645">
        <v>2012</v>
      </c>
      <c r="Q36" s="4645">
        <v>2013</v>
      </c>
      <c r="R36" s="4645">
        <v>2014</v>
      </c>
      <c r="S36" s="4645">
        <v>2015</v>
      </c>
      <c r="T36" s="4645">
        <v>2016</v>
      </c>
      <c r="U36" s="4645">
        <v>2017</v>
      </c>
    </row>
    <row r="37" spans="1:21" s="4635" customFormat="1" ht="15.6" customHeight="1" x14ac:dyDescent="0.2">
      <c r="A37" s="4535"/>
      <c r="B37" s="4534"/>
      <c r="C37" s="4534"/>
      <c r="D37" s="4644" t="s">
        <v>1836</v>
      </c>
      <c r="E37" s="4642">
        <v>2692.385094696147</v>
      </c>
      <c r="F37" s="4642">
        <v>2962.5228781799028</v>
      </c>
      <c r="G37" s="4642">
        <v>2917.668295400129</v>
      </c>
      <c r="H37" s="4642">
        <v>2594.8891498175822</v>
      </c>
      <c r="I37" s="4642">
        <v>2549.4298279339969</v>
      </c>
      <c r="J37" s="4642">
        <v>2347.0741601438644</v>
      </c>
      <c r="K37" s="4642">
        <v>2117.0194927719394</v>
      </c>
      <c r="L37" s="4642">
        <v>2517.9270945163021</v>
      </c>
      <c r="M37" s="4642">
        <v>2653</v>
      </c>
      <c r="N37" s="4642">
        <v>2998</v>
      </c>
      <c r="O37" s="4642">
        <v>3180</v>
      </c>
      <c r="P37" s="4642">
        <v>3242</v>
      </c>
      <c r="Q37" s="4642">
        <v>3226</v>
      </c>
      <c r="R37" s="4641">
        <v>3341</v>
      </c>
      <c r="S37" s="4641">
        <v>3481</v>
      </c>
      <c r="T37" s="4641">
        <v>3832</v>
      </c>
      <c r="U37" s="4641">
        <v>4111</v>
      </c>
    </row>
    <row r="38" spans="1:21" s="4635" customFormat="1" x14ac:dyDescent="0.2">
      <c r="A38" s="4535"/>
      <c r="B38" s="4534"/>
      <c r="C38" s="4534"/>
      <c r="D38" s="4643" t="s">
        <v>1835</v>
      </c>
      <c r="E38" s="4642">
        <v>1413.0918876439198</v>
      </c>
      <c r="F38" s="4642">
        <v>1503.5328967929859</v>
      </c>
      <c r="G38" s="4642">
        <v>1477.0145416398291</v>
      </c>
      <c r="H38" s="4642">
        <v>1349.9679419328634</v>
      </c>
      <c r="I38" s="4642">
        <v>1447.5427591877558</v>
      </c>
      <c r="J38" s="4642">
        <v>1574.6098059406816</v>
      </c>
      <c r="K38" s="4642">
        <v>1754.0192880630011</v>
      </c>
      <c r="L38" s="4642">
        <v>1728.2382589264012</v>
      </c>
      <c r="M38" s="4642">
        <v>1750</v>
      </c>
      <c r="N38" s="4642">
        <v>1566</v>
      </c>
      <c r="O38" s="4642">
        <v>1456</v>
      </c>
      <c r="P38" s="4642">
        <v>1533</v>
      </c>
      <c r="Q38" s="4642">
        <v>1660</v>
      </c>
      <c r="R38" s="4641">
        <v>1729</v>
      </c>
      <c r="S38" s="4641">
        <v>1863</v>
      </c>
      <c r="T38" s="4641">
        <v>1921</v>
      </c>
      <c r="U38" s="4641">
        <v>2009</v>
      </c>
    </row>
    <row r="39" spans="1:21" s="4635" customFormat="1" x14ac:dyDescent="0.2">
      <c r="A39" s="4535"/>
      <c r="B39" s="4534"/>
      <c r="C39" s="4534"/>
      <c r="D39" s="4640" t="s">
        <v>1834</v>
      </c>
      <c r="E39" s="4639">
        <v>4105.4769823400666</v>
      </c>
      <c r="F39" s="4639">
        <v>4466.0557749728887</v>
      </c>
      <c r="G39" s="4639">
        <v>4394.682837039958</v>
      </c>
      <c r="H39" s="4639">
        <v>3944.8570917504458</v>
      </c>
      <c r="I39" s="4639">
        <v>3996.9725871217524</v>
      </c>
      <c r="J39" s="4639">
        <v>3921.6839660845462</v>
      </c>
      <c r="K39" s="4639">
        <v>3871.0387808349406</v>
      </c>
      <c r="L39" s="4639">
        <v>4246.1653534427032</v>
      </c>
      <c r="M39" s="4639">
        <v>4403</v>
      </c>
      <c r="N39" s="4639">
        <v>4564</v>
      </c>
      <c r="O39" s="4639">
        <v>4636</v>
      </c>
      <c r="P39" s="4639">
        <v>4775</v>
      </c>
      <c r="Q39" s="4639">
        <v>4886</v>
      </c>
      <c r="R39" s="4638">
        <v>5070</v>
      </c>
      <c r="S39" s="4638">
        <v>5344</v>
      </c>
      <c r="T39" s="4638">
        <v>5753</v>
      </c>
      <c r="U39" s="4638">
        <v>6120</v>
      </c>
    </row>
    <row r="40" spans="1:21" s="4635" customFormat="1" ht="22.5" x14ac:dyDescent="0.2">
      <c r="A40" s="4535"/>
      <c r="B40" s="4534"/>
      <c r="C40" s="4534"/>
      <c r="D40" s="4637" t="s">
        <v>1833</v>
      </c>
      <c r="E40" s="4636">
        <f>E37/E39*100</f>
        <v>65.580323706053861</v>
      </c>
      <c r="F40" s="4636">
        <f>F37/F39*100</f>
        <v>66.334211381358912</v>
      </c>
      <c r="G40" s="4636">
        <f>G37/G39*100</f>
        <v>66.39087287048288</v>
      </c>
      <c r="H40" s="4636">
        <f>H37/H39*100</f>
        <v>65.779040646214028</v>
      </c>
      <c r="I40" s="4636">
        <f>I37/I39*100</f>
        <v>63.784020839879183</v>
      </c>
      <c r="J40" s="4636">
        <f>J37/J39*100</f>
        <v>59.848630854546137</v>
      </c>
      <c r="K40" s="4636">
        <f>K37/K39*100</f>
        <v>54.688666599080719</v>
      </c>
      <c r="L40" s="4636">
        <f>L37/L39*100</f>
        <v>59.298846957875028</v>
      </c>
      <c r="M40" s="4636">
        <f>M37/M39*100</f>
        <v>60.254372019077906</v>
      </c>
      <c r="N40" s="4636">
        <f>N37/N39*100</f>
        <v>65.687992988606482</v>
      </c>
      <c r="O40" s="4636">
        <f>O37/O39*100</f>
        <v>68.593615185504746</v>
      </c>
      <c r="P40" s="4636">
        <f>P37/P39*100</f>
        <v>67.895287958115176</v>
      </c>
      <c r="Q40" s="4636">
        <f>Q37/Q39*100</f>
        <v>66.025378632828492</v>
      </c>
      <c r="R40" s="4636">
        <f>R37/R39*100</f>
        <v>65.897435897435898</v>
      </c>
      <c r="S40" s="4636">
        <f>S37/S39*100</f>
        <v>65.138473053892227</v>
      </c>
      <c r="T40" s="4636">
        <v>66.599999999999994</v>
      </c>
      <c r="U40" s="4636">
        <v>67.2</v>
      </c>
    </row>
    <row r="41" spans="1:21" x14ac:dyDescent="0.2">
      <c r="D41" s="4631"/>
      <c r="E41" s="4634"/>
      <c r="F41" s="4634"/>
      <c r="G41" s="4634"/>
      <c r="H41" s="4634"/>
      <c r="I41" s="4634"/>
      <c r="J41" s="4634"/>
      <c r="K41" s="4634"/>
      <c r="L41" s="4634"/>
      <c r="M41" s="4634"/>
      <c r="N41" s="4634"/>
      <c r="O41" s="4634"/>
      <c r="P41" s="4634"/>
      <c r="Q41" s="4634"/>
      <c r="R41" s="4634"/>
      <c r="S41" s="4634"/>
      <c r="T41" s="4634"/>
      <c r="U41" s="4634"/>
    </row>
    <row r="42" spans="1:21" x14ac:dyDescent="0.2">
      <c r="B42" s="4476"/>
      <c r="D42" s="4631"/>
      <c r="E42" s="4634"/>
      <c r="F42" s="4634"/>
      <c r="G42" s="4634"/>
      <c r="H42" s="4634"/>
      <c r="I42" s="4634"/>
      <c r="J42" s="4634"/>
      <c r="K42" s="4634"/>
      <c r="L42" s="4633"/>
      <c r="M42" s="4632"/>
      <c r="N42" s="4631"/>
    </row>
    <row r="43" spans="1:21" x14ac:dyDescent="0.2">
      <c r="D43" s="4631"/>
      <c r="E43" s="4634"/>
      <c r="F43" s="4634"/>
      <c r="G43" s="4634"/>
      <c r="H43" s="4634"/>
      <c r="I43" s="4634"/>
      <c r="J43" s="4634"/>
      <c r="K43" s="4634"/>
      <c r="L43" s="4633"/>
      <c r="M43" s="4632"/>
      <c r="N43" s="4631"/>
    </row>
    <row r="44" spans="1:21" x14ac:dyDescent="0.2">
      <c r="D44" s="4631"/>
      <c r="E44" s="4634"/>
      <c r="F44" s="4634"/>
      <c r="G44" s="4634"/>
      <c r="H44" s="4634"/>
      <c r="I44" s="4634"/>
      <c r="J44" s="4634"/>
      <c r="K44" s="4634"/>
      <c r="L44" s="4633"/>
      <c r="M44" s="4632"/>
      <c r="N44" s="4631"/>
    </row>
    <row r="45" spans="1:21" x14ac:dyDescent="0.2">
      <c r="D45" s="4631"/>
      <c r="E45" s="4634"/>
      <c r="F45" s="4634"/>
      <c r="G45" s="4634"/>
      <c r="H45" s="4634"/>
      <c r="I45" s="4634"/>
      <c r="J45" s="4634"/>
      <c r="K45" s="4634"/>
      <c r="L45" s="4633"/>
      <c r="M45" s="4632"/>
      <c r="N45" s="4631"/>
    </row>
    <row r="46" spans="1:21" x14ac:dyDescent="0.2">
      <c r="D46" s="4631"/>
      <c r="E46" s="4634"/>
      <c r="F46" s="4634"/>
      <c r="G46" s="4634"/>
      <c r="H46" s="4634"/>
      <c r="I46" s="4634"/>
      <c r="J46" s="4634"/>
      <c r="K46" s="4634"/>
      <c r="L46" s="4633"/>
      <c r="M46" s="4632"/>
      <c r="N46" s="4631"/>
    </row>
    <row r="47" spans="1:21" x14ac:dyDescent="0.2">
      <c r="D47" s="4631"/>
      <c r="E47" s="4634"/>
      <c r="F47" s="4634"/>
      <c r="G47" s="4634"/>
      <c r="H47" s="4634"/>
      <c r="I47" s="4634"/>
      <c r="J47" s="4634"/>
      <c r="K47" s="4634"/>
      <c r="L47" s="4633"/>
      <c r="M47" s="4632"/>
      <c r="N47" s="4631"/>
    </row>
    <row r="48" spans="1:21" x14ac:dyDescent="0.2">
      <c r="D48" s="4631"/>
      <c r="E48" s="4634"/>
      <c r="F48" s="4634"/>
      <c r="G48" s="4634"/>
      <c r="H48" s="4634"/>
      <c r="I48" s="4634"/>
      <c r="J48" s="4634"/>
      <c r="K48" s="4634"/>
      <c r="L48" s="4633"/>
      <c r="M48" s="4632"/>
      <c r="N48" s="4631"/>
    </row>
    <row r="49" spans="4:14" x14ac:dyDescent="0.2">
      <c r="D49" s="4631"/>
      <c r="E49" s="4634"/>
      <c r="F49" s="4634"/>
      <c r="G49" s="4634"/>
      <c r="H49" s="4634"/>
      <c r="I49" s="4634"/>
      <c r="J49" s="4634"/>
      <c r="K49" s="4634"/>
      <c r="L49" s="4633"/>
      <c r="M49" s="4632"/>
      <c r="N49" s="4631"/>
    </row>
    <row r="50" spans="4:14" x14ac:dyDescent="0.2">
      <c r="D50" s="4631"/>
      <c r="E50" s="4634"/>
      <c r="F50" s="4634"/>
      <c r="G50" s="4634"/>
      <c r="H50" s="4634"/>
      <c r="I50" s="4634"/>
      <c r="J50" s="4634"/>
      <c r="K50" s="4634"/>
      <c r="L50" s="4633"/>
      <c r="M50" s="4632"/>
      <c r="N50" s="4631"/>
    </row>
    <row r="51" spans="4:14" x14ac:dyDescent="0.2">
      <c r="D51" s="4631"/>
      <c r="E51" s="4634"/>
      <c r="F51" s="4634"/>
      <c r="G51" s="4634"/>
      <c r="H51" s="4634"/>
      <c r="I51" s="4634"/>
      <c r="J51" s="4634"/>
      <c r="K51" s="4634"/>
      <c r="L51" s="4633"/>
      <c r="M51" s="4632"/>
      <c r="N51" s="4631"/>
    </row>
    <row r="52" spans="4:14" x14ac:dyDescent="0.2">
      <c r="D52" s="4631"/>
      <c r="E52" s="4634"/>
      <c r="F52" s="4634"/>
      <c r="G52" s="4634"/>
      <c r="H52" s="4634"/>
      <c r="I52" s="4634"/>
      <c r="J52" s="4634"/>
      <c r="K52" s="4634"/>
      <c r="L52" s="4633"/>
      <c r="M52" s="4632"/>
      <c r="N52" s="4631"/>
    </row>
    <row r="53" spans="4:14" x14ac:dyDescent="0.2">
      <c r="D53" s="4631"/>
      <c r="E53" s="4634"/>
      <c r="F53" s="4634"/>
      <c r="G53" s="4634"/>
      <c r="H53" s="4634"/>
      <c r="I53" s="4634"/>
      <c r="J53" s="4634"/>
      <c r="K53" s="4634"/>
      <c r="L53" s="4633"/>
      <c r="M53" s="4632"/>
      <c r="N53" s="4631"/>
    </row>
    <row r="54" spans="4:14" x14ac:dyDescent="0.2">
      <c r="D54" s="4631"/>
      <c r="E54" s="4634"/>
      <c r="F54" s="4634"/>
      <c r="G54" s="4634"/>
      <c r="H54" s="4634"/>
      <c r="I54" s="4634"/>
      <c r="J54" s="4634"/>
      <c r="K54" s="4634"/>
      <c r="L54" s="4633"/>
      <c r="M54" s="4632"/>
      <c r="N54" s="4631"/>
    </row>
    <row r="55" spans="4:14" x14ac:dyDescent="0.2">
      <c r="D55" s="4631"/>
      <c r="E55" s="4634"/>
      <c r="F55" s="4634"/>
      <c r="G55" s="4634"/>
      <c r="H55" s="4634"/>
      <c r="I55" s="4634"/>
      <c r="J55" s="4634"/>
      <c r="K55" s="4634"/>
      <c r="L55" s="4633"/>
      <c r="M55" s="4632"/>
      <c r="N55" s="4631"/>
    </row>
    <row r="56" spans="4:14" x14ac:dyDescent="0.2">
      <c r="D56" s="4631"/>
      <c r="E56" s="4634"/>
      <c r="F56" s="4634"/>
      <c r="G56" s="4634"/>
      <c r="H56" s="4634"/>
      <c r="I56" s="4634"/>
      <c r="J56" s="4634"/>
      <c r="K56" s="4634"/>
      <c r="L56" s="4633"/>
      <c r="M56" s="4632"/>
      <c r="N56" s="4631"/>
    </row>
    <row r="57" spans="4:14" x14ac:dyDescent="0.2">
      <c r="D57" s="4631"/>
      <c r="E57" s="4634"/>
      <c r="F57" s="4634"/>
      <c r="G57" s="4634"/>
      <c r="H57" s="4634"/>
      <c r="I57" s="4634"/>
      <c r="J57" s="4634"/>
      <c r="K57" s="4634"/>
      <c r="L57" s="4633"/>
      <c r="M57" s="4632"/>
      <c r="N57" s="4631"/>
    </row>
    <row r="58" spans="4:14" x14ac:dyDescent="0.2">
      <c r="D58" s="4631"/>
      <c r="E58" s="4634"/>
      <c r="F58" s="4634"/>
      <c r="G58" s="4634"/>
      <c r="H58" s="4634"/>
      <c r="I58" s="4634"/>
      <c r="J58" s="4634"/>
      <c r="K58" s="4634"/>
      <c r="L58" s="4633"/>
      <c r="M58" s="4632"/>
      <c r="N58" s="4631"/>
    </row>
    <row r="59" spans="4:14" x14ac:dyDescent="0.2">
      <c r="D59" s="4631"/>
      <c r="E59" s="4634"/>
      <c r="F59" s="4634"/>
      <c r="G59" s="4634"/>
      <c r="H59" s="4634"/>
      <c r="I59" s="4634"/>
      <c r="J59" s="4634"/>
      <c r="K59" s="4634"/>
      <c r="L59" s="4633"/>
      <c r="M59" s="4632"/>
      <c r="N59" s="4631"/>
    </row>
    <row r="60" spans="4:14" x14ac:dyDescent="0.2">
      <c r="D60" s="4631"/>
      <c r="E60" s="4634"/>
      <c r="F60" s="4634"/>
      <c r="G60" s="4634"/>
      <c r="H60" s="4634"/>
      <c r="I60" s="4634"/>
      <c r="J60" s="4634"/>
      <c r="K60" s="4634"/>
      <c r="L60" s="4633"/>
      <c r="M60" s="4632"/>
      <c r="N60" s="4631"/>
    </row>
    <row r="61" spans="4:14" x14ac:dyDescent="0.2">
      <c r="D61" s="4631"/>
      <c r="E61" s="4634"/>
      <c r="F61" s="4634"/>
      <c r="G61" s="4634"/>
      <c r="H61" s="4634"/>
      <c r="I61" s="4634"/>
      <c r="J61" s="4634"/>
      <c r="K61" s="4634"/>
      <c r="L61" s="4633"/>
      <c r="M61" s="4632"/>
      <c r="N61" s="4631"/>
    </row>
    <row r="62" spans="4:14" x14ac:dyDescent="0.2">
      <c r="D62" s="4631"/>
      <c r="E62" s="4634"/>
      <c r="F62" s="4634"/>
      <c r="G62" s="4634"/>
      <c r="H62" s="4634"/>
      <c r="I62" s="4634"/>
      <c r="J62" s="4634"/>
      <c r="K62" s="4634"/>
      <c r="L62" s="4633"/>
      <c r="M62" s="4632"/>
      <c r="N62" s="4631"/>
    </row>
    <row r="63" spans="4:14" x14ac:dyDescent="0.2">
      <c r="D63" s="4631"/>
      <c r="E63" s="4634"/>
      <c r="F63" s="4634"/>
      <c r="G63" s="4634"/>
      <c r="H63" s="4634"/>
      <c r="I63" s="4634"/>
      <c r="J63" s="4634"/>
      <c r="K63" s="4634"/>
      <c r="L63" s="4633"/>
      <c r="M63" s="4632"/>
      <c r="N63" s="4631"/>
    </row>
    <row r="64" spans="4:14" x14ac:dyDescent="0.2">
      <c r="D64" s="4631"/>
      <c r="E64" s="4634"/>
      <c r="F64" s="4634"/>
      <c r="G64" s="4634"/>
      <c r="H64" s="4634"/>
      <c r="I64" s="4634"/>
      <c r="J64" s="4634"/>
      <c r="K64" s="4634"/>
      <c r="L64" s="4633"/>
      <c r="M64" s="4632"/>
      <c r="N64" s="4631"/>
    </row>
    <row r="65" spans="1:21" ht="15" customHeight="1" x14ac:dyDescent="0.2">
      <c r="A65" s="4476">
        <v>7</v>
      </c>
      <c r="B65" s="4476" t="s">
        <v>29</v>
      </c>
      <c r="C65" s="4476"/>
      <c r="D65" s="4550" t="s">
        <v>1832</v>
      </c>
      <c r="E65" s="4549"/>
      <c r="F65" s="4549"/>
      <c r="G65" s="4549"/>
      <c r="H65" s="4549"/>
      <c r="I65" s="4549"/>
      <c r="J65" s="4549"/>
      <c r="K65" s="4549"/>
      <c r="L65" s="4549"/>
      <c r="M65" s="4549"/>
      <c r="N65" s="4549"/>
      <c r="O65" s="4549"/>
      <c r="P65" s="4549"/>
      <c r="Q65" s="4549"/>
      <c r="R65" s="4549"/>
      <c r="S65" s="4549"/>
      <c r="T65" s="4549"/>
      <c r="U65" s="4548"/>
    </row>
    <row r="66" spans="1:21" ht="53.25" customHeight="1" x14ac:dyDescent="0.2">
      <c r="A66" s="4554">
        <v>8</v>
      </c>
      <c r="B66" s="4554" t="s">
        <v>32</v>
      </c>
      <c r="C66" s="4554"/>
      <c r="D66" s="4550" t="s">
        <v>1831</v>
      </c>
      <c r="E66" s="4549"/>
      <c r="F66" s="4549"/>
      <c r="G66" s="4549"/>
      <c r="H66" s="4549"/>
      <c r="I66" s="4549"/>
      <c r="J66" s="4549"/>
      <c r="K66" s="4549"/>
      <c r="L66" s="4549"/>
      <c r="M66" s="4549"/>
      <c r="N66" s="4549"/>
      <c r="O66" s="4549"/>
      <c r="P66" s="4549"/>
      <c r="Q66" s="4549"/>
      <c r="R66" s="4549"/>
      <c r="S66" s="4549"/>
      <c r="T66" s="4549"/>
      <c r="U66" s="4548"/>
    </row>
    <row r="67" spans="1:21" ht="15" customHeight="1" x14ac:dyDescent="0.2">
      <c r="A67" s="4476">
        <v>9</v>
      </c>
      <c r="B67" s="4476" t="s">
        <v>31</v>
      </c>
      <c r="C67" s="4476"/>
      <c r="D67" s="4550" t="s">
        <v>1830</v>
      </c>
      <c r="E67" s="4549"/>
      <c r="F67" s="4549"/>
      <c r="G67" s="4549"/>
      <c r="H67" s="4549"/>
      <c r="I67" s="4549"/>
      <c r="J67" s="4549"/>
      <c r="K67" s="4549"/>
      <c r="L67" s="4549"/>
      <c r="M67" s="4549"/>
      <c r="N67" s="4549"/>
      <c r="O67" s="4549"/>
      <c r="P67" s="4549"/>
      <c r="Q67" s="4549"/>
      <c r="R67" s="4549"/>
      <c r="S67" s="4549"/>
      <c r="T67" s="4549"/>
      <c r="U67" s="4548"/>
    </row>
    <row r="68" spans="1:21" s="4474" customFormat="1" ht="32.25" customHeight="1" x14ac:dyDescent="0.2">
      <c r="A68" s="4476">
        <v>10</v>
      </c>
      <c r="B68" s="4476" t="s">
        <v>34</v>
      </c>
      <c r="C68" s="4476"/>
      <c r="D68" s="4550" t="s">
        <v>1829</v>
      </c>
      <c r="E68" s="4549"/>
      <c r="F68" s="4549"/>
      <c r="G68" s="4549"/>
      <c r="H68" s="4549"/>
      <c r="I68" s="4549"/>
      <c r="J68" s="4549"/>
      <c r="K68" s="4549"/>
      <c r="L68" s="4549"/>
      <c r="M68" s="4549"/>
      <c r="N68" s="4549"/>
      <c r="O68" s="4549"/>
      <c r="P68" s="4549"/>
      <c r="Q68" s="4549"/>
      <c r="R68" s="4549"/>
      <c r="S68" s="4549"/>
      <c r="T68" s="4549"/>
      <c r="U68" s="4548"/>
    </row>
    <row r="75" spans="1:21" x14ac:dyDescent="0.2">
      <c r="D75" s="4596" t="s">
        <v>6</v>
      </c>
      <c r="E75" s="4569" t="s">
        <v>1828</v>
      </c>
      <c r="F75" s="4630"/>
      <c r="G75" s="4629"/>
      <c r="H75" s="4629"/>
      <c r="I75" s="4628"/>
      <c r="J75" s="4628"/>
      <c r="K75" s="4626"/>
      <c r="L75" s="4626"/>
      <c r="M75" s="4627"/>
      <c r="N75" s="4626"/>
      <c r="O75" s="4625"/>
    </row>
    <row r="76" spans="1:21" x14ac:dyDescent="0.2">
      <c r="D76" s="4605" t="s">
        <v>69</v>
      </c>
      <c r="E76" s="4624">
        <v>2001</v>
      </c>
      <c r="F76" s="4624">
        <v>2002</v>
      </c>
      <c r="G76" s="4624">
        <v>2003</v>
      </c>
      <c r="H76" s="4624">
        <v>2004</v>
      </c>
      <c r="I76" s="4624">
        <v>2005</v>
      </c>
      <c r="J76" s="4623">
        <v>2006</v>
      </c>
      <c r="K76" s="4622">
        <v>2007</v>
      </c>
      <c r="L76" s="4621">
        <v>2008</v>
      </c>
      <c r="M76" s="4621">
        <v>2009</v>
      </c>
      <c r="N76" s="4621">
        <v>2010</v>
      </c>
      <c r="O76" s="4621">
        <v>2011</v>
      </c>
      <c r="P76" s="4621">
        <v>2012</v>
      </c>
      <c r="Q76" s="4607">
        <v>2013</v>
      </c>
      <c r="R76" s="4607">
        <v>2014</v>
      </c>
      <c r="S76" s="4607">
        <v>2015</v>
      </c>
      <c r="T76" s="4607">
        <v>2016</v>
      </c>
      <c r="U76" s="4607">
        <v>2017</v>
      </c>
    </row>
    <row r="77" spans="1:21" x14ac:dyDescent="0.2">
      <c r="D77" s="4606" t="s">
        <v>1827</v>
      </c>
      <c r="E77" s="4604">
        <v>49.556608498903657</v>
      </c>
      <c r="F77" s="4604">
        <v>52.365488698625505</v>
      </c>
      <c r="G77" s="4604">
        <v>54.827733170732408</v>
      </c>
      <c r="H77" s="4604">
        <v>51.047144480847152</v>
      </c>
      <c r="I77" s="4604">
        <v>48.313051977952036</v>
      </c>
      <c r="J77" s="4604">
        <v>46.662747889266548</v>
      </c>
      <c r="K77" s="4604">
        <v>46.483378566700999</v>
      </c>
      <c r="L77" s="4604">
        <v>45.61432465079168</v>
      </c>
      <c r="M77" s="4604">
        <v>48.335652094750827</v>
      </c>
      <c r="N77" s="4604">
        <v>51.211586095188466</v>
      </c>
      <c r="O77" s="4604">
        <v>50.281651701226124</v>
      </c>
      <c r="P77" s="4604">
        <v>51.698207753618561</v>
      </c>
      <c r="Q77" s="4604">
        <v>51.425685294707677</v>
      </c>
      <c r="R77" s="4604">
        <v>51.290864961635428</v>
      </c>
      <c r="S77" s="4604">
        <v>50.130442400407723</v>
      </c>
      <c r="T77" s="4604">
        <v>53.348435626122793</v>
      </c>
      <c r="U77" s="4604">
        <v>53.393903405785714</v>
      </c>
    </row>
    <row r="78" spans="1:21" x14ac:dyDescent="0.2">
      <c r="D78" s="4605" t="s">
        <v>1826</v>
      </c>
      <c r="E78" s="4604">
        <v>30.006583046640955</v>
      </c>
      <c r="F78" s="4604">
        <v>31.279821135541802</v>
      </c>
      <c r="G78" s="4604">
        <v>31.050283981445975</v>
      </c>
      <c r="H78" s="4604">
        <v>28.60780720592475</v>
      </c>
      <c r="I78" s="4604">
        <v>28.082964613263144</v>
      </c>
      <c r="J78" s="4604">
        <v>25.955049151476818</v>
      </c>
      <c r="K78" s="4604">
        <v>26.009564159105924</v>
      </c>
      <c r="L78" s="4604">
        <v>25.840552427776831</v>
      </c>
      <c r="M78" s="4604">
        <v>28.082684668804671</v>
      </c>
      <c r="N78" s="4604">
        <v>29.261616346284651</v>
      </c>
      <c r="O78" s="4604">
        <v>29.899373983783157</v>
      </c>
      <c r="P78" s="4604">
        <v>29.565182557813518</v>
      </c>
      <c r="Q78" s="4604">
        <v>29.111088787376804</v>
      </c>
      <c r="R78" s="4604">
        <v>30.077564142101188</v>
      </c>
      <c r="S78" s="4604">
        <v>30.186378438074414</v>
      </c>
      <c r="T78" s="4604">
        <v>31.664757250929309</v>
      </c>
      <c r="U78" s="4604">
        <v>33.056109109497648</v>
      </c>
    </row>
    <row r="79" spans="1:21" x14ac:dyDescent="0.2">
      <c r="D79" s="4606" t="s">
        <v>1825</v>
      </c>
      <c r="E79" s="4604">
        <v>15.348552168548469</v>
      </c>
      <c r="F79" s="4604">
        <v>16.727720869361381</v>
      </c>
      <c r="G79" s="4604">
        <v>16.436128287012679</v>
      </c>
      <c r="H79" s="4604">
        <v>15.309559486335328</v>
      </c>
      <c r="I79" s="4604">
        <v>14.705728618206923</v>
      </c>
      <c r="J79" s="4604">
        <v>14.734966545056366</v>
      </c>
      <c r="K79" s="4604">
        <v>13.512775447998388</v>
      </c>
      <c r="L79" s="4604">
        <v>15.955901048925055</v>
      </c>
      <c r="M79" s="4604">
        <v>16.584563029049672</v>
      </c>
      <c r="N79" s="4604">
        <v>17.693728516011891</v>
      </c>
      <c r="O79" s="4604">
        <v>18.090229302861054</v>
      </c>
      <c r="P79" s="4604">
        <v>18.187009451508718</v>
      </c>
      <c r="Q79" s="4604">
        <v>18.588248762915565</v>
      </c>
      <c r="R79" s="4604">
        <v>19.094579058322445</v>
      </c>
      <c r="S79" s="4604">
        <v>19.518242457226449</v>
      </c>
      <c r="T79" s="4604">
        <v>21.140483132434824</v>
      </c>
      <c r="U79" s="4604">
        <v>21.985828119422994</v>
      </c>
    </row>
    <row r="80" spans="1:21" x14ac:dyDescent="0.2">
      <c r="D80" s="4605" t="s">
        <v>1824</v>
      </c>
      <c r="E80" s="4604">
        <v>11.413586942521773</v>
      </c>
      <c r="F80" s="4604">
        <v>13.255828788899427</v>
      </c>
      <c r="G80" s="4604">
        <v>12.562898806553372</v>
      </c>
      <c r="H80" s="4604">
        <v>10.643161935657966</v>
      </c>
      <c r="I80" s="4604">
        <v>10.560847323939962</v>
      </c>
      <c r="J80" s="4604">
        <v>9.9807886244265802</v>
      </c>
      <c r="K80" s="4604">
        <v>10.378274219367707</v>
      </c>
      <c r="L80" s="4604">
        <v>10.262524243664069</v>
      </c>
      <c r="M80" s="4604">
        <v>11.216521355769235</v>
      </c>
      <c r="N80" s="4604">
        <v>12.601007273356682</v>
      </c>
      <c r="O80" s="4604">
        <v>12.601867539017034</v>
      </c>
      <c r="P80" s="4604">
        <v>12.80590961334333</v>
      </c>
      <c r="Q80" s="4604">
        <v>12.769495079856002</v>
      </c>
      <c r="R80" s="4604">
        <v>13.374628573906866</v>
      </c>
      <c r="S80" s="4604">
        <v>14.07522840397036</v>
      </c>
      <c r="T80" s="4604">
        <v>14.843637471922699</v>
      </c>
      <c r="U80" s="4604">
        <v>15.920460816512314</v>
      </c>
    </row>
    <row r="81" spans="1:21" x14ac:dyDescent="0.2">
      <c r="D81" s="4606" t="s">
        <v>1823</v>
      </c>
      <c r="E81" s="4604">
        <v>8.3886179986402318</v>
      </c>
      <c r="F81" s="4604">
        <v>9.2104286438743177</v>
      </c>
      <c r="G81" s="4604">
        <v>8.3836251103396613</v>
      </c>
      <c r="H81" s="4604">
        <v>6.458066643082133</v>
      </c>
      <c r="I81" s="4604">
        <v>6.9382843179818439</v>
      </c>
      <c r="J81" s="4604">
        <v>5.1909668005062457</v>
      </c>
      <c r="K81" s="4604">
        <v>5.6456566792137934</v>
      </c>
      <c r="L81" s="4604">
        <v>6.7434230431741833</v>
      </c>
      <c r="M81" s="4604">
        <v>6.248783077057853</v>
      </c>
      <c r="N81" s="4604">
        <v>7.5805969331481302</v>
      </c>
      <c r="O81" s="4604">
        <v>6.209235517416734</v>
      </c>
      <c r="P81" s="4604">
        <v>7.0401361858174418</v>
      </c>
      <c r="Q81" s="4604">
        <v>7.6987400495165517</v>
      </c>
      <c r="R81" s="4604">
        <v>7.6526536126624354</v>
      </c>
      <c r="S81" s="4604">
        <v>8.694483992374046</v>
      </c>
      <c r="T81" s="4604">
        <v>9.0434368930705578</v>
      </c>
      <c r="U81" s="4604">
        <v>9.4892141374650567</v>
      </c>
    </row>
    <row r="82" spans="1:21" ht="15" x14ac:dyDescent="0.25">
      <c r="D82" s="4570"/>
      <c r="E82" s="4620"/>
      <c r="F82" s="4620"/>
      <c r="G82" s="4620"/>
      <c r="H82" s="4620"/>
      <c r="I82" s="4620"/>
      <c r="J82" s="4620"/>
      <c r="K82" s="4620"/>
      <c r="L82" s="4620"/>
      <c r="M82" s="4619"/>
      <c r="N82" s="4618"/>
      <c r="O82" s="4617"/>
      <c r="P82" s="4617"/>
      <c r="Q82" s="4617"/>
      <c r="R82" s="4617"/>
      <c r="S82" s="4617"/>
      <c r="T82" s="4617"/>
      <c r="U82" s="4617"/>
    </row>
    <row r="83" spans="1:21" x14ac:dyDescent="0.2">
      <c r="D83" s="4613" t="s">
        <v>6</v>
      </c>
      <c r="E83" s="4612" t="s">
        <v>1822</v>
      </c>
      <c r="F83" s="1520"/>
      <c r="G83" s="4616"/>
      <c r="H83" s="4616"/>
      <c r="I83" s="4615"/>
      <c r="J83" s="4614"/>
      <c r="K83" s="4614"/>
      <c r="L83" s="4614"/>
      <c r="M83" s="4614"/>
      <c r="N83" s="4614"/>
      <c r="O83" s="4613"/>
      <c r="P83" s="4612"/>
    </row>
    <row r="84" spans="1:21" x14ac:dyDescent="0.2">
      <c r="D84" s="4605" t="s">
        <v>69</v>
      </c>
      <c r="E84" s="4611">
        <v>2001</v>
      </c>
      <c r="F84" s="4611">
        <v>2002</v>
      </c>
      <c r="G84" s="4611">
        <v>2003</v>
      </c>
      <c r="H84" s="4611">
        <v>2004</v>
      </c>
      <c r="I84" s="4611">
        <v>2005</v>
      </c>
      <c r="J84" s="4611">
        <v>2006</v>
      </c>
      <c r="K84" s="4610">
        <v>2007</v>
      </c>
      <c r="L84" s="4608">
        <v>2008</v>
      </c>
      <c r="M84" s="4609">
        <v>2009</v>
      </c>
      <c r="N84" s="4609">
        <v>2010</v>
      </c>
      <c r="O84" s="4608">
        <v>2011</v>
      </c>
      <c r="P84" s="4608">
        <v>2012</v>
      </c>
      <c r="Q84" s="4607">
        <v>2013</v>
      </c>
      <c r="R84" s="4607">
        <v>2014</v>
      </c>
      <c r="S84" s="4607">
        <v>2015</v>
      </c>
      <c r="T84" s="4607">
        <v>2016</v>
      </c>
      <c r="U84" s="4607">
        <v>2017</v>
      </c>
    </row>
    <row r="85" spans="1:21" x14ac:dyDescent="0.2">
      <c r="D85" s="4606" t="s">
        <v>467</v>
      </c>
      <c r="E85" s="4604">
        <v>23.101379139970167</v>
      </c>
      <c r="F85" s="4604">
        <v>23.492320629291797</v>
      </c>
      <c r="G85" s="4604">
        <v>23.650080464090003</v>
      </c>
      <c r="H85" s="4604">
        <v>21.235770232243663</v>
      </c>
      <c r="I85" s="4604">
        <v>20.044935929696557</v>
      </c>
      <c r="J85" s="4604">
        <v>18.602495329239574</v>
      </c>
      <c r="K85" s="4604">
        <v>18.778540766305767</v>
      </c>
      <c r="L85" s="4604">
        <v>19.81545602356757</v>
      </c>
      <c r="M85" s="4604">
        <v>28.7</v>
      </c>
      <c r="N85" s="4604">
        <v>31.3</v>
      </c>
      <c r="O85" s="4604">
        <v>31.6</v>
      </c>
      <c r="P85" s="4603">
        <v>31.7</v>
      </c>
      <c r="Q85" s="4602">
        <v>31.9</v>
      </c>
      <c r="R85" s="4602">
        <v>32.1</v>
      </c>
      <c r="S85" s="4602">
        <v>31.1</v>
      </c>
      <c r="T85" s="4602">
        <v>32.6</v>
      </c>
      <c r="U85" s="4602"/>
    </row>
    <row r="86" spans="1:21" x14ac:dyDescent="0.2">
      <c r="D86" s="4605" t="s">
        <v>468</v>
      </c>
      <c r="E86" s="4604">
        <v>27.89460265947573</v>
      </c>
      <c r="F86" s="4604">
        <v>31.314679766110636</v>
      </c>
      <c r="G86" s="4604">
        <v>31.067046720979004</v>
      </c>
      <c r="H86" s="4604">
        <v>28.691299661830982</v>
      </c>
      <c r="I86" s="4604">
        <v>28.200072991395604</v>
      </c>
      <c r="J86" s="4604">
        <v>27.144102580803679</v>
      </c>
      <c r="K86" s="4604">
        <v>26.395606418335216</v>
      </c>
      <c r="L86" s="4604">
        <v>25.892098930063263</v>
      </c>
      <c r="M86" s="4604">
        <v>36.6</v>
      </c>
      <c r="N86" s="4604">
        <v>40</v>
      </c>
      <c r="O86" s="4604">
        <v>40.200000000000003</v>
      </c>
      <c r="P86" s="4603">
        <v>40</v>
      </c>
      <c r="Q86" s="4602">
        <v>39.1</v>
      </c>
      <c r="R86" s="4602">
        <v>39</v>
      </c>
      <c r="S86" s="4602">
        <v>39</v>
      </c>
      <c r="T86" s="4602">
        <v>40.200000000000003</v>
      </c>
      <c r="U86" s="4602"/>
    </row>
    <row r="87" spans="1:21" s="4597" customFormat="1" x14ac:dyDescent="0.2">
      <c r="A87" s="4476"/>
      <c r="B87" s="4562"/>
      <c r="C87" s="4562"/>
      <c r="D87" s="4601" t="s">
        <v>257</v>
      </c>
      <c r="E87" s="4600">
        <v>25.370740413489457</v>
      </c>
      <c r="F87" s="4600">
        <v>27.180508501508342</v>
      </c>
      <c r="G87" s="4600">
        <v>27.115766702024651</v>
      </c>
      <c r="H87" s="4600">
        <v>24.672790326915688</v>
      </c>
      <c r="I87" s="4600">
        <v>23.839990494289935</v>
      </c>
      <c r="J87" s="4600">
        <v>22.615760539777646</v>
      </c>
      <c r="K87" s="4600">
        <v>22.326519139844585</v>
      </c>
      <c r="L87" s="4600">
        <v>22.54877278267687</v>
      </c>
      <c r="M87" s="4600">
        <v>32.4</v>
      </c>
      <c r="N87" s="4600">
        <v>35.4</v>
      </c>
      <c r="O87" s="4600">
        <v>35.6</v>
      </c>
      <c r="P87" s="4599">
        <v>35.6</v>
      </c>
      <c r="Q87" s="4598">
        <v>35.299999999999997</v>
      </c>
      <c r="R87" s="4598">
        <v>35.299999999999997</v>
      </c>
      <c r="S87" s="4598">
        <v>34.799999999999997</v>
      </c>
      <c r="T87" s="4598">
        <v>36.1</v>
      </c>
      <c r="U87" s="4598"/>
    </row>
  </sheetData>
  <sheetProtection selectLockedCells="1"/>
  <mergeCells count="7">
    <mergeCell ref="D66:U66"/>
    <mergeCell ref="D67:U67"/>
    <mergeCell ref="D68:U68"/>
    <mergeCell ref="D2:U2"/>
    <mergeCell ref="D3:U3"/>
    <mergeCell ref="D4:U4"/>
    <mergeCell ref="D65:U65"/>
  </mergeCells>
  <pageMargins left="0.74803149606299213" right="0.74803149606299213" top="0.98425196850393704" bottom="0.98425196850393704" header="0.51181102362204722" footer="0.51181102362204722"/>
  <pageSetup paperSize="9" scale="4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O45"/>
  <sheetViews>
    <sheetView showGridLines="0" view="pageBreakPreview" topLeftCell="A15" zoomScale="80" zoomScaleNormal="100" zoomScaleSheetLayoutView="80" workbookViewId="0">
      <selection activeCell="I125" sqref="I125"/>
    </sheetView>
  </sheetViews>
  <sheetFormatPr defaultColWidth="9.140625" defaultRowHeight="15" x14ac:dyDescent="0.25"/>
  <cols>
    <col min="1" max="1" width="3.7109375" style="1681" customWidth="1"/>
    <col min="2" max="2" width="14.42578125" style="179" customWidth="1"/>
    <col min="3" max="3" width="3.7109375" style="783" customWidth="1"/>
    <col min="4" max="4" width="21.85546875" style="196" bestFit="1" customWidth="1"/>
    <col min="5" max="5" width="10.28515625" style="196" customWidth="1"/>
    <col min="6" max="10" width="13" style="196" customWidth="1"/>
    <col min="11" max="12" width="13" style="44" customWidth="1"/>
    <col min="13" max="16" width="11.140625" style="53" customWidth="1"/>
    <col min="17" max="17" width="11.42578125" style="53" customWidth="1"/>
    <col min="18" max="18" width="9.85546875" style="53" bestFit="1" customWidth="1"/>
    <col min="19" max="16384" width="9.140625" style="53"/>
  </cols>
  <sheetData>
    <row r="1" spans="1:23" x14ac:dyDescent="0.25">
      <c r="D1" s="1059"/>
      <c r="E1" s="1059"/>
      <c r="F1" s="1059"/>
      <c r="G1" s="1059"/>
      <c r="H1" s="1059"/>
      <c r="I1" s="1059"/>
      <c r="J1" s="1059"/>
      <c r="K1" s="115"/>
      <c r="L1" s="115"/>
      <c r="M1" s="125"/>
      <c r="N1" s="125"/>
      <c r="O1" s="125"/>
      <c r="P1" s="125"/>
      <c r="Q1" s="125"/>
      <c r="R1" s="125"/>
      <c r="S1" s="125"/>
      <c r="T1" s="125"/>
      <c r="U1" s="125"/>
    </row>
    <row r="2" spans="1:23" ht="12.75" customHeight="1" x14ac:dyDescent="0.25">
      <c r="A2" s="1680">
        <v>1</v>
      </c>
      <c r="B2" s="902" t="s">
        <v>0</v>
      </c>
      <c r="C2" s="782">
        <v>19</v>
      </c>
      <c r="D2" s="4145" t="s">
        <v>1875</v>
      </c>
      <c r="E2" s="4146"/>
      <c r="F2" s="4146"/>
      <c r="G2" s="4146"/>
      <c r="H2" s="4146"/>
      <c r="I2" s="4146"/>
      <c r="J2" s="4146"/>
      <c r="K2" s="4146"/>
      <c r="L2" s="4146"/>
      <c r="M2" s="4146"/>
      <c r="N2" s="4146"/>
      <c r="O2" s="4146"/>
      <c r="P2" s="4146"/>
      <c r="Q2" s="4147"/>
      <c r="R2" s="4761"/>
      <c r="S2" s="4761"/>
      <c r="T2" s="4761"/>
      <c r="U2" s="4761"/>
      <c r="V2" s="4698"/>
      <c r="W2" s="4697"/>
    </row>
    <row r="3" spans="1:23" x14ac:dyDescent="0.25">
      <c r="A3" s="1680">
        <v>2</v>
      </c>
      <c r="B3" s="902" t="s">
        <v>2</v>
      </c>
      <c r="C3" s="782"/>
      <c r="D3" s="4145" t="s">
        <v>1874</v>
      </c>
      <c r="E3" s="4146"/>
      <c r="F3" s="4146"/>
      <c r="G3" s="4146"/>
      <c r="H3" s="4146"/>
      <c r="I3" s="4146"/>
      <c r="J3" s="4146"/>
      <c r="K3" s="4146"/>
      <c r="L3" s="4146"/>
      <c r="M3" s="4146"/>
      <c r="N3" s="4146"/>
      <c r="O3" s="4146"/>
      <c r="P3" s="4146"/>
      <c r="Q3" s="4147"/>
      <c r="R3" s="4761"/>
      <c r="S3" s="4761"/>
      <c r="T3" s="4761"/>
      <c r="U3" s="4761"/>
      <c r="V3" s="4698"/>
      <c r="W3" s="4697"/>
    </row>
    <row r="4" spans="1:23" x14ac:dyDescent="0.25">
      <c r="A4" s="1680">
        <v>3</v>
      </c>
      <c r="B4" s="902" t="s">
        <v>4</v>
      </c>
      <c r="C4" s="782"/>
      <c r="D4" s="4145" t="s">
        <v>1873</v>
      </c>
      <c r="E4" s="4146"/>
      <c r="F4" s="4146"/>
      <c r="G4" s="4146"/>
      <c r="H4" s="4146"/>
      <c r="I4" s="4146"/>
      <c r="J4" s="4146"/>
      <c r="K4" s="4146"/>
      <c r="L4" s="4146"/>
      <c r="M4" s="4146"/>
      <c r="N4" s="4146"/>
      <c r="O4" s="4146"/>
      <c r="P4" s="4146"/>
      <c r="Q4" s="4147"/>
      <c r="R4" s="4761"/>
      <c r="S4" s="4761"/>
      <c r="T4" s="4761"/>
      <c r="U4" s="4761"/>
      <c r="V4" s="4698"/>
      <c r="W4" s="4697"/>
    </row>
    <row r="5" spans="1:23" x14ac:dyDescent="0.25">
      <c r="A5" s="4738"/>
      <c r="B5" s="365"/>
      <c r="C5" s="1000"/>
      <c r="D5" s="74"/>
      <c r="E5" s="74"/>
      <c r="F5" s="74"/>
      <c r="G5" s="74"/>
      <c r="H5" s="74"/>
      <c r="I5" s="74"/>
      <c r="J5" s="74"/>
      <c r="K5" s="74"/>
      <c r="L5" s="74"/>
      <c r="M5" s="52"/>
      <c r="N5" s="52"/>
      <c r="O5" s="52"/>
      <c r="P5" s="52"/>
      <c r="Q5" s="52"/>
      <c r="R5" s="52"/>
      <c r="S5" s="52"/>
      <c r="T5" s="52"/>
      <c r="U5" s="52"/>
      <c r="V5" s="52"/>
      <c r="W5" s="52"/>
    </row>
    <row r="6" spans="1:23" x14ac:dyDescent="0.25">
      <c r="A6" s="1680">
        <v>4</v>
      </c>
      <c r="B6" s="902" t="s">
        <v>6</v>
      </c>
      <c r="C6" s="902"/>
      <c r="D6" s="180" t="s">
        <v>40</v>
      </c>
      <c r="E6" s="180" t="s">
        <v>1872</v>
      </c>
      <c r="F6" s="148"/>
      <c r="G6" s="148"/>
      <c r="H6" s="148"/>
      <c r="I6" s="148"/>
      <c r="J6" s="148"/>
      <c r="K6" s="148"/>
      <c r="L6" s="139"/>
      <c r="M6" s="139"/>
      <c r="N6" s="139"/>
      <c r="O6" s="139"/>
      <c r="P6" s="139"/>
      <c r="Q6" s="139"/>
      <c r="R6" s="139"/>
      <c r="S6" s="139"/>
      <c r="T6" s="139"/>
      <c r="U6" s="139"/>
      <c r="V6" s="52"/>
      <c r="W6" s="52"/>
    </row>
    <row r="7" spans="1:23" ht="16.5" customHeight="1" x14ac:dyDescent="0.25">
      <c r="A7" s="4738"/>
      <c r="B7" s="365"/>
      <c r="C7" s="1000"/>
      <c r="D7" s="4760"/>
      <c r="E7" s="4759" t="s">
        <v>141</v>
      </c>
      <c r="F7" s="4758" t="s">
        <v>142</v>
      </c>
      <c r="G7" s="4757" t="s">
        <v>143</v>
      </c>
      <c r="H7" s="4757" t="s">
        <v>144</v>
      </c>
      <c r="I7" s="4757" t="s">
        <v>145</v>
      </c>
      <c r="J7" s="4757" t="s">
        <v>8</v>
      </c>
      <c r="K7" s="4757" t="s">
        <v>9</v>
      </c>
      <c r="L7" s="4757" t="s">
        <v>10</v>
      </c>
      <c r="M7" s="4757" t="s">
        <v>11</v>
      </c>
      <c r="N7" s="4757" t="s">
        <v>12</v>
      </c>
      <c r="O7" s="4756" t="s">
        <v>13</v>
      </c>
      <c r="P7" s="4756" t="s">
        <v>14</v>
      </c>
      <c r="Q7" s="4755" t="s">
        <v>15</v>
      </c>
      <c r="R7" s="139"/>
      <c r="S7" s="139"/>
      <c r="T7" s="139"/>
      <c r="U7" s="52"/>
      <c r="V7" s="52"/>
    </row>
    <row r="8" spans="1:23" ht="13.5" customHeight="1" x14ac:dyDescent="0.25">
      <c r="A8" s="4738"/>
      <c r="B8" s="365"/>
      <c r="C8" s="1000"/>
      <c r="D8" s="4754" t="s">
        <v>214</v>
      </c>
      <c r="E8" s="4753">
        <v>158277</v>
      </c>
      <c r="F8" s="4752">
        <v>277100</v>
      </c>
      <c r="G8" s="4752">
        <v>158277</v>
      </c>
      <c r="H8" s="4751">
        <v>109900</v>
      </c>
      <c r="I8" s="4750">
        <v>398780</v>
      </c>
      <c r="J8" s="4750">
        <v>263457</v>
      </c>
      <c r="K8" s="4750">
        <v>277100</v>
      </c>
      <c r="L8" s="4750">
        <v>374591</v>
      </c>
      <c r="M8" s="4750">
        <v>340676</v>
      </c>
      <c r="N8" s="4750">
        <v>391555</v>
      </c>
      <c r="O8" s="4749">
        <v>409209</v>
      </c>
      <c r="P8" s="4749">
        <v>202481</v>
      </c>
      <c r="Q8" s="4748">
        <v>263510</v>
      </c>
      <c r="R8" s="139"/>
      <c r="S8" s="139"/>
      <c r="T8" s="139"/>
      <c r="U8" s="52"/>
      <c r="V8" s="52"/>
    </row>
    <row r="9" spans="1:23" ht="14.25" customHeight="1" x14ac:dyDescent="0.25">
      <c r="A9" s="4738"/>
      <c r="B9" s="365"/>
      <c r="C9" s="1000"/>
      <c r="D9" s="4754" t="s">
        <v>1871</v>
      </c>
      <c r="E9" s="4753">
        <v>58796</v>
      </c>
      <c r="F9" s="4752">
        <v>107189</v>
      </c>
      <c r="G9" s="4752">
        <v>58796</v>
      </c>
      <c r="H9" s="4751">
        <v>30641</v>
      </c>
      <c r="I9" s="4750">
        <v>99987</v>
      </c>
      <c r="J9" s="4750">
        <v>95942</v>
      </c>
      <c r="K9" s="4750">
        <v>107189</v>
      </c>
      <c r="L9" s="4750">
        <v>164475</v>
      </c>
      <c r="M9" s="4750">
        <v>244112</v>
      </c>
      <c r="N9" s="4750">
        <v>205870</v>
      </c>
      <c r="O9" s="4749">
        <v>221090</v>
      </c>
      <c r="P9" s="4749">
        <v>147785</v>
      </c>
      <c r="Q9" s="4748">
        <v>200281</v>
      </c>
      <c r="R9" s="139"/>
      <c r="S9" s="139"/>
      <c r="T9" s="139"/>
      <c r="U9" s="52"/>
      <c r="V9" s="52"/>
    </row>
    <row r="10" spans="1:23" ht="14.45" customHeight="1" x14ac:dyDescent="0.25">
      <c r="A10" s="4738"/>
      <c r="B10" s="365"/>
      <c r="C10" s="1000"/>
      <c r="D10" s="4754" t="s">
        <v>1870</v>
      </c>
      <c r="E10" s="4753">
        <v>1650</v>
      </c>
      <c r="F10" s="4752">
        <v>131979</v>
      </c>
      <c r="G10" s="4752">
        <v>1650</v>
      </c>
      <c r="H10" s="4751"/>
      <c r="I10" s="4750">
        <v>64981</v>
      </c>
      <c r="J10" s="4750">
        <v>206421</v>
      </c>
      <c r="K10" s="4750">
        <v>131979</v>
      </c>
      <c r="L10" s="4750">
        <v>164662</v>
      </c>
      <c r="M10" s="4750">
        <v>171668</v>
      </c>
      <c r="N10" s="4750">
        <v>191516</v>
      </c>
      <c r="O10" s="4749">
        <v>224606</v>
      </c>
      <c r="P10" s="4749">
        <v>113371</v>
      </c>
      <c r="Q10" s="4748">
        <v>149006</v>
      </c>
      <c r="R10" s="139"/>
      <c r="S10" s="139"/>
      <c r="T10" s="139"/>
      <c r="U10" s="52"/>
      <c r="V10" s="52"/>
    </row>
    <row r="11" spans="1:23" ht="14.45" customHeight="1" x14ac:dyDescent="0.25">
      <c r="A11" s="4738"/>
      <c r="B11" s="365"/>
      <c r="C11" s="1000"/>
      <c r="D11" s="4754" t="s">
        <v>1869</v>
      </c>
      <c r="E11" s="4753">
        <v>4687</v>
      </c>
      <c r="F11" s="4752"/>
      <c r="G11" s="4752">
        <v>4687</v>
      </c>
      <c r="H11" s="4751">
        <v>3515</v>
      </c>
      <c r="I11" s="4750">
        <v>7067</v>
      </c>
      <c r="J11" s="4750"/>
      <c r="K11" s="4750"/>
      <c r="L11" s="4750"/>
      <c r="M11" s="4750"/>
      <c r="N11" s="4750"/>
      <c r="O11" s="4749"/>
      <c r="P11" s="4749"/>
      <c r="Q11" s="4748"/>
      <c r="R11" s="139"/>
      <c r="S11" s="125"/>
      <c r="T11" s="139"/>
      <c r="U11" s="52"/>
      <c r="V11" s="52"/>
    </row>
    <row r="12" spans="1:23" ht="14.45" customHeight="1" x14ac:dyDescent="0.25">
      <c r="A12" s="4738"/>
      <c r="B12" s="365"/>
      <c r="C12" s="1000"/>
      <c r="D12" s="4754" t="s">
        <v>1860</v>
      </c>
      <c r="E12" s="4753"/>
      <c r="F12" s="4752"/>
      <c r="G12" s="4752"/>
      <c r="H12" s="4751"/>
      <c r="I12" s="4750"/>
      <c r="J12" s="4750">
        <v>60039</v>
      </c>
      <c r="K12" s="4750"/>
      <c r="L12" s="4750"/>
      <c r="M12" s="4750"/>
      <c r="N12" s="4750"/>
      <c r="O12" s="4749"/>
      <c r="P12" s="4749"/>
      <c r="Q12" s="4748"/>
      <c r="R12" s="139"/>
      <c r="S12" s="125"/>
      <c r="T12" s="139"/>
      <c r="U12" s="52"/>
      <c r="V12" s="52"/>
    </row>
    <row r="13" spans="1:23" ht="14.45" customHeight="1" x14ac:dyDescent="0.25">
      <c r="A13" s="4738"/>
      <c r="B13" s="365"/>
      <c r="C13" s="1000"/>
      <c r="D13" s="4754" t="s">
        <v>1859</v>
      </c>
      <c r="E13" s="4753"/>
      <c r="F13" s="4752">
        <v>92139</v>
      </c>
      <c r="G13" s="4752"/>
      <c r="H13" s="4751"/>
      <c r="I13" s="4750"/>
      <c r="J13" s="4750"/>
      <c r="K13" s="4750">
        <v>92136</v>
      </c>
      <c r="L13" s="4750">
        <v>100179</v>
      </c>
      <c r="M13" s="4750">
        <v>144538</v>
      </c>
      <c r="N13" s="4750">
        <v>176679</v>
      </c>
      <c r="O13" s="4749">
        <v>198707</v>
      </c>
      <c r="P13" s="4749">
        <v>221375</v>
      </c>
      <c r="Q13" s="4748">
        <v>107318</v>
      </c>
      <c r="R13" s="139"/>
      <c r="S13" s="125"/>
      <c r="T13" s="139"/>
      <c r="U13" s="52"/>
      <c r="V13" s="52"/>
    </row>
    <row r="14" spans="1:23" ht="14.45" customHeight="1" x14ac:dyDescent="0.25">
      <c r="A14" s="4738"/>
      <c r="B14" s="365"/>
      <c r="C14" s="1000"/>
      <c r="D14" s="4754" t="s">
        <v>1858</v>
      </c>
      <c r="E14" s="4753"/>
      <c r="F14" s="4752">
        <v>34712</v>
      </c>
      <c r="G14" s="4752"/>
      <c r="H14" s="4751"/>
      <c r="I14" s="4750"/>
      <c r="J14" s="4750"/>
      <c r="K14" s="4750">
        <v>34712</v>
      </c>
      <c r="L14" s="4750">
        <v>39552</v>
      </c>
      <c r="M14" s="4750">
        <v>40599</v>
      </c>
      <c r="N14" s="4750">
        <v>51645</v>
      </c>
      <c r="O14" s="4749">
        <v>50371</v>
      </c>
      <c r="P14" s="4749">
        <v>56528</v>
      </c>
      <c r="Q14" s="4748">
        <v>59130</v>
      </c>
      <c r="R14" s="139"/>
      <c r="S14" s="125"/>
      <c r="T14" s="139"/>
      <c r="U14" s="52"/>
      <c r="V14" s="52"/>
    </row>
    <row r="15" spans="1:23" x14ac:dyDescent="0.25">
      <c r="A15" s="4738"/>
      <c r="B15" s="365"/>
      <c r="C15" s="1000"/>
      <c r="D15" s="4747" t="s">
        <v>1868</v>
      </c>
      <c r="E15" s="4746">
        <f>SUM(E8:E14)</f>
        <v>223410</v>
      </c>
      <c r="F15" s="4746">
        <f>SUM(F8:F14)</f>
        <v>643119</v>
      </c>
      <c r="G15" s="4746">
        <f>SUM(G8:G14)</f>
        <v>223410</v>
      </c>
      <c r="H15" s="4746">
        <f>SUM(H8:H14)</f>
        <v>144056</v>
      </c>
      <c r="I15" s="4746">
        <f>SUM(I8:I14)</f>
        <v>570815</v>
      </c>
      <c r="J15" s="4746">
        <f>SUM(J8:J14)</f>
        <v>625859</v>
      </c>
      <c r="K15" s="4746">
        <f>SUM(K8:K14)</f>
        <v>643116</v>
      </c>
      <c r="L15" s="4746">
        <f>SUM(L8:L14)</f>
        <v>843459</v>
      </c>
      <c r="M15" s="4746">
        <f>SUM(M8:M14)</f>
        <v>941593</v>
      </c>
      <c r="N15" s="4746">
        <f>SUM(N8:N14)</f>
        <v>1017265</v>
      </c>
      <c r="O15" s="4746">
        <f>SUM(O8:O14)</f>
        <v>1103983</v>
      </c>
      <c r="P15" s="4746">
        <f>SUM(P8:P14)</f>
        <v>741540</v>
      </c>
      <c r="Q15" s="4746">
        <f>SUM(Q8:Q14)</f>
        <v>779245</v>
      </c>
      <c r="R15" s="139"/>
      <c r="S15" s="139"/>
      <c r="T15" s="139"/>
      <c r="U15" s="52"/>
      <c r="V15" s="52"/>
    </row>
    <row r="16" spans="1:23" x14ac:dyDescent="0.25">
      <c r="A16" s="4738"/>
      <c r="B16" s="365"/>
      <c r="C16" s="1000"/>
      <c r="D16" s="3286" t="s">
        <v>1867</v>
      </c>
      <c r="E16" s="4745">
        <f>E15</f>
        <v>223410</v>
      </c>
      <c r="F16" s="4744">
        <f>E16+F15</f>
        <v>866529</v>
      </c>
      <c r="G16" s="4744">
        <f>G15+F16</f>
        <v>1089939</v>
      </c>
      <c r="H16" s="4743">
        <f>H15+G16</f>
        <v>1233995</v>
      </c>
      <c r="I16" s="4742">
        <f>H16+I15</f>
        <v>1804810</v>
      </c>
      <c r="J16" s="4742">
        <f>I16+J15</f>
        <v>2430669</v>
      </c>
      <c r="K16" s="4742">
        <f>J16+K15</f>
        <v>3073785</v>
      </c>
      <c r="L16" s="4742">
        <f>K16+L15</f>
        <v>3917244</v>
      </c>
      <c r="M16" s="4742">
        <f>L16+M15</f>
        <v>4858837</v>
      </c>
      <c r="N16" s="4742">
        <f>M16+N15</f>
        <v>5876102</v>
      </c>
      <c r="O16" s="4742">
        <f>N16+O15</f>
        <v>6980085</v>
      </c>
      <c r="P16" s="4742">
        <f>O16+P15</f>
        <v>7721625</v>
      </c>
      <c r="Q16" s="4742">
        <f>P16+Q15</f>
        <v>8500870</v>
      </c>
      <c r="R16" s="139"/>
      <c r="S16" s="139"/>
      <c r="T16" s="139"/>
      <c r="U16" s="52"/>
      <c r="V16" s="52"/>
    </row>
    <row r="17" spans="1:249" x14ac:dyDescent="0.25">
      <c r="A17" s="4738"/>
      <c r="B17" s="365"/>
      <c r="C17" s="1000"/>
      <c r="D17" s="139"/>
      <c r="E17" s="4741"/>
      <c r="F17" s="4741"/>
      <c r="G17" s="4741"/>
      <c r="H17" s="4740"/>
      <c r="I17" s="4739"/>
      <c r="J17" s="4739"/>
      <c r="K17" s="4739"/>
      <c r="L17" s="4739"/>
      <c r="M17" s="4739"/>
      <c r="N17" s="4739"/>
      <c r="O17" s="4739"/>
      <c r="P17" s="4739"/>
      <c r="Q17" s="4739"/>
      <c r="R17" s="139"/>
      <c r="S17" s="139"/>
      <c r="T17" s="139"/>
      <c r="U17" s="52"/>
      <c r="V17" s="52"/>
    </row>
    <row r="18" spans="1:249" x14ac:dyDescent="0.25">
      <c r="A18" s="4738"/>
      <c r="B18" s="365"/>
      <c r="C18" s="1000"/>
      <c r="D18" s="371" t="s">
        <v>67</v>
      </c>
      <c r="E18" s="4720" t="s">
        <v>1866</v>
      </c>
      <c r="F18" s="139"/>
      <c r="G18" s="370"/>
      <c r="H18" s="370"/>
      <c r="I18" s="370"/>
      <c r="J18" s="139"/>
      <c r="K18" s="139"/>
      <c r="L18" s="52"/>
      <c r="P18" s="4737"/>
      <c r="Q18" s="4737"/>
    </row>
    <row r="19" spans="1:249" s="74" customFormat="1" ht="48.75" customHeight="1" x14ac:dyDescent="0.2">
      <c r="A19" s="1692"/>
      <c r="B19" s="1166"/>
      <c r="C19" s="1082"/>
      <c r="D19" s="4719"/>
      <c r="E19" s="4736" t="s">
        <v>1856</v>
      </c>
      <c r="F19" s="4735" t="s">
        <v>1865</v>
      </c>
      <c r="G19" s="4735" t="s">
        <v>1854</v>
      </c>
      <c r="H19" s="4735" t="s">
        <v>1853</v>
      </c>
      <c r="I19" s="4735" t="s">
        <v>16</v>
      </c>
      <c r="J19" s="4735" t="s">
        <v>1864</v>
      </c>
      <c r="K19" s="4734" t="s">
        <v>18</v>
      </c>
      <c r="L19" s="52"/>
      <c r="M19" s="52"/>
      <c r="N19" s="52"/>
      <c r="O19" s="4733"/>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row>
    <row r="20" spans="1:249" s="74" customFormat="1" ht="13.5" customHeight="1" x14ac:dyDescent="0.2">
      <c r="A20" s="1692"/>
      <c r="B20" s="1166"/>
      <c r="C20" s="1082"/>
      <c r="D20" s="4715" t="s">
        <v>1863</v>
      </c>
      <c r="E20" s="4728">
        <v>5553</v>
      </c>
      <c r="F20" s="4727">
        <v>92930</v>
      </c>
      <c r="G20" s="4727">
        <v>115</v>
      </c>
      <c r="H20" s="4727">
        <v>263510</v>
      </c>
      <c r="I20" s="4732">
        <v>42.33</v>
      </c>
      <c r="J20" s="4732">
        <v>56.25</v>
      </c>
      <c r="K20" s="4726">
        <v>0.64</v>
      </c>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row>
    <row r="21" spans="1:249" s="74" customFormat="1" ht="13.5" customHeight="1" x14ac:dyDescent="0.2">
      <c r="A21" s="1692"/>
      <c r="B21" s="1166"/>
      <c r="C21" s="1082"/>
      <c r="D21" s="4715" t="s">
        <v>1862</v>
      </c>
      <c r="E21" s="4728">
        <v>3339</v>
      </c>
      <c r="F21" s="4727">
        <v>62878</v>
      </c>
      <c r="G21" s="4727">
        <v>1761</v>
      </c>
      <c r="H21" s="4727">
        <v>200281</v>
      </c>
      <c r="I21" s="4732">
        <v>57.93</v>
      </c>
      <c r="J21" s="4732">
        <v>57.27</v>
      </c>
      <c r="K21" s="4726">
        <v>3.12</v>
      </c>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row>
    <row r="22" spans="1:249" s="74" customFormat="1" ht="13.5" customHeight="1" x14ac:dyDescent="0.2">
      <c r="A22" s="1692"/>
      <c r="B22" s="1166"/>
      <c r="C22" s="1082"/>
      <c r="D22" s="4715" t="s">
        <v>1861</v>
      </c>
      <c r="E22" s="4728">
        <v>4883</v>
      </c>
      <c r="F22" s="4727">
        <v>83819</v>
      </c>
      <c r="G22" s="4727">
        <v>581</v>
      </c>
      <c r="H22" s="4727">
        <v>149006</v>
      </c>
      <c r="I22" s="4732">
        <v>42.38</v>
      </c>
      <c r="J22" s="4732">
        <v>83.2</v>
      </c>
      <c r="K22" s="4726">
        <v>0.83</v>
      </c>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row>
    <row r="23" spans="1:249" s="74" customFormat="1" ht="13.5" customHeight="1" x14ac:dyDescent="0.2">
      <c r="A23" s="1692"/>
      <c r="B23" s="1166"/>
      <c r="C23" s="1082"/>
      <c r="D23" s="4731" t="s">
        <v>1860</v>
      </c>
      <c r="E23" s="4728"/>
      <c r="F23" s="4727"/>
      <c r="G23" s="4727"/>
      <c r="H23" s="4727"/>
      <c r="I23" s="4727"/>
      <c r="J23" s="4727"/>
      <c r="K23" s="4730"/>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row>
    <row r="24" spans="1:249" s="74" customFormat="1" ht="13.5" customHeight="1" x14ac:dyDescent="0.2">
      <c r="A24" s="1692"/>
      <c r="B24" s="1166"/>
      <c r="C24" s="1082"/>
      <c r="D24" s="4729" t="s">
        <v>1859</v>
      </c>
      <c r="E24" s="4728">
        <v>395</v>
      </c>
      <c r="F24" s="4727">
        <v>23320</v>
      </c>
      <c r="G24" s="4727">
        <v>9</v>
      </c>
      <c r="H24" s="4727">
        <v>59130</v>
      </c>
      <c r="I24" s="4727">
        <v>51.53</v>
      </c>
      <c r="J24" s="4727">
        <v>75.540000000000006</v>
      </c>
      <c r="K24" s="4726">
        <v>4.2300000000000004</v>
      </c>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row>
    <row r="25" spans="1:249" s="74" customFormat="1" ht="13.5" customHeight="1" x14ac:dyDescent="0.2">
      <c r="A25" s="1692"/>
      <c r="B25" s="1166"/>
      <c r="C25" s="1082"/>
      <c r="D25" s="4725" t="s">
        <v>1858</v>
      </c>
      <c r="E25" s="4724">
        <v>217</v>
      </c>
      <c r="F25" s="4723">
        <v>38875</v>
      </c>
      <c r="G25" s="4723">
        <v>64</v>
      </c>
      <c r="H25" s="4723">
        <v>107318</v>
      </c>
      <c r="I25" s="4723">
        <v>30.04</v>
      </c>
      <c r="J25" s="4723">
        <v>80.12</v>
      </c>
      <c r="K25" s="4722">
        <v>1.1499999999999999</v>
      </c>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row>
    <row r="26" spans="1:249" s="74" customFormat="1" ht="11.25" x14ac:dyDescent="0.2">
      <c r="A26" s="1692"/>
      <c r="B26" s="1166"/>
      <c r="C26" s="1082"/>
      <c r="E26" s="4721">
        <f>SUM(E20:E25)</f>
        <v>14387</v>
      </c>
      <c r="F26" s="4721">
        <f>SUM(F20:F25)</f>
        <v>301822</v>
      </c>
      <c r="G26" s="4721">
        <f>SUM(G20:G25)</f>
        <v>2530</v>
      </c>
      <c r="H26" s="4721">
        <f>SUM(H20:H25)</f>
        <v>779245</v>
      </c>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c r="IH26" s="52"/>
      <c r="II26" s="52"/>
      <c r="IJ26" s="52"/>
      <c r="IK26" s="52"/>
      <c r="IL26" s="52"/>
      <c r="IM26" s="52"/>
      <c r="IN26" s="52"/>
      <c r="IO26" s="52"/>
    </row>
    <row r="27" spans="1:249" s="74" customFormat="1" ht="11.25" x14ac:dyDescent="0.2">
      <c r="A27" s="1692"/>
      <c r="B27" s="1166"/>
      <c r="C27" s="108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c r="IH27" s="52"/>
      <c r="II27" s="52"/>
      <c r="IJ27" s="52"/>
      <c r="IK27" s="52"/>
      <c r="IL27" s="52"/>
      <c r="IM27" s="52"/>
      <c r="IN27" s="52"/>
      <c r="IO27" s="52"/>
    </row>
    <row r="28" spans="1:249" x14ac:dyDescent="0.25">
      <c r="D28" s="371" t="s">
        <v>258</v>
      </c>
      <c r="E28" s="4720" t="s">
        <v>1857</v>
      </c>
      <c r="F28" s="139"/>
      <c r="G28" s="370"/>
      <c r="H28" s="370"/>
      <c r="I28" s="370"/>
      <c r="J28" s="139"/>
      <c r="K28" s="139"/>
      <c r="L28" s="53"/>
    </row>
    <row r="29" spans="1:249" ht="49.5" customHeight="1" x14ac:dyDescent="0.25">
      <c r="D29" s="4719"/>
      <c r="E29" s="4718" t="s">
        <v>1856</v>
      </c>
      <c r="F29" s="4717" t="s">
        <v>1855</v>
      </c>
      <c r="G29" s="4717" t="s">
        <v>1854</v>
      </c>
      <c r="H29" s="4717" t="s">
        <v>1853</v>
      </c>
      <c r="I29" s="4717" t="s">
        <v>16</v>
      </c>
      <c r="J29" s="4717" t="s">
        <v>17</v>
      </c>
      <c r="K29" s="4716" t="s">
        <v>18</v>
      </c>
      <c r="L29" s="53"/>
    </row>
    <row r="30" spans="1:249" x14ac:dyDescent="0.25">
      <c r="D30" s="4715" t="s">
        <v>19</v>
      </c>
      <c r="E30" s="4714">
        <v>1588</v>
      </c>
      <c r="F30" s="4712">
        <v>49147</v>
      </c>
      <c r="G30" s="4713">
        <v>97</v>
      </c>
      <c r="H30" s="4712">
        <v>143198</v>
      </c>
      <c r="I30" s="1199">
        <v>37.57</v>
      </c>
      <c r="J30" s="1199">
        <v>64.400000000000006</v>
      </c>
      <c r="K30" s="4711">
        <v>1.76</v>
      </c>
      <c r="L30" s="53"/>
    </row>
    <row r="31" spans="1:249" x14ac:dyDescent="0.25">
      <c r="D31" s="4715" t="s">
        <v>1852</v>
      </c>
      <c r="E31" s="4714">
        <v>567</v>
      </c>
      <c r="F31" s="4712">
        <v>18766</v>
      </c>
      <c r="G31" s="4713">
        <v>145</v>
      </c>
      <c r="H31" s="4712">
        <v>41890</v>
      </c>
      <c r="I31" s="1199">
        <v>47.1</v>
      </c>
      <c r="J31" s="1199">
        <v>67.069999999999993</v>
      </c>
      <c r="K31" s="4711">
        <v>1.41</v>
      </c>
      <c r="L31" s="53"/>
    </row>
    <row r="32" spans="1:249" x14ac:dyDescent="0.25">
      <c r="D32" s="4715" t="s">
        <v>21</v>
      </c>
      <c r="E32" s="4714">
        <v>1245</v>
      </c>
      <c r="F32" s="4712">
        <v>39154</v>
      </c>
      <c r="G32" s="4713">
        <v>701</v>
      </c>
      <c r="H32" s="4712">
        <v>96051</v>
      </c>
      <c r="I32" s="1199">
        <v>56.92</v>
      </c>
      <c r="J32" s="1199">
        <v>57.03</v>
      </c>
      <c r="K32" s="4711">
        <v>1.69</v>
      </c>
      <c r="L32" s="53"/>
    </row>
    <row r="33" spans="1:23" x14ac:dyDescent="0.25">
      <c r="D33" s="4715" t="s">
        <v>22</v>
      </c>
      <c r="E33" s="4714">
        <v>2190</v>
      </c>
      <c r="F33" s="4712">
        <v>76138</v>
      </c>
      <c r="G33" s="4713">
        <v>328</v>
      </c>
      <c r="H33" s="4712">
        <v>180821</v>
      </c>
      <c r="I33" s="1199">
        <v>38.380000000000003</v>
      </c>
      <c r="J33" s="1199">
        <v>72.849999999999994</v>
      </c>
      <c r="K33" s="4711">
        <v>1.24</v>
      </c>
      <c r="L33" s="53"/>
    </row>
    <row r="34" spans="1:23" x14ac:dyDescent="0.25">
      <c r="D34" s="4715" t="s">
        <v>23</v>
      </c>
      <c r="E34" s="4714">
        <v>1221</v>
      </c>
      <c r="F34" s="4712">
        <v>28767</v>
      </c>
      <c r="G34" s="4713">
        <v>152</v>
      </c>
      <c r="H34" s="4712">
        <v>89526</v>
      </c>
      <c r="I34" s="1199">
        <v>42.23</v>
      </c>
      <c r="J34" s="1199">
        <v>72.38</v>
      </c>
      <c r="K34" s="4711">
        <v>2.0299999999999998</v>
      </c>
      <c r="L34" s="53"/>
    </row>
    <row r="35" spans="1:23" x14ac:dyDescent="0.25">
      <c r="D35" s="4715" t="s">
        <v>24</v>
      </c>
      <c r="E35" s="4714">
        <v>3702</v>
      </c>
      <c r="F35" s="4712">
        <v>29600</v>
      </c>
      <c r="G35" s="4713">
        <v>248</v>
      </c>
      <c r="H35" s="4712">
        <v>63360</v>
      </c>
      <c r="I35" s="1199">
        <v>48.22</v>
      </c>
      <c r="J35" s="1199">
        <v>69.89</v>
      </c>
      <c r="K35" s="4711">
        <v>1.41</v>
      </c>
      <c r="L35" s="53"/>
    </row>
    <row r="36" spans="1:23" x14ac:dyDescent="0.25">
      <c r="D36" s="4715" t="s">
        <v>25</v>
      </c>
      <c r="E36" s="4714">
        <v>935</v>
      </c>
      <c r="F36" s="4712">
        <v>19659</v>
      </c>
      <c r="G36" s="4713">
        <v>55</v>
      </c>
      <c r="H36" s="4712">
        <v>42122</v>
      </c>
      <c r="I36" s="1199">
        <v>47.14</v>
      </c>
      <c r="J36" s="1199">
        <v>70.260000000000005</v>
      </c>
      <c r="K36" s="4711">
        <v>1.5</v>
      </c>
      <c r="L36" s="53"/>
    </row>
    <row r="37" spans="1:23" x14ac:dyDescent="0.25">
      <c r="D37" s="4715" t="s">
        <v>26</v>
      </c>
      <c r="E37" s="4714">
        <v>598</v>
      </c>
      <c r="F37" s="4712">
        <v>11837</v>
      </c>
      <c r="G37" s="4713">
        <v>41</v>
      </c>
      <c r="H37" s="4712">
        <v>33324</v>
      </c>
      <c r="I37" s="1199">
        <v>48.59</v>
      </c>
      <c r="J37" s="1199">
        <v>62.08</v>
      </c>
      <c r="K37" s="4711">
        <v>2.31</v>
      </c>
      <c r="L37" s="53"/>
    </row>
    <row r="38" spans="1:23" x14ac:dyDescent="0.25">
      <c r="D38" s="4710" t="s">
        <v>27</v>
      </c>
      <c r="E38" s="4709">
        <v>2341</v>
      </c>
      <c r="F38" s="4707">
        <v>28752</v>
      </c>
      <c r="G38" s="4708">
        <v>762</v>
      </c>
      <c r="H38" s="4707">
        <v>88953</v>
      </c>
      <c r="I38" s="4706">
        <v>57.82</v>
      </c>
      <c r="J38" s="4706">
        <v>57.74</v>
      </c>
      <c r="K38" s="4705">
        <v>2.06</v>
      </c>
      <c r="L38" s="53"/>
    </row>
    <row r="39" spans="1:23" x14ac:dyDescent="0.25">
      <c r="D39" s="4704" t="s">
        <v>28</v>
      </c>
      <c r="E39" s="4703">
        <f>SUM(E30:E38)</f>
        <v>14387</v>
      </c>
      <c r="F39" s="4702">
        <f>SUM(F30:F38)</f>
        <v>301820</v>
      </c>
      <c r="G39" s="4702">
        <f>SUM(G30:G38)</f>
        <v>2529</v>
      </c>
      <c r="H39" s="4702">
        <f>SUM(H30:H38)</f>
        <v>779245</v>
      </c>
      <c r="I39" s="4701"/>
      <c r="J39" s="4701"/>
      <c r="K39" s="4700"/>
      <c r="L39" s="53"/>
    </row>
    <row r="40" spans="1:23" x14ac:dyDescent="0.25">
      <c r="D40" s="71"/>
      <c r="E40" s="4699"/>
      <c r="F40" s="4699"/>
      <c r="G40" s="4699"/>
      <c r="H40" s="4699"/>
      <c r="I40" s="1231"/>
      <c r="J40" s="1231"/>
      <c r="K40" s="1231"/>
      <c r="L40" s="53"/>
    </row>
    <row r="41" spans="1:23" ht="12.75" customHeight="1" x14ac:dyDescent="0.25">
      <c r="A41" s="1680">
        <v>5</v>
      </c>
      <c r="B41" s="902" t="s">
        <v>29</v>
      </c>
      <c r="C41" s="782"/>
      <c r="D41" s="4048" t="s">
        <v>30</v>
      </c>
      <c r="E41" s="4049"/>
      <c r="F41" s="4049"/>
      <c r="G41" s="4049"/>
      <c r="H41" s="4049"/>
      <c r="I41" s="4049"/>
      <c r="J41" s="4049"/>
      <c r="K41" s="4049"/>
      <c r="L41" s="4049"/>
      <c r="M41" s="4049"/>
      <c r="N41" s="4049"/>
      <c r="O41" s="4049"/>
      <c r="P41" s="4049"/>
      <c r="Q41" s="4050"/>
      <c r="R41" s="4009"/>
      <c r="S41" s="4009"/>
      <c r="T41" s="4009"/>
      <c r="U41" s="4009"/>
      <c r="V41" s="4698"/>
      <c r="W41" s="4697"/>
    </row>
    <row r="42" spans="1:23" ht="44.25" customHeight="1" x14ac:dyDescent="0.25">
      <c r="A42" s="4696">
        <v>6</v>
      </c>
      <c r="B42" s="1441" t="s">
        <v>32</v>
      </c>
      <c r="C42" s="818"/>
      <c r="D42" s="4048" t="s">
        <v>1851</v>
      </c>
      <c r="E42" s="4049"/>
      <c r="F42" s="4049"/>
      <c r="G42" s="4049"/>
      <c r="H42" s="4049"/>
      <c r="I42" s="4049"/>
      <c r="J42" s="4049"/>
      <c r="K42" s="4049"/>
      <c r="L42" s="4049"/>
      <c r="M42" s="4049"/>
      <c r="N42" s="4049"/>
      <c r="O42" s="4049"/>
      <c r="P42" s="4049"/>
      <c r="Q42" s="4050"/>
      <c r="R42" s="4009"/>
      <c r="S42" s="4009"/>
      <c r="T42" s="4009"/>
      <c r="U42" s="4009"/>
      <c r="V42" s="4698"/>
      <c r="W42" s="4697"/>
    </row>
    <row r="43" spans="1:23" ht="29.45" customHeight="1" x14ac:dyDescent="0.25">
      <c r="A43" s="1680">
        <v>7</v>
      </c>
      <c r="B43" s="902" t="s">
        <v>31</v>
      </c>
      <c r="C43" s="782"/>
      <c r="D43" s="4048" t="s">
        <v>1850</v>
      </c>
      <c r="E43" s="4049"/>
      <c r="F43" s="4049"/>
      <c r="G43" s="4049"/>
      <c r="H43" s="4049"/>
      <c r="I43" s="4049"/>
      <c r="J43" s="4049"/>
      <c r="K43" s="4049"/>
      <c r="L43" s="4049"/>
      <c r="M43" s="4049"/>
      <c r="N43" s="4049"/>
      <c r="O43" s="4049"/>
      <c r="P43" s="4049"/>
      <c r="Q43" s="4050"/>
      <c r="R43" s="229"/>
      <c r="S43" s="229"/>
      <c r="T43" s="229"/>
      <c r="U43" s="229"/>
      <c r="V43" s="4698"/>
      <c r="W43" s="4697"/>
    </row>
    <row r="44" spans="1:23" ht="15" customHeight="1" x14ac:dyDescent="0.25">
      <c r="A44" s="4696">
        <v>8</v>
      </c>
      <c r="B44" s="1441" t="s">
        <v>95</v>
      </c>
      <c r="C44" s="818"/>
      <c r="D44" s="4048" t="s">
        <v>1849</v>
      </c>
      <c r="E44" s="4049"/>
      <c r="F44" s="4049"/>
      <c r="G44" s="4049"/>
      <c r="H44" s="4049"/>
      <c r="I44" s="4049"/>
      <c r="J44" s="4049"/>
      <c r="K44" s="4049"/>
      <c r="L44" s="4049"/>
      <c r="M44" s="4049"/>
      <c r="N44" s="4049"/>
      <c r="O44" s="4049"/>
      <c r="P44" s="4049"/>
      <c r="Q44" s="4050"/>
      <c r="R44" s="4009"/>
      <c r="S44" s="4009"/>
      <c r="T44" s="4009"/>
      <c r="U44" s="4009"/>
      <c r="V44" s="47"/>
      <c r="W44" s="4695"/>
    </row>
    <row r="45" spans="1:23" ht="14.25" customHeight="1" x14ac:dyDescent="0.25"/>
  </sheetData>
  <mergeCells count="13">
    <mergeCell ref="D43:Q43"/>
    <mergeCell ref="V43:W43"/>
    <mergeCell ref="D44:Q44"/>
    <mergeCell ref="D41:Q41"/>
    <mergeCell ref="V41:W41"/>
    <mergeCell ref="D42:Q42"/>
    <mergeCell ref="V42:W42"/>
    <mergeCell ref="D2:Q2"/>
    <mergeCell ref="V2:W2"/>
    <mergeCell ref="D3:Q3"/>
    <mergeCell ref="V3:W3"/>
    <mergeCell ref="D4:Q4"/>
    <mergeCell ref="V4:W4"/>
  </mergeCells>
  <pageMargins left="0.74803149606299213" right="0.74803149606299213" top="0.98425196850393704" bottom="0.98425196850393704" header="0.51181102362204722" footer="0.51181102362204722"/>
  <pageSetup paperSize="9" scale="6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34"/>
  <sheetViews>
    <sheetView showGridLines="0" view="pageBreakPreview" zoomScaleNormal="100" zoomScaleSheetLayoutView="100" workbookViewId="0">
      <selection activeCell="I125" sqref="I125"/>
    </sheetView>
  </sheetViews>
  <sheetFormatPr defaultColWidth="9.140625" defaultRowHeight="11.25" x14ac:dyDescent="0.2"/>
  <cols>
    <col min="1" max="1" width="3.7109375" style="5" customWidth="1"/>
    <col min="2" max="2" width="14.42578125" style="6" customWidth="1"/>
    <col min="3" max="3" width="3.7109375" style="6" customWidth="1"/>
    <col min="4" max="4" width="25.28515625" style="11" customWidth="1"/>
    <col min="5" max="6" width="9.85546875" style="15" customWidth="1"/>
    <col min="7" max="11" width="9.85546875" style="11" customWidth="1"/>
    <col min="12" max="12" width="10.28515625" style="11" customWidth="1"/>
    <col min="13" max="17" width="9.85546875" style="11" customWidth="1"/>
    <col min="18" max="16384" width="9.140625" style="11"/>
  </cols>
  <sheetData>
    <row r="1" spans="1:17" s="3" customFormat="1" ht="12.75" x14ac:dyDescent="0.2">
      <c r="A1" s="1"/>
      <c r="B1" s="2"/>
      <c r="C1" s="2"/>
      <c r="E1" s="4"/>
      <c r="F1" s="4"/>
    </row>
    <row r="2" spans="1:17" s="3" customFormat="1" ht="15" customHeight="1" x14ac:dyDescent="0.2">
      <c r="A2" s="1">
        <v>1</v>
      </c>
      <c r="B2" s="1" t="s">
        <v>0</v>
      </c>
      <c r="C2" s="1">
        <v>20</v>
      </c>
      <c r="D2" s="4145" t="s">
        <v>1</v>
      </c>
      <c r="E2" s="4146"/>
      <c r="F2" s="4146"/>
      <c r="G2" s="4146"/>
      <c r="H2" s="4146"/>
      <c r="I2" s="4146"/>
      <c r="J2" s="4146"/>
      <c r="K2" s="4146"/>
      <c r="L2" s="4146"/>
      <c r="M2" s="4146"/>
      <c r="N2" s="4146"/>
      <c r="O2" s="4146"/>
      <c r="P2" s="4146"/>
      <c r="Q2" s="4147"/>
    </row>
    <row r="3" spans="1:17" s="3" customFormat="1" ht="12.75" customHeight="1" x14ac:dyDescent="0.2">
      <c r="A3" s="1">
        <v>2</v>
      </c>
      <c r="B3" s="1" t="s">
        <v>2</v>
      </c>
      <c r="C3" s="1"/>
      <c r="D3" s="4156" t="s">
        <v>3</v>
      </c>
      <c r="E3" s="4157"/>
      <c r="F3" s="4157"/>
      <c r="G3" s="4157"/>
      <c r="H3" s="4157"/>
      <c r="I3" s="4157"/>
      <c r="J3" s="4157"/>
      <c r="K3" s="4157"/>
      <c r="L3" s="4157"/>
      <c r="M3" s="4157"/>
      <c r="N3" s="4157"/>
      <c r="O3" s="4157"/>
      <c r="P3" s="4157"/>
      <c r="Q3" s="4158"/>
    </row>
    <row r="4" spans="1:17" s="3" customFormat="1" ht="12.75" customHeight="1" x14ac:dyDescent="0.2">
      <c r="A4" s="1">
        <v>3</v>
      </c>
      <c r="B4" s="1" t="s">
        <v>4</v>
      </c>
      <c r="C4" s="1"/>
      <c r="D4" s="4156" t="s">
        <v>1877</v>
      </c>
      <c r="E4" s="4157"/>
      <c r="F4" s="4157"/>
      <c r="G4" s="4157"/>
      <c r="H4" s="4157"/>
      <c r="I4" s="4157"/>
      <c r="J4" s="4157"/>
      <c r="K4" s="4157"/>
      <c r="L4" s="4157"/>
      <c r="M4" s="4157"/>
      <c r="N4" s="4157"/>
      <c r="O4" s="4157"/>
      <c r="P4" s="4157"/>
      <c r="Q4" s="4158"/>
    </row>
    <row r="5" spans="1:17" x14ac:dyDescent="0.2">
      <c r="D5" s="7"/>
      <c r="E5" s="8"/>
      <c r="F5" s="8"/>
      <c r="G5" s="8"/>
      <c r="H5" s="9"/>
      <c r="I5" s="10"/>
      <c r="J5" s="10"/>
      <c r="K5" s="10"/>
      <c r="L5" s="10"/>
      <c r="M5" s="10"/>
      <c r="N5" s="10"/>
      <c r="O5" s="10"/>
    </row>
    <row r="6" spans="1:17" ht="12.75" x14ac:dyDescent="0.2">
      <c r="A6" s="1">
        <v>4</v>
      </c>
      <c r="B6" s="12" t="s">
        <v>5</v>
      </c>
      <c r="D6" s="13" t="s">
        <v>6</v>
      </c>
      <c r="E6" s="14" t="s">
        <v>7</v>
      </c>
      <c r="G6" s="15"/>
      <c r="H6" s="16"/>
      <c r="I6" s="17"/>
      <c r="J6" s="17"/>
      <c r="K6" s="17"/>
      <c r="L6" s="4774"/>
      <c r="M6" s="18"/>
      <c r="N6" s="18"/>
      <c r="O6" s="18"/>
    </row>
    <row r="7" spans="1:17" ht="32.25" customHeight="1" x14ac:dyDescent="0.2">
      <c r="D7" s="19"/>
      <c r="E7" s="20" t="s">
        <v>8</v>
      </c>
      <c r="F7" s="20" t="s">
        <v>9</v>
      </c>
      <c r="G7" s="21" t="s">
        <v>10</v>
      </c>
      <c r="H7" s="22" t="s">
        <v>11</v>
      </c>
      <c r="I7" s="20" t="s">
        <v>12</v>
      </c>
      <c r="J7" s="20" t="s">
        <v>13</v>
      </c>
      <c r="K7" s="21" t="s">
        <v>14</v>
      </c>
      <c r="L7" s="22" t="s">
        <v>15</v>
      </c>
      <c r="M7" s="4773" t="s">
        <v>16</v>
      </c>
      <c r="N7" s="4773" t="s">
        <v>17</v>
      </c>
      <c r="O7" s="4772" t="s">
        <v>18</v>
      </c>
    </row>
    <row r="8" spans="1:17" ht="13.15" customHeight="1" x14ac:dyDescent="0.2">
      <c r="D8" s="23" t="s">
        <v>19</v>
      </c>
      <c r="E8" s="24">
        <v>20344</v>
      </c>
      <c r="F8" s="24">
        <v>23070</v>
      </c>
      <c r="G8" s="24">
        <v>18350</v>
      </c>
      <c r="H8" s="25">
        <v>32206</v>
      </c>
      <c r="I8" s="26">
        <v>42904</v>
      </c>
      <c r="J8" s="26">
        <v>40594</v>
      </c>
      <c r="K8" s="26">
        <v>43320</v>
      </c>
      <c r="L8" s="26">
        <v>20130</v>
      </c>
      <c r="M8" s="4770">
        <v>0.43</v>
      </c>
      <c r="N8" s="4770">
        <v>0.64</v>
      </c>
      <c r="O8" s="4769">
        <v>0.01</v>
      </c>
    </row>
    <row r="9" spans="1:17" ht="13.15" customHeight="1" x14ac:dyDescent="0.2">
      <c r="D9" s="23" t="s">
        <v>20</v>
      </c>
      <c r="E9" s="24">
        <v>5634</v>
      </c>
      <c r="F9" s="24">
        <v>8863</v>
      </c>
      <c r="G9" s="24">
        <v>9064</v>
      </c>
      <c r="H9" s="25">
        <v>18525</v>
      </c>
      <c r="I9" s="26">
        <v>21535</v>
      </c>
      <c r="J9" s="26">
        <v>20561</v>
      </c>
      <c r="K9" s="26">
        <v>22642</v>
      </c>
      <c r="L9" s="26">
        <v>6967</v>
      </c>
      <c r="M9" s="4770">
        <v>0.56000000000000005</v>
      </c>
      <c r="N9" s="4770">
        <v>0.72</v>
      </c>
      <c r="O9" s="4771">
        <v>5.0000000000000001E-3</v>
      </c>
    </row>
    <row r="10" spans="1:17" ht="13.15" customHeight="1" x14ac:dyDescent="0.2">
      <c r="D10" s="23" t="s">
        <v>21</v>
      </c>
      <c r="E10" s="24">
        <v>1842</v>
      </c>
      <c r="F10" s="24">
        <v>25966</v>
      </c>
      <c r="G10" s="24">
        <v>25758</v>
      </c>
      <c r="H10" s="25">
        <v>17815</v>
      </c>
      <c r="I10" s="26">
        <v>9363</v>
      </c>
      <c r="J10" s="26">
        <v>21252</v>
      </c>
      <c r="K10" s="26">
        <v>21142</v>
      </c>
      <c r="L10" s="26">
        <v>12229</v>
      </c>
      <c r="M10" s="4770">
        <v>0.47</v>
      </c>
      <c r="N10" s="4770">
        <v>0.72</v>
      </c>
      <c r="O10" s="4769">
        <v>0.01</v>
      </c>
    </row>
    <row r="11" spans="1:17" ht="13.15" customHeight="1" x14ac:dyDescent="0.2">
      <c r="D11" s="23" t="s">
        <v>22</v>
      </c>
      <c r="E11" s="24">
        <v>3590</v>
      </c>
      <c r="F11" s="24">
        <v>10437</v>
      </c>
      <c r="G11" s="24">
        <v>14101</v>
      </c>
      <c r="H11" s="25">
        <v>25379</v>
      </c>
      <c r="I11" s="26">
        <v>38952</v>
      </c>
      <c r="J11" s="26">
        <v>33692</v>
      </c>
      <c r="K11" s="26">
        <v>35950</v>
      </c>
      <c r="L11" s="26">
        <v>16391</v>
      </c>
      <c r="M11" s="4770">
        <v>0.46</v>
      </c>
      <c r="N11" s="4770">
        <v>0.73</v>
      </c>
      <c r="O11" s="4771">
        <v>3.0000000000000001E-3</v>
      </c>
    </row>
    <row r="12" spans="1:17" ht="13.15" customHeight="1" x14ac:dyDescent="0.2">
      <c r="A12" s="6"/>
      <c r="D12" s="23" t="s">
        <v>23</v>
      </c>
      <c r="E12" s="24">
        <v>2684</v>
      </c>
      <c r="F12" s="24">
        <v>4783</v>
      </c>
      <c r="G12" s="24">
        <v>5499</v>
      </c>
      <c r="H12" s="25">
        <v>12259</v>
      </c>
      <c r="I12" s="26">
        <v>10593</v>
      </c>
      <c r="J12" s="26">
        <v>23008</v>
      </c>
      <c r="K12" s="26">
        <v>25186</v>
      </c>
      <c r="L12" s="26">
        <v>17709</v>
      </c>
      <c r="M12" s="4770">
        <v>0.44</v>
      </c>
      <c r="N12" s="4770">
        <v>0.78</v>
      </c>
      <c r="O12" s="4769">
        <v>0.01</v>
      </c>
    </row>
    <row r="13" spans="1:17" ht="13.15" customHeight="1" x14ac:dyDescent="0.2">
      <c r="A13" s="6"/>
      <c r="D13" s="23" t="s">
        <v>24</v>
      </c>
      <c r="E13" s="24">
        <v>9656</v>
      </c>
      <c r="F13" s="24">
        <v>5965</v>
      </c>
      <c r="G13" s="24">
        <v>8062</v>
      </c>
      <c r="H13" s="25">
        <v>9582</v>
      </c>
      <c r="I13" s="26">
        <v>6972</v>
      </c>
      <c r="J13" s="26">
        <v>19785</v>
      </c>
      <c r="K13" s="26">
        <v>25209</v>
      </c>
      <c r="L13" s="26">
        <v>11989</v>
      </c>
      <c r="M13" s="4770">
        <v>0.48</v>
      </c>
      <c r="N13" s="4770">
        <v>0.75</v>
      </c>
      <c r="O13" s="4769">
        <v>0.01</v>
      </c>
    </row>
    <row r="14" spans="1:17" ht="13.15" customHeight="1" x14ac:dyDescent="0.2">
      <c r="A14" s="6"/>
      <c r="D14" s="23" t="s">
        <v>25</v>
      </c>
      <c r="E14" s="24">
        <v>1350</v>
      </c>
      <c r="F14" s="24">
        <v>8096</v>
      </c>
      <c r="G14" s="24">
        <v>7320</v>
      </c>
      <c r="H14" s="25">
        <v>13776</v>
      </c>
      <c r="I14" s="26">
        <v>22300</v>
      </c>
      <c r="J14" s="26">
        <v>18020</v>
      </c>
      <c r="K14" s="26">
        <v>16247</v>
      </c>
      <c r="L14" s="26">
        <v>7029</v>
      </c>
      <c r="M14" s="4770">
        <v>0.47</v>
      </c>
      <c r="N14" s="4770">
        <v>0.72</v>
      </c>
      <c r="O14" s="4769">
        <v>0.02</v>
      </c>
    </row>
    <row r="15" spans="1:17" ht="13.15" customHeight="1" x14ac:dyDescent="0.2">
      <c r="D15" s="23" t="s">
        <v>26</v>
      </c>
      <c r="F15" s="15">
        <v>2660</v>
      </c>
      <c r="G15" s="11">
        <v>4091</v>
      </c>
      <c r="H15" s="11">
        <v>5164</v>
      </c>
      <c r="I15" s="29">
        <v>13997</v>
      </c>
      <c r="J15" s="29">
        <v>11418</v>
      </c>
      <c r="K15" s="29">
        <v>20156</v>
      </c>
      <c r="L15" s="29">
        <v>12567</v>
      </c>
      <c r="M15" s="4770">
        <v>0.52</v>
      </c>
      <c r="N15" s="4770">
        <v>0.71</v>
      </c>
      <c r="O15" s="4769">
        <v>0.01</v>
      </c>
    </row>
    <row r="16" spans="1:17" ht="13.15" customHeight="1" x14ac:dyDescent="0.2">
      <c r="D16" s="30" t="s">
        <v>27</v>
      </c>
      <c r="E16" s="31">
        <v>1293</v>
      </c>
      <c r="F16" s="31">
        <v>2296</v>
      </c>
      <c r="G16" s="31">
        <v>7934</v>
      </c>
      <c r="H16" s="32">
        <v>9832</v>
      </c>
      <c r="I16" s="33">
        <v>10063</v>
      </c>
      <c r="J16" s="33">
        <v>10377</v>
      </c>
      <c r="K16" s="33">
        <v>11523</v>
      </c>
      <c r="L16" s="33">
        <v>2307</v>
      </c>
      <c r="M16" s="4768">
        <v>0.48</v>
      </c>
      <c r="N16" s="4768">
        <v>0.67</v>
      </c>
      <c r="O16" s="4767">
        <v>0.02</v>
      </c>
    </row>
    <row r="17" spans="1:17" s="13" customFormat="1" ht="11.45" customHeight="1" x14ac:dyDescent="0.2">
      <c r="A17" s="5"/>
      <c r="B17" s="35"/>
      <c r="C17" s="35"/>
      <c r="D17" s="36" t="s">
        <v>28</v>
      </c>
      <c r="E17" s="37">
        <f>SUM(E8:E16)</f>
        <v>46393</v>
      </c>
      <c r="F17" s="37">
        <f>SUM(F8:F16)</f>
        <v>92136</v>
      </c>
      <c r="G17" s="37">
        <f>SUM(G8:G16)</f>
        <v>100179</v>
      </c>
      <c r="H17" s="37">
        <f>SUM(H8:H16)</f>
        <v>144538</v>
      </c>
      <c r="I17" s="37">
        <f>SUM(I8:I16)</f>
        <v>176679</v>
      </c>
      <c r="J17" s="37">
        <v>198707</v>
      </c>
      <c r="K17" s="37">
        <v>221375</v>
      </c>
      <c r="L17" s="37">
        <v>107318</v>
      </c>
      <c r="M17" s="4766">
        <v>0.47</v>
      </c>
      <c r="N17" s="4766">
        <v>0.71</v>
      </c>
      <c r="O17" s="4765">
        <v>0.01</v>
      </c>
    </row>
    <row r="19" spans="1:17" s="3" customFormat="1" ht="12.75" customHeight="1" x14ac:dyDescent="0.2">
      <c r="A19" s="1">
        <v>5</v>
      </c>
      <c r="B19" s="1" t="s">
        <v>29</v>
      </c>
      <c r="C19" s="1"/>
      <c r="D19" s="4140" t="s">
        <v>30</v>
      </c>
      <c r="E19" s="4141"/>
      <c r="F19" s="4141"/>
      <c r="G19" s="4141"/>
      <c r="H19" s="4141"/>
      <c r="I19" s="4141"/>
      <c r="J19" s="4141"/>
      <c r="K19" s="4141"/>
      <c r="L19" s="4141"/>
      <c r="M19" s="4141"/>
      <c r="N19" s="4141"/>
      <c r="O19" s="4141"/>
      <c r="P19" s="4141"/>
      <c r="Q19" s="4142"/>
    </row>
    <row r="20" spans="1:17" s="3" customFormat="1" ht="12.75" customHeight="1" x14ac:dyDescent="0.2">
      <c r="A20" s="1">
        <v>6</v>
      </c>
      <c r="B20" s="1" t="s">
        <v>31</v>
      </c>
      <c r="C20" s="1"/>
      <c r="D20" s="4764" t="s">
        <v>1876</v>
      </c>
      <c r="E20" s="4763"/>
      <c r="F20" s="4763"/>
      <c r="G20" s="4763"/>
      <c r="H20" s="4763"/>
      <c r="I20" s="4763"/>
      <c r="J20" s="4763"/>
      <c r="K20" s="4763"/>
      <c r="L20" s="4763"/>
      <c r="M20" s="4763"/>
      <c r="N20" s="4763"/>
      <c r="O20" s="4763"/>
      <c r="P20" s="4763"/>
      <c r="Q20" s="4762"/>
    </row>
    <row r="21" spans="1:17" s="3" customFormat="1" ht="30" customHeight="1" x14ac:dyDescent="0.2">
      <c r="A21" s="1">
        <v>7</v>
      </c>
      <c r="B21" s="1" t="s">
        <v>32</v>
      </c>
      <c r="C21" s="1"/>
      <c r="D21" s="4140" t="s">
        <v>33</v>
      </c>
      <c r="E21" s="4141"/>
      <c r="F21" s="4141"/>
      <c r="G21" s="4141"/>
      <c r="H21" s="4141"/>
      <c r="I21" s="4141"/>
      <c r="J21" s="4141"/>
      <c r="K21" s="4141"/>
      <c r="L21" s="4141"/>
      <c r="M21" s="4141"/>
      <c r="N21" s="4141"/>
      <c r="O21" s="4141"/>
      <c r="P21" s="4141"/>
      <c r="Q21" s="4142"/>
    </row>
    <row r="22" spans="1:17" s="3" customFormat="1" ht="24" customHeight="1" x14ac:dyDescent="0.2">
      <c r="A22" s="40">
        <v>8</v>
      </c>
      <c r="B22" s="40" t="s">
        <v>34</v>
      </c>
      <c r="C22" s="40"/>
      <c r="D22" s="4140" t="s">
        <v>35</v>
      </c>
      <c r="E22" s="4141"/>
      <c r="F22" s="4141"/>
      <c r="G22" s="4141"/>
      <c r="H22" s="4141"/>
      <c r="I22" s="4141"/>
      <c r="J22" s="4141"/>
      <c r="K22" s="4141"/>
      <c r="L22" s="4141"/>
      <c r="M22" s="4141"/>
      <c r="N22" s="4141"/>
      <c r="O22" s="4141"/>
      <c r="P22" s="4141"/>
      <c r="Q22" s="4142"/>
    </row>
    <row r="33" spans="5:6" x14ac:dyDescent="0.2">
      <c r="E33" s="11"/>
      <c r="F33" s="11"/>
    </row>
    <row r="34" spans="5:6" x14ac:dyDescent="0.2">
      <c r="E34" s="11"/>
      <c r="F34" s="11"/>
    </row>
  </sheetData>
  <mergeCells count="7">
    <mergeCell ref="D21:Q21"/>
    <mergeCell ref="D22:Q22"/>
    <mergeCell ref="D2:Q2"/>
    <mergeCell ref="D3:Q3"/>
    <mergeCell ref="D4:Q4"/>
    <mergeCell ref="D19:Q19"/>
    <mergeCell ref="D20:Q20"/>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Q93"/>
  <sheetViews>
    <sheetView showGridLines="0" view="pageBreakPreview" zoomScaleNormal="100" zoomScaleSheetLayoutView="100" workbookViewId="0">
      <selection activeCell="N66" sqref="N66"/>
    </sheetView>
  </sheetViews>
  <sheetFormatPr defaultColWidth="9.28515625" defaultRowHeight="15" x14ac:dyDescent="0.25"/>
  <cols>
    <col min="1" max="1" width="3.7109375" style="45" customWidth="1"/>
    <col min="2" max="2" width="12.7109375" style="42" customWidth="1"/>
    <col min="3" max="3" width="3.7109375" style="43" customWidth="1"/>
    <col min="4" max="4" width="14.42578125" style="44" bestFit="1" customWidth="1"/>
    <col min="5" max="5" width="6" style="44" customWidth="1"/>
    <col min="6" max="26" width="6.28515625" style="44" customWidth="1"/>
    <col min="27" max="27" width="7.7109375" style="44" customWidth="1"/>
    <col min="28" max="29" width="6.28515625" style="44" customWidth="1"/>
    <col min="30" max="30" width="9.7109375" style="44" customWidth="1"/>
    <col min="31" max="32" width="10" style="44" customWidth="1"/>
    <col min="33" max="33" width="10" style="44" bestFit="1" customWidth="1"/>
    <col min="34" max="34" width="9.42578125" style="44" customWidth="1"/>
    <col min="35" max="36" width="10" style="44" customWidth="1"/>
    <col min="37" max="37" width="10" style="44" bestFit="1" customWidth="1"/>
    <col min="38" max="38" width="9.7109375" style="44" customWidth="1"/>
    <col min="39" max="40" width="10" style="44" customWidth="1"/>
    <col min="41" max="41" width="10" style="44" bestFit="1" customWidth="1"/>
    <col min="42" max="42" width="9.7109375" style="44" customWidth="1"/>
    <col min="43" max="44" width="10" style="44" customWidth="1"/>
    <col min="45" max="45" width="10" style="44" bestFit="1" customWidth="1"/>
    <col min="46" max="46" width="9.7109375" style="44" customWidth="1"/>
    <col min="47" max="48" width="10" style="44" customWidth="1"/>
    <col min="49" max="49" width="10" style="44" bestFit="1" customWidth="1"/>
    <col min="50" max="50" width="9.7109375" style="44" customWidth="1"/>
    <col min="51" max="52" width="10" style="44" customWidth="1"/>
    <col min="53" max="53" width="10" style="44" bestFit="1" customWidth="1"/>
    <col min="54" max="54" width="9.7109375" style="44" customWidth="1"/>
    <col min="55" max="56" width="10" style="44" customWidth="1"/>
    <col min="57" max="57" width="10" style="44" bestFit="1" customWidth="1"/>
    <col min="58" max="58" width="10.7109375" style="44" customWidth="1"/>
    <col min="59" max="59" width="13.28515625" style="44" customWidth="1"/>
    <col min="60" max="60" width="10.28515625" style="44" bestFit="1" customWidth="1"/>
    <col min="61" max="61" width="10" style="44" bestFit="1" customWidth="1"/>
    <col min="62" max="62" width="9.7109375" style="44" bestFit="1" customWidth="1"/>
    <col min="63" max="64" width="10.28515625" style="44" bestFit="1" customWidth="1"/>
    <col min="65" max="65" width="10.42578125" style="44" bestFit="1" customWidth="1"/>
    <col min="66" max="66" width="10.28515625" style="44" bestFit="1" customWidth="1"/>
    <col min="67" max="67" width="10.42578125" style="44" bestFit="1" customWidth="1"/>
    <col min="68" max="68" width="10.28515625" style="44" bestFit="1" customWidth="1"/>
    <col min="69" max="69" width="9.28515625" style="44" customWidth="1"/>
    <col min="70" max="83" width="9.5703125" style="44" bestFit="1" customWidth="1"/>
    <col min="84" max="84" width="10.28515625" style="44" bestFit="1" customWidth="1"/>
    <col min="85" max="85" width="10.28515625" style="44" customWidth="1"/>
    <col min="86" max="87" width="9.5703125" style="44" bestFit="1" customWidth="1"/>
    <col min="88" max="16384" width="9.28515625" style="44"/>
  </cols>
  <sheetData>
    <row r="1" spans="1:71" x14ac:dyDescent="0.25">
      <c r="A1" s="41"/>
    </row>
    <row r="2" spans="1:71" ht="12.75" customHeight="1" x14ac:dyDescent="0.25">
      <c r="A2" s="45">
        <v>1</v>
      </c>
      <c r="B2" s="46" t="s">
        <v>0</v>
      </c>
      <c r="C2" s="45">
        <f>1</f>
        <v>1</v>
      </c>
      <c r="D2" s="4024" t="s">
        <v>36</v>
      </c>
      <c r="E2" s="4025"/>
      <c r="F2" s="4025"/>
      <c r="G2" s="4025"/>
      <c r="H2" s="4025"/>
      <c r="I2" s="4025"/>
      <c r="J2" s="4025"/>
      <c r="K2" s="4025"/>
      <c r="L2" s="4025"/>
      <c r="M2" s="4025"/>
      <c r="N2" s="4025"/>
      <c r="O2" s="4025"/>
      <c r="P2" s="4025"/>
      <c r="Q2" s="4025"/>
      <c r="R2" s="4025"/>
      <c r="S2" s="4025"/>
      <c r="T2" s="4025"/>
      <c r="U2" s="4025"/>
      <c r="V2" s="4025"/>
      <c r="W2" s="4025"/>
      <c r="X2" s="4025"/>
      <c r="Y2" s="4025"/>
      <c r="Z2" s="4025"/>
      <c r="AA2" s="4025"/>
      <c r="AB2" s="4026"/>
    </row>
    <row r="3" spans="1:71" ht="12.75" customHeight="1" x14ac:dyDescent="0.25">
      <c r="A3" s="45">
        <v>2</v>
      </c>
      <c r="B3" s="46" t="s">
        <v>2</v>
      </c>
      <c r="C3" s="45"/>
      <c r="D3" s="4027" t="s">
        <v>37</v>
      </c>
      <c r="E3" s="4028"/>
      <c r="F3" s="4028"/>
      <c r="G3" s="4028"/>
      <c r="H3" s="4028"/>
      <c r="I3" s="4028"/>
      <c r="J3" s="4028"/>
      <c r="K3" s="4028"/>
      <c r="L3" s="4028"/>
      <c r="M3" s="4028"/>
      <c r="N3" s="4028"/>
      <c r="O3" s="4028"/>
      <c r="P3" s="4028"/>
      <c r="Q3" s="4028"/>
      <c r="R3" s="4028"/>
      <c r="S3" s="4028"/>
      <c r="T3" s="4028"/>
      <c r="U3" s="4028"/>
      <c r="V3" s="4028"/>
      <c r="W3" s="4028"/>
      <c r="X3" s="4028"/>
      <c r="Y3" s="4028"/>
      <c r="Z3" s="4028"/>
      <c r="AA3" s="4028"/>
      <c r="AB3" s="4029"/>
    </row>
    <row r="4" spans="1:71" ht="12.75" customHeight="1" x14ac:dyDescent="0.25">
      <c r="A4" s="45">
        <v>3</v>
      </c>
      <c r="B4" s="46" t="s">
        <v>4</v>
      </c>
      <c r="C4" s="45"/>
      <c r="D4" s="4030" t="s">
        <v>38</v>
      </c>
      <c r="E4" s="4031"/>
      <c r="F4" s="4031"/>
      <c r="G4" s="4031"/>
      <c r="H4" s="4031"/>
      <c r="I4" s="4031"/>
      <c r="J4" s="4031"/>
      <c r="K4" s="4031"/>
      <c r="L4" s="4031"/>
      <c r="M4" s="4031"/>
      <c r="N4" s="4031"/>
      <c r="O4" s="4031"/>
      <c r="P4" s="4031"/>
      <c r="Q4" s="4031"/>
      <c r="R4" s="4031"/>
      <c r="S4" s="4031"/>
      <c r="T4" s="4031"/>
      <c r="U4" s="4031"/>
      <c r="V4" s="4031"/>
      <c r="W4" s="4031"/>
      <c r="X4" s="4031"/>
      <c r="Y4" s="4031"/>
      <c r="Z4" s="4031"/>
      <c r="AA4" s="4031"/>
      <c r="AB4" s="4032"/>
    </row>
    <row r="5" spans="1:71" ht="14.25" customHeight="1" x14ac:dyDescent="0.25">
      <c r="B5" s="46"/>
      <c r="C5" s="45"/>
      <c r="D5" s="47"/>
      <c r="E5" s="47"/>
      <c r="F5" s="48"/>
      <c r="G5" s="48"/>
      <c r="H5" s="48"/>
      <c r="I5" s="48"/>
      <c r="J5" s="48"/>
      <c r="K5" s="48"/>
      <c r="L5" s="48"/>
      <c r="M5" s="48"/>
      <c r="N5" s="48"/>
      <c r="O5" s="48"/>
      <c r="P5" s="48"/>
      <c r="Q5" s="48"/>
      <c r="R5" s="49"/>
      <c r="S5" s="49"/>
      <c r="T5" s="49"/>
      <c r="U5" s="49"/>
      <c r="V5" s="49"/>
      <c r="W5" s="49"/>
      <c r="X5" s="49"/>
      <c r="Y5" s="49"/>
      <c r="Z5" s="49"/>
      <c r="AA5" s="49"/>
      <c r="AB5" s="49"/>
      <c r="AC5" s="49"/>
      <c r="AD5" s="49"/>
      <c r="AE5" s="49"/>
      <c r="AF5" s="49"/>
      <c r="AG5" s="49"/>
      <c r="AH5" s="49"/>
      <c r="AI5" s="49"/>
      <c r="AJ5" s="49"/>
      <c r="AK5" s="49"/>
      <c r="AL5" s="49"/>
      <c r="AM5" s="49"/>
      <c r="AN5" s="49"/>
      <c r="AO5" s="49"/>
      <c r="AP5" s="49"/>
    </row>
    <row r="6" spans="1:71" x14ac:dyDescent="0.25">
      <c r="A6" s="45">
        <v>4</v>
      </c>
      <c r="B6" s="50" t="s">
        <v>5</v>
      </c>
      <c r="D6" s="51" t="s">
        <v>40</v>
      </c>
      <c r="E6" s="51"/>
      <c r="F6" s="51" t="s">
        <v>41</v>
      </c>
      <c r="G6" s="51"/>
      <c r="H6" s="51"/>
      <c r="I6" s="51"/>
      <c r="J6" s="51"/>
      <c r="K6" s="51"/>
      <c r="L6" s="51"/>
      <c r="M6" s="51"/>
      <c r="N6" s="52"/>
      <c r="O6" s="52"/>
      <c r="P6" s="52"/>
      <c r="Q6" s="52"/>
      <c r="R6" s="52"/>
      <c r="S6" s="52"/>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row>
    <row r="7" spans="1:71" x14ac:dyDescent="0.25">
      <c r="D7" s="54"/>
      <c r="E7" s="55" t="s">
        <v>42</v>
      </c>
      <c r="F7" s="55" t="s">
        <v>43</v>
      </c>
      <c r="G7" s="55" t="s">
        <v>44</v>
      </c>
      <c r="H7" s="55" t="s">
        <v>45</v>
      </c>
      <c r="I7" s="55" t="s">
        <v>46</v>
      </c>
      <c r="J7" s="55" t="s">
        <v>47</v>
      </c>
      <c r="K7" s="55" t="s">
        <v>48</v>
      </c>
      <c r="L7" s="55" t="s">
        <v>49</v>
      </c>
      <c r="M7" s="55" t="s">
        <v>50</v>
      </c>
      <c r="N7" s="55" t="s">
        <v>51</v>
      </c>
      <c r="O7" s="55" t="s">
        <v>52</v>
      </c>
      <c r="P7" s="55" t="s">
        <v>53</v>
      </c>
      <c r="Q7" s="55" t="s">
        <v>54</v>
      </c>
      <c r="R7" s="55" t="s">
        <v>55</v>
      </c>
      <c r="S7" s="55" t="s">
        <v>56</v>
      </c>
      <c r="T7" s="55" t="s">
        <v>57</v>
      </c>
      <c r="U7" s="55" t="s">
        <v>58</v>
      </c>
      <c r="V7" s="55" t="s">
        <v>59</v>
      </c>
      <c r="W7" s="55" t="s">
        <v>60</v>
      </c>
      <c r="X7" s="55" t="s">
        <v>61</v>
      </c>
      <c r="Y7" s="55" t="s">
        <v>62</v>
      </c>
      <c r="Z7" s="55" t="s">
        <v>63</v>
      </c>
      <c r="AA7" s="55" t="s">
        <v>64</v>
      </c>
      <c r="AB7" s="3774" t="s">
        <v>65</v>
      </c>
      <c r="AC7" s="56"/>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row>
    <row r="8" spans="1:71" x14ac:dyDescent="0.25">
      <c r="D8" s="57" t="s">
        <v>66</v>
      </c>
      <c r="E8" s="58">
        <v>3.2341429521176792</v>
      </c>
      <c r="F8" s="59">
        <v>3.115633609815859</v>
      </c>
      <c r="G8" s="59">
        <v>4.3067278682366208</v>
      </c>
      <c r="H8" s="58">
        <v>2.6468290948052697</v>
      </c>
      <c r="I8" s="59">
        <v>0.51736038204737156</v>
      </c>
      <c r="J8" s="59">
        <v>2.3581077543326927</v>
      </c>
      <c r="K8" s="58">
        <v>4.1545445826273237</v>
      </c>
      <c r="L8" s="59">
        <v>2.7354952908615644</v>
      </c>
      <c r="M8" s="59">
        <v>3.6677968768751299</v>
      </c>
      <c r="N8" s="58">
        <v>2.9490781458875119</v>
      </c>
      <c r="O8" s="59">
        <v>4.5545699205685537</v>
      </c>
      <c r="P8" s="59">
        <v>5.2771117349823555</v>
      </c>
      <c r="Q8" s="58">
        <v>5.6036647889724094</v>
      </c>
      <c r="R8" s="59">
        <v>5.3604651396161387</v>
      </c>
      <c r="S8" s="59">
        <v>3.1910516450526387</v>
      </c>
      <c r="T8" s="58">
        <v>-1.5381008639149343</v>
      </c>
      <c r="U8" s="59">
        <v>3.0397770627674561</v>
      </c>
      <c r="V8" s="59">
        <v>3.2841650533768529</v>
      </c>
      <c r="W8" s="58">
        <v>2.2133536525899444</v>
      </c>
      <c r="X8" s="59">
        <v>2.4851858349998821</v>
      </c>
      <c r="Y8" s="59">
        <v>1.8470084416527328</v>
      </c>
      <c r="Z8" s="58">
        <v>1.2795382556099355</v>
      </c>
      <c r="AA8" s="59">
        <v>0.56536293911035784</v>
      </c>
      <c r="AB8" s="60">
        <v>1.320061169655034</v>
      </c>
      <c r="AC8" s="61"/>
      <c r="AD8" s="53"/>
      <c r="AE8" s="53"/>
      <c r="AF8" s="53"/>
      <c r="AG8" s="53"/>
      <c r="AH8" s="53"/>
      <c r="AI8" s="53"/>
      <c r="AJ8" s="53"/>
      <c r="AK8" s="53"/>
      <c r="AL8" s="53"/>
      <c r="AM8" s="53"/>
      <c r="AN8" s="53"/>
      <c r="AO8" s="53"/>
      <c r="AP8" s="53"/>
      <c r="AQ8" s="53"/>
      <c r="AR8" s="53"/>
      <c r="AS8" s="53"/>
      <c r="AT8" s="53"/>
      <c r="AU8" s="53"/>
      <c r="AV8" s="53"/>
      <c r="AW8" s="53"/>
      <c r="AX8" s="53"/>
      <c r="AY8" s="53"/>
      <c r="AZ8" s="62"/>
      <c r="BA8" s="53"/>
      <c r="BB8" s="53"/>
      <c r="BC8" s="53"/>
      <c r="BD8" s="53"/>
      <c r="BE8" s="53"/>
      <c r="BF8" s="53"/>
      <c r="BG8" s="53"/>
      <c r="BH8" s="53"/>
      <c r="BI8" s="53"/>
      <c r="BJ8" s="53"/>
      <c r="BK8" s="53"/>
      <c r="BL8" s="53"/>
      <c r="BM8" s="53"/>
      <c r="BN8" s="53"/>
      <c r="BO8" s="53"/>
      <c r="BP8" s="53"/>
      <c r="BQ8" s="53"/>
      <c r="BR8" s="53"/>
      <c r="BS8" s="53"/>
    </row>
    <row r="9" spans="1:71" x14ac:dyDescent="0.25">
      <c r="D9" s="63"/>
      <c r="E9" s="63"/>
      <c r="F9" s="64"/>
      <c r="G9" s="64"/>
      <c r="H9" s="64"/>
      <c r="I9" s="64"/>
      <c r="J9" s="65"/>
      <c r="K9" s="64"/>
      <c r="L9" s="64"/>
      <c r="M9" s="64"/>
      <c r="N9" s="64"/>
      <c r="O9" s="64"/>
      <c r="P9" s="64"/>
      <c r="Q9" s="64"/>
      <c r="R9" s="64"/>
      <c r="S9" s="64"/>
      <c r="T9" s="64"/>
      <c r="U9" s="64"/>
      <c r="V9" s="66"/>
      <c r="W9" s="66"/>
      <c r="X9" s="66"/>
      <c r="Y9" s="66"/>
      <c r="Z9" s="67"/>
      <c r="AA9" s="64"/>
      <c r="AB9" s="64"/>
      <c r="AC9" s="53"/>
      <c r="AD9" s="53"/>
      <c r="AE9" s="53"/>
      <c r="AF9" s="53"/>
      <c r="AG9" s="53"/>
      <c r="AH9" s="53"/>
      <c r="AI9" s="53"/>
      <c r="AJ9" s="53"/>
      <c r="AK9" s="53"/>
      <c r="AL9" s="53"/>
      <c r="AM9" s="53"/>
      <c r="AN9" s="53"/>
      <c r="AO9" s="53"/>
      <c r="AP9" s="53"/>
      <c r="AQ9" s="53"/>
      <c r="AR9" s="53"/>
      <c r="AS9" s="53"/>
      <c r="AT9" s="53"/>
      <c r="AU9" s="53"/>
      <c r="AV9" s="53"/>
      <c r="AW9" s="53"/>
      <c r="AX9" s="53"/>
      <c r="AY9" s="62"/>
      <c r="AZ9" s="53"/>
      <c r="BA9" s="53"/>
      <c r="BB9" s="53"/>
      <c r="BC9" s="53"/>
      <c r="BD9" s="53"/>
      <c r="BE9" s="53"/>
      <c r="BF9" s="53"/>
      <c r="BG9" s="53"/>
      <c r="BH9" s="53"/>
      <c r="BI9" s="53"/>
      <c r="BJ9" s="53"/>
      <c r="BK9" s="53"/>
      <c r="BL9" s="53"/>
      <c r="BM9" s="53"/>
      <c r="BN9" s="53"/>
      <c r="BO9" s="53"/>
      <c r="BP9" s="53"/>
      <c r="BQ9" s="53"/>
      <c r="BR9" s="53"/>
    </row>
    <row r="10" spans="1:71" x14ac:dyDescent="0.25">
      <c r="D10" s="63"/>
      <c r="E10" s="63"/>
      <c r="F10" s="64"/>
      <c r="G10" s="64"/>
      <c r="H10" s="64"/>
      <c r="I10" s="64"/>
      <c r="J10" s="65"/>
      <c r="K10" s="64"/>
      <c r="L10" s="64"/>
      <c r="M10" s="64"/>
      <c r="N10" s="64"/>
      <c r="O10" s="64"/>
      <c r="P10" s="64"/>
      <c r="Q10" s="64"/>
      <c r="R10" s="64"/>
      <c r="S10" s="64"/>
      <c r="T10" s="64"/>
      <c r="U10" s="64"/>
      <c r="V10" s="66"/>
      <c r="W10" s="66"/>
      <c r="X10" s="66"/>
      <c r="Y10" s="66">
        <f>AVERAGE(E8:AB8)</f>
        <v>2.8403721388602658</v>
      </c>
      <c r="Z10" s="53"/>
      <c r="AA10" s="64"/>
      <c r="AB10" s="64"/>
      <c r="AC10" s="53"/>
      <c r="AD10" s="53"/>
      <c r="AE10" s="53"/>
      <c r="AF10" s="53"/>
      <c r="AG10" s="53"/>
      <c r="AH10" s="53"/>
      <c r="AI10" s="53"/>
      <c r="AJ10" s="53"/>
      <c r="AK10" s="53"/>
      <c r="AL10" s="53"/>
      <c r="AM10" s="53"/>
      <c r="AN10" s="53"/>
      <c r="AO10" s="53"/>
      <c r="AP10" s="53"/>
      <c r="AQ10" s="53"/>
      <c r="AR10" s="53"/>
      <c r="AS10" s="53"/>
      <c r="AT10" s="53"/>
      <c r="AU10" s="53"/>
      <c r="AV10" s="53"/>
      <c r="AW10" s="53"/>
      <c r="AX10" s="53"/>
      <c r="AY10" s="62"/>
      <c r="AZ10" s="53"/>
      <c r="BA10" s="53"/>
      <c r="BB10" s="53"/>
      <c r="BC10" s="53"/>
      <c r="BD10" s="53"/>
      <c r="BE10" s="53"/>
      <c r="BF10" s="53"/>
      <c r="BG10" s="53"/>
      <c r="BH10" s="53"/>
      <c r="BI10" s="53"/>
      <c r="BJ10" s="53"/>
      <c r="BK10" s="53"/>
      <c r="BL10" s="53"/>
      <c r="BM10" s="53"/>
      <c r="BN10" s="53"/>
      <c r="BO10" s="53"/>
      <c r="BP10" s="53"/>
      <c r="BQ10" s="53"/>
      <c r="BR10" s="53"/>
    </row>
    <row r="11" spans="1:71" s="74" customFormat="1" ht="11.25" x14ac:dyDescent="0.2">
      <c r="A11" s="68"/>
      <c r="B11" s="69"/>
      <c r="C11" s="70"/>
      <c r="D11" s="71" t="s">
        <v>67</v>
      </c>
      <c r="E11" s="71"/>
      <c r="F11" s="72" t="s">
        <v>68</v>
      </c>
      <c r="G11" s="72"/>
      <c r="H11" s="72"/>
      <c r="I11" s="72"/>
      <c r="J11" s="73"/>
      <c r="K11" s="64"/>
      <c r="L11" s="64"/>
      <c r="M11" s="64"/>
      <c r="N11" s="64"/>
      <c r="O11" s="64"/>
      <c r="P11" s="64"/>
      <c r="Q11" s="64"/>
      <c r="R11" s="64"/>
      <c r="S11" s="64"/>
      <c r="T11" s="64"/>
      <c r="U11" s="64"/>
      <c r="V11" s="66"/>
      <c r="W11" s="66"/>
      <c r="X11" s="52"/>
      <c r="Y11" s="52"/>
      <c r="Z11" s="52"/>
      <c r="AA11" s="64"/>
      <c r="AB11" s="64"/>
      <c r="AC11" s="52"/>
      <c r="AD11" s="52"/>
      <c r="AE11" s="52"/>
      <c r="AF11" s="52"/>
      <c r="AG11" s="52"/>
      <c r="AH11" s="52"/>
      <c r="AI11" s="52"/>
      <c r="AJ11" s="52"/>
      <c r="AK11" s="52"/>
      <c r="AL11" s="52"/>
      <c r="AM11" s="52"/>
      <c r="AN11" s="52"/>
      <c r="AO11" s="52"/>
      <c r="AP11" s="52"/>
      <c r="AQ11" s="52"/>
      <c r="AR11" s="52"/>
      <c r="AS11" s="52"/>
      <c r="AT11" s="52"/>
      <c r="AU11" s="52"/>
      <c r="AV11" s="52"/>
      <c r="AW11" s="52"/>
      <c r="AX11" s="52"/>
      <c r="AY11" s="62"/>
      <c r="AZ11" s="52"/>
      <c r="BA11" s="52"/>
      <c r="BB11" s="52"/>
      <c r="BC11" s="52"/>
      <c r="BD11" s="52"/>
      <c r="BE11" s="52"/>
      <c r="BF11" s="52"/>
      <c r="BG11" s="52"/>
      <c r="BH11" s="52"/>
      <c r="BI11" s="52"/>
      <c r="BJ11" s="52"/>
      <c r="BK11" s="52"/>
      <c r="BL11" s="52"/>
      <c r="BM11" s="52"/>
      <c r="BN11" s="52"/>
      <c r="BO11" s="52"/>
      <c r="BP11" s="52"/>
      <c r="BQ11" s="52"/>
      <c r="BR11" s="52"/>
    </row>
    <row r="12" spans="1:71" s="74" customFormat="1" ht="11.25" x14ac:dyDescent="0.2">
      <c r="A12" s="68"/>
      <c r="B12" s="69"/>
      <c r="C12" s="70"/>
      <c r="D12" s="75" t="s">
        <v>69</v>
      </c>
      <c r="E12" s="76" t="s">
        <v>42</v>
      </c>
      <c r="F12" s="77" t="s">
        <v>43</v>
      </c>
      <c r="G12" s="77">
        <v>1996</v>
      </c>
      <c r="H12" s="77">
        <v>1997</v>
      </c>
      <c r="I12" s="77">
        <v>1998</v>
      </c>
      <c r="J12" s="77">
        <v>1999</v>
      </c>
      <c r="K12" s="77">
        <v>2000</v>
      </c>
      <c r="L12" s="77">
        <v>2001</v>
      </c>
      <c r="M12" s="77">
        <v>2002</v>
      </c>
      <c r="N12" s="77">
        <v>2003</v>
      </c>
      <c r="O12" s="77">
        <v>2004</v>
      </c>
      <c r="P12" s="77">
        <v>2005</v>
      </c>
      <c r="Q12" s="77">
        <v>2006</v>
      </c>
      <c r="R12" s="77">
        <v>2007</v>
      </c>
      <c r="S12" s="77">
        <v>2008</v>
      </c>
      <c r="T12" s="77">
        <v>2009</v>
      </c>
      <c r="U12" s="77">
        <v>2010</v>
      </c>
      <c r="V12" s="77">
        <v>2011</v>
      </c>
      <c r="W12" s="77">
        <v>2012</v>
      </c>
      <c r="X12" s="77">
        <v>2013</v>
      </c>
      <c r="Y12" s="77">
        <v>2014</v>
      </c>
      <c r="Z12" s="77">
        <v>2015</v>
      </c>
      <c r="AA12" s="78">
        <v>2016</v>
      </c>
      <c r="AB12" s="79">
        <v>2017</v>
      </c>
      <c r="AC12" s="80"/>
      <c r="AD12" s="52"/>
      <c r="AE12" s="52"/>
      <c r="AF12" s="52"/>
      <c r="AG12" s="52"/>
      <c r="AH12" s="52"/>
      <c r="AI12" s="52"/>
      <c r="AJ12" s="52"/>
      <c r="AK12" s="52"/>
      <c r="AL12" s="52"/>
      <c r="AM12" s="52"/>
      <c r="AN12" s="52"/>
      <c r="AO12" s="52"/>
      <c r="AP12" s="52"/>
      <c r="AQ12" s="52"/>
      <c r="AR12" s="52"/>
      <c r="AS12" s="52"/>
      <c r="AT12" s="52"/>
      <c r="AU12" s="52"/>
      <c r="AV12" s="52"/>
      <c r="AW12" s="52"/>
      <c r="AX12" s="52"/>
      <c r="AY12" s="52"/>
      <c r="AZ12" s="62"/>
      <c r="BA12" s="52"/>
      <c r="BB12" s="52"/>
      <c r="BC12" s="52"/>
      <c r="BD12" s="52"/>
      <c r="BE12" s="52"/>
      <c r="BF12" s="52"/>
      <c r="BG12" s="52"/>
      <c r="BH12" s="52"/>
      <c r="BI12" s="52"/>
      <c r="BJ12" s="52"/>
      <c r="BK12" s="52"/>
      <c r="BL12" s="52"/>
      <c r="BM12" s="52"/>
      <c r="BN12" s="52"/>
      <c r="BO12" s="52"/>
      <c r="BP12" s="52"/>
      <c r="BQ12" s="52"/>
      <c r="BR12" s="52"/>
      <c r="BS12" s="52"/>
    </row>
    <row r="13" spans="1:71" s="74" customFormat="1" ht="12" customHeight="1" x14ac:dyDescent="0.2">
      <c r="A13" s="68"/>
      <c r="B13" s="69"/>
      <c r="C13" s="70"/>
      <c r="D13" s="81" t="s">
        <v>70</v>
      </c>
      <c r="E13" s="63"/>
      <c r="F13" s="64"/>
      <c r="G13" s="64"/>
      <c r="H13" s="82"/>
      <c r="I13" s="82"/>
      <c r="J13" s="82"/>
      <c r="K13" s="82"/>
      <c r="L13" s="82"/>
      <c r="M13" s="82"/>
      <c r="N13" s="82"/>
      <c r="O13" s="82"/>
      <c r="P13" s="82"/>
      <c r="Q13" s="82"/>
      <c r="R13" s="82"/>
      <c r="S13" s="82"/>
      <c r="T13" s="82"/>
      <c r="U13" s="82"/>
      <c r="V13" s="82"/>
      <c r="W13" s="82"/>
      <c r="X13" s="82"/>
      <c r="Y13" s="82"/>
      <c r="Z13" s="82"/>
      <c r="AA13" s="82"/>
      <c r="AB13" s="83"/>
      <c r="AC13" s="84"/>
      <c r="AD13" s="52"/>
      <c r="AE13" s="52"/>
      <c r="AF13" s="52"/>
      <c r="AG13" s="52"/>
      <c r="AH13" s="52"/>
      <c r="AI13" s="52"/>
      <c r="AJ13" s="52"/>
      <c r="AK13" s="52"/>
      <c r="AL13" s="52"/>
      <c r="AM13" s="52"/>
      <c r="AN13" s="52"/>
      <c r="AO13" s="52"/>
      <c r="AP13" s="52"/>
      <c r="AQ13" s="52"/>
      <c r="AR13" s="52"/>
      <c r="AS13" s="52"/>
      <c r="AT13" s="52"/>
      <c r="AU13" s="52"/>
      <c r="AV13" s="52"/>
      <c r="AW13" s="52"/>
      <c r="AX13" s="52"/>
      <c r="AY13" s="52"/>
      <c r="AZ13" s="62"/>
      <c r="BA13" s="52"/>
      <c r="BB13" s="52"/>
      <c r="BC13" s="52"/>
      <c r="BD13" s="52"/>
      <c r="BE13" s="52"/>
      <c r="BF13" s="52"/>
      <c r="BG13" s="52"/>
      <c r="BH13" s="52"/>
      <c r="BI13" s="52"/>
      <c r="BJ13" s="52"/>
      <c r="BK13" s="52"/>
      <c r="BL13" s="52"/>
      <c r="BM13" s="52"/>
      <c r="BN13" s="52"/>
      <c r="BO13" s="52"/>
      <c r="BP13" s="52"/>
      <c r="BQ13" s="52"/>
      <c r="BR13" s="52"/>
      <c r="BS13" s="52"/>
    </row>
    <row r="14" spans="1:71" s="74" customFormat="1" ht="12" customHeight="1" x14ac:dyDescent="0.2">
      <c r="A14" s="68"/>
      <c r="B14" s="69"/>
      <c r="C14" s="70"/>
      <c r="D14" s="85" t="s">
        <v>71</v>
      </c>
      <c r="E14" s="86">
        <v>5.8362007036852646</v>
      </c>
      <c r="F14" s="64">
        <v>-2.8452096105708051</v>
      </c>
      <c r="G14" s="64">
        <v>5.5266898271523388</v>
      </c>
      <c r="H14" s="87">
        <v>8.1110467707457019</v>
      </c>
      <c r="I14" s="87">
        <v>3.8501788515622906</v>
      </c>
      <c r="J14" s="87">
        <v>-3.3854570406327014</v>
      </c>
      <c r="K14" s="87">
        <v>-0.78899893905690988</v>
      </c>
      <c r="L14" s="87">
        <v>-4.4088396825855654</v>
      </c>
      <c r="M14" s="87">
        <v>-10.894484828590279</v>
      </c>
      <c r="N14" s="87">
        <v>8.8370407957692407</v>
      </c>
      <c r="O14" s="87">
        <v>9.0295733006815482</v>
      </c>
      <c r="P14" s="87">
        <v>8.8516599201343524</v>
      </c>
      <c r="Q14" s="87">
        <v>8.0471515004302745</v>
      </c>
      <c r="R14" s="87">
        <v>9.0076508750475739</v>
      </c>
      <c r="S14" s="87">
        <v>4.057233103464057</v>
      </c>
      <c r="T14" s="87">
        <v>-5.9185250763494679</v>
      </c>
      <c r="U14" s="87">
        <v>10.125398156100232</v>
      </c>
      <c r="V14" s="87">
        <v>6.003951692805785</v>
      </c>
      <c r="W14" s="87">
        <v>-1.0264204544320847</v>
      </c>
      <c r="X14" s="87">
        <v>2.4053237807943617</v>
      </c>
      <c r="Y14" s="87">
        <v>-2.5126153208139641</v>
      </c>
      <c r="Z14" s="87">
        <v>2.7311598282894636</v>
      </c>
      <c r="AA14" s="87">
        <v>-1.8225421702890259</v>
      </c>
      <c r="AB14" s="83">
        <v>2.8639228972573676</v>
      </c>
      <c r="AC14" s="84"/>
      <c r="AD14" s="52"/>
      <c r="AE14" s="52"/>
      <c r="AF14" s="52"/>
      <c r="AG14" s="52"/>
      <c r="AH14" s="52"/>
      <c r="AI14" s="52"/>
      <c r="AJ14" s="52"/>
      <c r="AK14" s="52"/>
      <c r="AL14" s="52"/>
      <c r="AM14" s="52"/>
      <c r="AN14" s="52"/>
      <c r="AO14" s="52"/>
      <c r="AP14" s="52"/>
      <c r="AQ14" s="52"/>
      <c r="AR14" s="52"/>
      <c r="AS14" s="52"/>
      <c r="AT14" s="52"/>
      <c r="AU14" s="52"/>
      <c r="AV14" s="52"/>
      <c r="AW14" s="52"/>
      <c r="AX14" s="52"/>
      <c r="AY14" s="52"/>
      <c r="AZ14" s="62"/>
      <c r="BA14" s="52"/>
      <c r="BB14" s="52"/>
      <c r="BC14" s="52"/>
      <c r="BD14" s="52"/>
      <c r="BE14" s="52"/>
      <c r="BF14" s="52"/>
      <c r="BG14" s="52"/>
      <c r="BH14" s="52"/>
      <c r="BI14" s="52"/>
      <c r="BJ14" s="52"/>
      <c r="BK14" s="52"/>
      <c r="BL14" s="52"/>
      <c r="BM14" s="52"/>
      <c r="BN14" s="52"/>
      <c r="BO14" s="52"/>
      <c r="BP14" s="52"/>
      <c r="BQ14" s="52"/>
      <c r="BR14" s="52"/>
      <c r="BS14" s="52"/>
    </row>
    <row r="15" spans="1:71" s="74" customFormat="1" ht="12" customHeight="1" x14ac:dyDescent="0.2">
      <c r="A15" s="68"/>
      <c r="B15" s="69"/>
      <c r="C15" s="70"/>
      <c r="D15" s="85" t="s">
        <v>72</v>
      </c>
      <c r="E15" s="86">
        <v>3.9785339706671579</v>
      </c>
      <c r="F15" s="64">
        <v>3.8293687531651983</v>
      </c>
      <c r="G15" s="64">
        <v>3.878631271390816</v>
      </c>
      <c r="H15" s="87">
        <v>3.9664204896860298</v>
      </c>
      <c r="I15" s="87">
        <v>4.5767393643545233</v>
      </c>
      <c r="J15" s="87">
        <v>5.0180639426973102</v>
      </c>
      <c r="K15" s="87">
        <v>3.9431890822989573</v>
      </c>
      <c r="L15" s="87">
        <v>1.9331057288134446</v>
      </c>
      <c r="M15" s="87">
        <v>4.0030222837037286</v>
      </c>
      <c r="N15" s="87">
        <v>2.9857449046347284</v>
      </c>
      <c r="O15" s="87">
        <v>4.0011055201428292</v>
      </c>
      <c r="P15" s="87">
        <v>3.1903163404162598</v>
      </c>
      <c r="Q15" s="87">
        <v>2.8342325122041103</v>
      </c>
      <c r="R15" s="87">
        <v>3.7773290295908737</v>
      </c>
      <c r="S15" s="87">
        <v>3.6577667597209143</v>
      </c>
      <c r="T15" s="87">
        <v>1.9227272928833372</v>
      </c>
      <c r="U15" s="87">
        <v>2.0529420039533193</v>
      </c>
      <c r="V15" s="87">
        <v>2.4511050826840233</v>
      </c>
      <c r="W15" s="87">
        <v>3.8919400264789061</v>
      </c>
      <c r="X15" s="87">
        <v>2.6394823570563943</v>
      </c>
      <c r="Y15" s="87">
        <v>2.5583375228690244</v>
      </c>
      <c r="Z15" s="87">
        <v>2.3511364407440567</v>
      </c>
      <c r="AA15" s="87">
        <v>2.8273105109630308</v>
      </c>
      <c r="AB15" s="83">
        <v>1.9575754216065917</v>
      </c>
      <c r="AC15" s="84"/>
      <c r="AD15" s="52"/>
      <c r="AE15" s="52"/>
      <c r="AF15" s="52"/>
      <c r="AG15" s="52"/>
      <c r="AH15" s="52"/>
      <c r="AI15" s="52"/>
      <c r="AJ15" s="52"/>
      <c r="AK15" s="52"/>
      <c r="AL15" s="52"/>
      <c r="AM15" s="52"/>
      <c r="AN15" s="52"/>
      <c r="AO15" s="52"/>
      <c r="AP15" s="52"/>
      <c r="AQ15" s="52"/>
      <c r="AR15" s="52"/>
      <c r="AS15" s="52"/>
      <c r="AT15" s="52"/>
      <c r="AU15" s="52"/>
      <c r="AV15" s="52"/>
      <c r="AW15" s="52"/>
      <c r="AX15" s="52"/>
      <c r="AY15" s="52"/>
      <c r="AZ15" s="62"/>
      <c r="BA15" s="52"/>
      <c r="BB15" s="52"/>
      <c r="BC15" s="52"/>
      <c r="BD15" s="52"/>
      <c r="BE15" s="52"/>
      <c r="BF15" s="52"/>
      <c r="BG15" s="52"/>
      <c r="BH15" s="52"/>
      <c r="BI15" s="52"/>
      <c r="BJ15" s="52"/>
      <c r="BK15" s="52"/>
      <c r="BL15" s="52"/>
      <c r="BM15" s="52"/>
      <c r="BN15" s="52"/>
      <c r="BO15" s="52"/>
      <c r="BP15" s="52"/>
      <c r="BQ15" s="52"/>
      <c r="BR15" s="52"/>
      <c r="BS15" s="52"/>
    </row>
    <row r="16" spans="1:71" s="74" customFormat="1" ht="12" customHeight="1" x14ac:dyDescent="0.2">
      <c r="A16" s="68"/>
      <c r="B16" s="69"/>
      <c r="C16" s="70"/>
      <c r="D16" s="85" t="s">
        <v>73</v>
      </c>
      <c r="E16" s="86">
        <v>3.6279160209385708</v>
      </c>
      <c r="F16" s="64">
        <v>7.03041026074564</v>
      </c>
      <c r="G16" s="64">
        <v>5.8298000784227497</v>
      </c>
      <c r="H16" s="87">
        <v>8.0265490264024351</v>
      </c>
      <c r="I16" s="87">
        <v>0.72199315512983731</v>
      </c>
      <c r="J16" s="87">
        <v>9.6672407415119466</v>
      </c>
      <c r="K16" s="87">
        <v>1.9876958543875389</v>
      </c>
      <c r="L16" s="87">
        <v>0.25057386672273196</v>
      </c>
      <c r="M16" s="87">
        <v>6.069530867650144</v>
      </c>
      <c r="N16" s="87">
        <v>4.625894791915556</v>
      </c>
      <c r="O16" s="87">
        <v>2.70582173663567</v>
      </c>
      <c r="P16" s="87">
        <v>4.5566456573284313</v>
      </c>
      <c r="Q16" s="87">
        <v>8.3638710689572662</v>
      </c>
      <c r="R16" s="87">
        <v>8.2767637934696836</v>
      </c>
      <c r="S16" s="87">
        <v>6.245437362908774</v>
      </c>
      <c r="T16" s="87">
        <v>-7.652310202534764</v>
      </c>
      <c r="U16" s="87">
        <v>8.5636317477326713</v>
      </c>
      <c r="V16" s="87">
        <v>6.0483163670680824</v>
      </c>
      <c r="W16" s="87">
        <v>4.4561672130978707</v>
      </c>
      <c r="X16" s="87">
        <v>11.343424252775236</v>
      </c>
      <c r="Y16" s="87">
        <v>4.1492527859478656</v>
      </c>
      <c r="Z16" s="87">
        <v>-1.6979305919919057</v>
      </c>
      <c r="AA16" s="87">
        <v>4.3155062695597053</v>
      </c>
      <c r="AB16" s="83">
        <v>2.3591970823241013</v>
      </c>
      <c r="AC16" s="84"/>
      <c r="AD16" s="52"/>
      <c r="AE16" s="52"/>
      <c r="AF16" s="52"/>
      <c r="AG16" s="52"/>
      <c r="AH16" s="52"/>
      <c r="AI16" s="52"/>
      <c r="AJ16" s="52"/>
      <c r="AK16" s="52"/>
      <c r="AL16" s="52"/>
      <c r="AM16" s="52"/>
      <c r="AN16" s="52"/>
      <c r="AO16" s="52"/>
      <c r="AP16" s="52"/>
      <c r="AQ16" s="52"/>
      <c r="AR16" s="52"/>
      <c r="AS16" s="52"/>
      <c r="AT16" s="52"/>
      <c r="AU16" s="52"/>
      <c r="AV16" s="52"/>
      <c r="AW16" s="52"/>
      <c r="AX16" s="52"/>
      <c r="AY16" s="52"/>
      <c r="AZ16" s="62"/>
      <c r="BA16" s="52"/>
      <c r="BB16" s="52"/>
      <c r="BC16" s="52"/>
      <c r="BD16" s="52"/>
      <c r="BE16" s="52"/>
      <c r="BF16" s="52"/>
      <c r="BG16" s="52"/>
      <c r="BH16" s="52"/>
      <c r="BI16" s="52"/>
      <c r="BJ16" s="52"/>
      <c r="BK16" s="52"/>
      <c r="BL16" s="52"/>
      <c r="BM16" s="52"/>
      <c r="BN16" s="52"/>
      <c r="BO16" s="52"/>
      <c r="BP16" s="52"/>
      <c r="BQ16" s="52"/>
      <c r="BR16" s="52"/>
      <c r="BS16" s="52"/>
    </row>
    <row r="17" spans="1:71" s="74" customFormat="1" ht="12" customHeight="1" x14ac:dyDescent="0.2">
      <c r="A17" s="68"/>
      <c r="B17" s="69"/>
      <c r="C17" s="70"/>
      <c r="D17" s="85" t="s">
        <v>74</v>
      </c>
      <c r="E17" s="86">
        <v>5.334551702473675</v>
      </c>
      <c r="F17" s="64">
        <v>4.416731353885055</v>
      </c>
      <c r="G17" s="64">
        <v>2.2075355279435058</v>
      </c>
      <c r="H17" s="87">
        <v>3.3950286372117944</v>
      </c>
      <c r="I17" s="87">
        <v>0.33835617927024941</v>
      </c>
      <c r="J17" s="87">
        <v>0.4690665874928186</v>
      </c>
      <c r="K17" s="87">
        <v>4.1124842395721544</v>
      </c>
      <c r="L17" s="87">
        <v>1.3828320278654473</v>
      </c>
      <c r="M17" s="87">
        <v>3.0540164934866283</v>
      </c>
      <c r="N17" s="87">
        <v>1.1398868686460588</v>
      </c>
      <c r="O17" s="87">
        <v>5.76441160717755</v>
      </c>
      <c r="P17" s="87">
        <v>3.1964641119297283</v>
      </c>
      <c r="Q17" s="87">
        <v>3.9572968292065553</v>
      </c>
      <c r="R17" s="87">
        <v>6.0603535846095866</v>
      </c>
      <c r="S17" s="87">
        <v>5.0908579111455623</v>
      </c>
      <c r="T17" s="87">
        <v>-0.12577515362765723</v>
      </c>
      <c r="U17" s="87">
        <v>7.5417986357016531</v>
      </c>
      <c r="V17" s="87">
        <v>3.985277614638207</v>
      </c>
      <c r="W17" s="87">
        <v>1.9331078892995066</v>
      </c>
      <c r="X17" s="87">
        <v>3.0103055806618642</v>
      </c>
      <c r="Y17" s="87">
        <v>0.50821025424974664</v>
      </c>
      <c r="Z17" s="87">
        <v>-3.549767246601121</v>
      </c>
      <c r="AA17" s="87">
        <v>-3.4681628556261614</v>
      </c>
      <c r="AB17" s="83">
        <v>0.97608568137594887</v>
      </c>
      <c r="AC17" s="84"/>
      <c r="AD17" s="52"/>
      <c r="AE17" s="52"/>
      <c r="AF17" s="52"/>
      <c r="AG17" s="52"/>
      <c r="AH17" s="52"/>
      <c r="AI17" s="52"/>
      <c r="AJ17" s="52"/>
      <c r="AK17" s="52"/>
      <c r="AL17" s="52"/>
      <c r="AM17" s="52"/>
      <c r="AN17" s="52"/>
      <c r="AO17" s="52"/>
      <c r="AP17" s="52"/>
      <c r="AQ17" s="52"/>
      <c r="AR17" s="52"/>
      <c r="AS17" s="52"/>
      <c r="AT17" s="52"/>
      <c r="AU17" s="52"/>
      <c r="AV17" s="52"/>
      <c r="AW17" s="52"/>
      <c r="AX17" s="52"/>
      <c r="AY17" s="52"/>
      <c r="AZ17" s="62"/>
      <c r="BA17" s="52"/>
      <c r="BB17" s="52"/>
      <c r="BC17" s="52"/>
      <c r="BD17" s="52"/>
      <c r="BE17" s="52"/>
      <c r="BF17" s="52"/>
      <c r="BG17" s="52"/>
      <c r="BH17" s="52"/>
      <c r="BI17" s="52"/>
      <c r="BJ17" s="52"/>
      <c r="BK17" s="52"/>
      <c r="BL17" s="52"/>
      <c r="BM17" s="52"/>
      <c r="BN17" s="52"/>
      <c r="BO17" s="52"/>
      <c r="BP17" s="52"/>
      <c r="BQ17" s="52"/>
      <c r="BR17" s="52"/>
      <c r="BS17" s="52"/>
    </row>
    <row r="18" spans="1:71" s="74" customFormat="1" ht="12" customHeight="1" x14ac:dyDescent="0.2">
      <c r="A18" s="68"/>
      <c r="B18" s="69"/>
      <c r="C18" s="70"/>
      <c r="D18" s="85" t="s">
        <v>75</v>
      </c>
      <c r="E18" s="86">
        <v>4.4934746187631021</v>
      </c>
      <c r="F18" s="64">
        <v>2.6777084356616854</v>
      </c>
      <c r="G18" s="64">
        <v>1.6110480305113555</v>
      </c>
      <c r="H18" s="87">
        <v>4.2798124333070007</v>
      </c>
      <c r="I18" s="87">
        <v>3.8817591438216965</v>
      </c>
      <c r="J18" s="87">
        <v>5.1632109000728548</v>
      </c>
      <c r="K18" s="87">
        <v>5.1826902858052648</v>
      </c>
      <c r="L18" s="87">
        <v>1.7708190890414386</v>
      </c>
      <c r="M18" s="87">
        <v>3.010016307596743</v>
      </c>
      <c r="N18" s="87">
        <v>1.8022733120588441</v>
      </c>
      <c r="O18" s="87">
        <v>3.0859612090986133</v>
      </c>
      <c r="P18" s="87">
        <v>3.2013821365397916</v>
      </c>
      <c r="Q18" s="87">
        <v>2.6234126230555006</v>
      </c>
      <c r="R18" s="87">
        <v>2.0627476902584903</v>
      </c>
      <c r="S18" s="87">
        <v>1.0003609729592142</v>
      </c>
      <c r="T18" s="87">
        <v>-2.9495876427671277</v>
      </c>
      <c r="U18" s="87">
        <v>3.0835142198872205</v>
      </c>
      <c r="V18" s="87">
        <v>3.1412190013903967</v>
      </c>
      <c r="W18" s="87">
        <v>1.7454722831800495</v>
      </c>
      <c r="X18" s="87">
        <v>2.4750018591249017</v>
      </c>
      <c r="Y18" s="87">
        <v>2.8557392043641983</v>
      </c>
      <c r="Z18" s="87">
        <v>1.0008824940799173</v>
      </c>
      <c r="AA18" s="87">
        <v>1.414102745576912</v>
      </c>
      <c r="AB18" s="83">
        <v>3.0473506807596493</v>
      </c>
      <c r="AC18" s="84"/>
      <c r="AD18" s="52"/>
      <c r="AE18" s="52"/>
      <c r="AF18" s="52"/>
      <c r="AG18" s="52"/>
      <c r="AH18" s="52"/>
      <c r="AI18" s="52"/>
      <c r="AJ18" s="52"/>
      <c r="AK18" s="52"/>
      <c r="AL18" s="52"/>
      <c r="AM18" s="52"/>
      <c r="AN18" s="52"/>
      <c r="AO18" s="52"/>
      <c r="AP18" s="52"/>
      <c r="AQ18" s="52"/>
      <c r="AR18" s="52"/>
      <c r="AS18" s="52"/>
      <c r="AT18" s="52"/>
      <c r="AU18" s="52"/>
      <c r="AV18" s="52"/>
      <c r="AW18" s="52"/>
      <c r="AX18" s="52"/>
      <c r="AY18" s="52"/>
      <c r="AZ18" s="62"/>
      <c r="BA18" s="52"/>
      <c r="BB18" s="52"/>
      <c r="BC18" s="52"/>
      <c r="BD18" s="52"/>
      <c r="BE18" s="52"/>
      <c r="BF18" s="52"/>
      <c r="BG18" s="52"/>
      <c r="BH18" s="52"/>
      <c r="BI18" s="52"/>
      <c r="BJ18" s="52"/>
      <c r="BK18" s="52"/>
      <c r="BL18" s="52"/>
      <c r="BM18" s="52"/>
      <c r="BN18" s="52"/>
      <c r="BO18" s="52"/>
      <c r="BP18" s="52"/>
      <c r="BQ18" s="52"/>
      <c r="BR18" s="52"/>
      <c r="BS18" s="52"/>
    </row>
    <row r="19" spans="1:71" s="74" customFormat="1" ht="12" customHeight="1" x14ac:dyDescent="0.2">
      <c r="A19" s="68"/>
      <c r="B19" s="69"/>
      <c r="C19" s="70"/>
      <c r="D19" s="85" t="s">
        <v>76</v>
      </c>
      <c r="E19" s="86">
        <v>5.0301979774230858</v>
      </c>
      <c r="F19" s="64">
        <v>8.9332958694526781</v>
      </c>
      <c r="G19" s="64">
        <v>6.8029165957768924</v>
      </c>
      <c r="H19" s="87">
        <v>7.4278898078901534</v>
      </c>
      <c r="I19" s="87">
        <v>4.3245794968563445</v>
      </c>
      <c r="J19" s="87">
        <v>-0.41209616703309848</v>
      </c>
      <c r="K19" s="87">
        <v>5.3269384191236213</v>
      </c>
      <c r="L19" s="87">
        <v>3.3030473125086957</v>
      </c>
      <c r="M19" s="87">
        <v>3.1069705322706085</v>
      </c>
      <c r="N19" s="87">
        <v>4.0910476847042077</v>
      </c>
      <c r="O19" s="87">
        <v>7.2095397094503539</v>
      </c>
      <c r="P19" s="87">
        <v>5.7428304894511655</v>
      </c>
      <c r="Q19" s="87">
        <v>6.3171763431471391</v>
      </c>
      <c r="R19" s="87">
        <v>4.9053245035615589</v>
      </c>
      <c r="S19" s="87">
        <v>3.5295305532651753</v>
      </c>
      <c r="T19" s="87">
        <v>-1.5642394429906972</v>
      </c>
      <c r="U19" s="87">
        <v>5.8441772957899616</v>
      </c>
      <c r="V19" s="87">
        <v>6.1109188291364376</v>
      </c>
      <c r="W19" s="87">
        <v>5.3186280004141651</v>
      </c>
      <c r="X19" s="87">
        <v>4.0450042980961598</v>
      </c>
      <c r="Y19" s="87">
        <v>1.7667397837483492</v>
      </c>
      <c r="Z19" s="87">
        <v>2.3052571383925198</v>
      </c>
      <c r="AA19" s="87">
        <v>1.2658676030013538</v>
      </c>
      <c r="AB19" s="83">
        <v>1.489906004461659</v>
      </c>
      <c r="AC19" s="84"/>
      <c r="AD19" s="52"/>
      <c r="AE19" s="52"/>
      <c r="AF19" s="52"/>
      <c r="AG19" s="52"/>
      <c r="AH19" s="52"/>
      <c r="AI19" s="52"/>
      <c r="AJ19" s="52"/>
      <c r="AK19" s="52"/>
      <c r="AL19" s="52"/>
      <c r="AM19" s="52"/>
      <c r="AN19" s="52"/>
      <c r="AO19" s="52"/>
      <c r="AP19" s="52"/>
      <c r="AQ19" s="52"/>
      <c r="AR19" s="52"/>
      <c r="AS19" s="52"/>
      <c r="AT19" s="52"/>
      <c r="AU19" s="52"/>
      <c r="AV19" s="52"/>
      <c r="AW19" s="52"/>
      <c r="AX19" s="52"/>
      <c r="AY19" s="52"/>
      <c r="AZ19" s="62"/>
      <c r="BA19" s="52"/>
      <c r="BB19" s="52"/>
      <c r="BC19" s="52"/>
      <c r="BD19" s="52"/>
      <c r="BE19" s="52"/>
      <c r="BF19" s="52"/>
      <c r="BG19" s="52"/>
      <c r="BH19" s="52"/>
      <c r="BI19" s="52"/>
      <c r="BJ19" s="52"/>
      <c r="BK19" s="52"/>
      <c r="BL19" s="52"/>
      <c r="BM19" s="52"/>
      <c r="BN19" s="52"/>
      <c r="BO19" s="52"/>
      <c r="BP19" s="52"/>
      <c r="BQ19" s="52"/>
      <c r="BR19" s="52"/>
      <c r="BS19" s="52"/>
    </row>
    <row r="20" spans="1:71" s="74" customFormat="1" ht="12" customHeight="1" x14ac:dyDescent="0.2">
      <c r="A20" s="68"/>
      <c r="B20" s="69"/>
      <c r="C20" s="70"/>
      <c r="D20" s="85" t="s">
        <v>77</v>
      </c>
      <c r="E20" s="86">
        <v>5.8358114944453376</v>
      </c>
      <c r="F20" s="64">
        <v>5.2024375925564073</v>
      </c>
      <c r="G20" s="64">
        <v>2.0558547121422492</v>
      </c>
      <c r="H20" s="87">
        <v>3.4302936782928839</v>
      </c>
      <c r="I20" s="87">
        <v>0.56978408985209228</v>
      </c>
      <c r="J20" s="87">
        <v>-4.2040152437057969</v>
      </c>
      <c r="K20" s="87">
        <v>4.4199929995813818</v>
      </c>
      <c r="L20" s="87">
        <v>1.6778983077036571</v>
      </c>
      <c r="M20" s="87">
        <v>2.5039804654986</v>
      </c>
      <c r="N20" s="87">
        <v>3.9182719036083</v>
      </c>
      <c r="O20" s="87">
        <v>5.3330220674539248</v>
      </c>
      <c r="P20" s="87">
        <v>4.7065559338311829</v>
      </c>
      <c r="Q20" s="87">
        <v>6.6975152577052768</v>
      </c>
      <c r="R20" s="87">
        <v>6.9006276554122223</v>
      </c>
      <c r="S20" s="87">
        <v>3.5468048857810714</v>
      </c>
      <c r="T20" s="87">
        <v>1.6515492452905391</v>
      </c>
      <c r="U20" s="87">
        <v>3.9718007047375323</v>
      </c>
      <c r="V20" s="87">
        <v>6.5895115155711466</v>
      </c>
      <c r="W20" s="87">
        <v>4.0439438063715016</v>
      </c>
      <c r="X20" s="87">
        <v>4.8740655793408081</v>
      </c>
      <c r="Y20" s="87">
        <v>4.3936083396951489</v>
      </c>
      <c r="Z20" s="87">
        <v>3.0520165732996105</v>
      </c>
      <c r="AA20" s="87">
        <v>2.0430597332389766</v>
      </c>
      <c r="AB20" s="83">
        <v>1.768071777995857</v>
      </c>
      <c r="AC20" s="84"/>
      <c r="AD20" s="52"/>
      <c r="AE20" s="52"/>
      <c r="AF20" s="52"/>
      <c r="AG20" s="52"/>
      <c r="AH20" s="52"/>
      <c r="AI20" s="52"/>
      <c r="AJ20" s="52"/>
      <c r="AK20" s="52"/>
      <c r="AL20" s="52"/>
      <c r="AM20" s="52"/>
      <c r="AN20" s="52"/>
      <c r="AO20" s="52"/>
      <c r="AP20" s="52"/>
      <c r="AQ20" s="52"/>
      <c r="AR20" s="52"/>
      <c r="AS20" s="52"/>
      <c r="AT20" s="52"/>
      <c r="AU20" s="52"/>
      <c r="AV20" s="52"/>
      <c r="AW20" s="52"/>
      <c r="AX20" s="52"/>
      <c r="AY20" s="52"/>
      <c r="AZ20" s="62"/>
      <c r="BA20" s="52"/>
      <c r="BB20" s="52"/>
      <c r="BC20" s="52"/>
      <c r="BD20" s="52"/>
      <c r="BE20" s="52"/>
      <c r="BF20" s="52"/>
      <c r="BG20" s="52"/>
      <c r="BH20" s="52"/>
      <c r="BI20" s="52"/>
      <c r="BJ20" s="52"/>
      <c r="BK20" s="52"/>
      <c r="BL20" s="52"/>
      <c r="BM20" s="52"/>
      <c r="BN20" s="52"/>
      <c r="BO20" s="52"/>
      <c r="BP20" s="52"/>
      <c r="BQ20" s="52"/>
      <c r="BR20" s="52"/>
      <c r="BS20" s="52"/>
    </row>
    <row r="21" spans="1:71" s="74" customFormat="1" ht="12" customHeight="1" x14ac:dyDescent="0.2">
      <c r="A21" s="68"/>
      <c r="B21" s="69"/>
      <c r="C21" s="70"/>
      <c r="D21" s="85" t="s">
        <v>78</v>
      </c>
      <c r="E21" s="86">
        <v>3.2999995912365705</v>
      </c>
      <c r="F21" s="64">
        <v>4.1124190399342524</v>
      </c>
      <c r="G21" s="64">
        <v>4.6024610452861623</v>
      </c>
      <c r="H21" s="87">
        <v>4.1963575760962044</v>
      </c>
      <c r="I21" s="87">
        <v>4.7003907788652413</v>
      </c>
      <c r="J21" s="87">
        <v>4.399996859916115</v>
      </c>
      <c r="K21" s="87">
        <v>3.7000001146381294</v>
      </c>
      <c r="L21" s="87">
        <v>4</v>
      </c>
      <c r="M21" s="87">
        <v>4.4999996992940936</v>
      </c>
      <c r="N21" s="87">
        <v>5.1999999839391364</v>
      </c>
      <c r="O21" s="87">
        <v>5.5999999898220096</v>
      </c>
      <c r="P21" s="87">
        <v>5.9000039528815051</v>
      </c>
      <c r="Q21" s="87">
        <v>6.3999124185638863</v>
      </c>
      <c r="R21" s="87">
        <v>4.3468191531194975</v>
      </c>
      <c r="S21" s="87">
        <v>9.1497990937752718</v>
      </c>
      <c r="T21" s="87">
        <v>4.8444868887808354</v>
      </c>
      <c r="U21" s="87">
        <v>7.8997119121631414</v>
      </c>
      <c r="V21" s="87">
        <v>14.047123646832532</v>
      </c>
      <c r="W21" s="87">
        <v>9.2927894143528533</v>
      </c>
      <c r="X21" s="87">
        <v>7.3125250210122914</v>
      </c>
      <c r="Y21" s="87">
        <v>3.9858656241520691</v>
      </c>
      <c r="Z21" s="87">
        <v>3.8370408642340408</v>
      </c>
      <c r="AA21" s="87">
        <v>3.7219029045057397</v>
      </c>
      <c r="AB21" s="83">
        <v>8.5071562189906729</v>
      </c>
      <c r="AC21" s="84"/>
      <c r="AD21" s="52"/>
      <c r="AE21" s="52"/>
      <c r="AF21" s="52"/>
      <c r="AG21" s="52"/>
      <c r="AH21" s="52"/>
      <c r="AI21" s="52"/>
      <c r="AJ21" s="52"/>
      <c r="AK21" s="52"/>
      <c r="AL21" s="52"/>
      <c r="AM21" s="52"/>
      <c r="AN21" s="52"/>
      <c r="AO21" s="52"/>
      <c r="AP21" s="52"/>
      <c r="AQ21" s="52"/>
      <c r="AR21" s="52"/>
      <c r="AS21" s="52"/>
      <c r="AT21" s="52"/>
      <c r="AU21" s="52"/>
      <c r="AV21" s="52"/>
      <c r="AW21" s="52"/>
      <c r="AX21" s="52"/>
      <c r="AY21" s="52"/>
      <c r="AZ21" s="62"/>
      <c r="BA21" s="52"/>
      <c r="BB21" s="52"/>
      <c r="BC21" s="52"/>
      <c r="BD21" s="52"/>
      <c r="BE21" s="52"/>
      <c r="BF21" s="52"/>
      <c r="BG21" s="52"/>
      <c r="BH21" s="52"/>
      <c r="BI21" s="52"/>
      <c r="BJ21" s="52"/>
      <c r="BK21" s="52"/>
      <c r="BL21" s="52"/>
      <c r="BM21" s="52"/>
      <c r="BN21" s="52"/>
      <c r="BO21" s="52"/>
      <c r="BP21" s="52"/>
      <c r="BQ21" s="52"/>
      <c r="BR21" s="52"/>
      <c r="BS21" s="52"/>
    </row>
    <row r="22" spans="1:71" s="74" customFormat="1" ht="12" customHeight="1" x14ac:dyDescent="0.2">
      <c r="A22" s="68"/>
      <c r="B22" s="69"/>
      <c r="C22" s="70"/>
      <c r="D22" s="85" t="s">
        <v>79</v>
      </c>
      <c r="E22" s="86"/>
      <c r="F22" s="64"/>
      <c r="G22" s="64"/>
      <c r="H22" s="87">
        <v>5.1039645672458391</v>
      </c>
      <c r="I22" s="87">
        <v>7.0186080350749194</v>
      </c>
      <c r="J22" s="87">
        <v>3.8944940797623389</v>
      </c>
      <c r="K22" s="87">
        <v>4.6029920885223135</v>
      </c>
      <c r="L22" s="87">
        <v>3.927535516076901</v>
      </c>
      <c r="M22" s="87">
        <v>0.55050496162725437</v>
      </c>
      <c r="N22" s="87">
        <v>2.356712931706312</v>
      </c>
      <c r="O22" s="87">
        <v>8.0742886851061826</v>
      </c>
      <c r="P22" s="87">
        <v>6.3905264752380759</v>
      </c>
      <c r="Q22" s="87">
        <v>5.0171874356297934</v>
      </c>
      <c r="R22" s="87">
        <v>9.4282806164375188</v>
      </c>
      <c r="S22" s="87">
        <v>1.6589137461150614</v>
      </c>
      <c r="T22" s="87">
        <v>-6.5052544195324629</v>
      </c>
      <c r="U22" s="87">
        <v>-3.6056369832853079</v>
      </c>
      <c r="V22" s="87">
        <v>1.9630239751195404</v>
      </c>
      <c r="W22" s="87">
        <v>1.3192600914824624</v>
      </c>
      <c r="X22" s="87">
        <v>4.3081378698682755</v>
      </c>
      <c r="Y22" s="87">
        <v>2.2003468907579702</v>
      </c>
      <c r="Z22" s="87">
        <v>4.311317806163089</v>
      </c>
      <c r="AA22" s="87">
        <v>7.4814502385648325</v>
      </c>
      <c r="AB22" s="83">
        <v>3.6422268023882367</v>
      </c>
      <c r="AC22" s="84"/>
      <c r="AD22" s="52"/>
      <c r="AE22" s="52"/>
      <c r="AF22" s="52"/>
      <c r="AG22" s="52"/>
      <c r="AH22" s="52"/>
      <c r="AI22" s="52"/>
      <c r="AJ22" s="52"/>
      <c r="AK22" s="52"/>
      <c r="AL22" s="52"/>
      <c r="AM22" s="52"/>
      <c r="AN22" s="52"/>
      <c r="AO22" s="52"/>
      <c r="AP22" s="52"/>
      <c r="AQ22" s="52"/>
      <c r="AR22" s="52"/>
      <c r="AS22" s="52"/>
      <c r="AT22" s="52"/>
      <c r="AU22" s="52"/>
      <c r="AV22" s="52"/>
      <c r="AW22" s="52"/>
      <c r="AX22" s="52"/>
      <c r="AY22" s="52"/>
      <c r="AZ22" s="62"/>
      <c r="BA22" s="52"/>
      <c r="BB22" s="52"/>
      <c r="BC22" s="52"/>
      <c r="BD22" s="52"/>
      <c r="BE22" s="52"/>
      <c r="BF22" s="52"/>
      <c r="BG22" s="52"/>
      <c r="BH22" s="52"/>
      <c r="BI22" s="52"/>
      <c r="BJ22" s="52"/>
      <c r="BK22" s="52"/>
      <c r="BL22" s="52"/>
      <c r="BM22" s="52"/>
      <c r="BN22" s="52"/>
      <c r="BO22" s="52"/>
      <c r="BP22" s="52"/>
      <c r="BQ22" s="52"/>
      <c r="BR22" s="52"/>
      <c r="BS22" s="52"/>
    </row>
    <row r="23" spans="1:71" s="74" customFormat="1" ht="12" customHeight="1" x14ac:dyDescent="0.2">
      <c r="A23" s="68"/>
      <c r="B23" s="69"/>
      <c r="C23" s="70"/>
      <c r="D23" s="85" t="s">
        <v>80</v>
      </c>
      <c r="E23" s="86">
        <v>6.658924067346021</v>
      </c>
      <c r="F23" s="64">
        <v>7.574491840333522</v>
      </c>
      <c r="G23" s="64">
        <v>7.5495222488652729</v>
      </c>
      <c r="H23" s="87">
        <v>4.049820849067558</v>
      </c>
      <c r="I23" s="87">
        <v>6.184415820709475</v>
      </c>
      <c r="J23" s="87">
        <v>8.8457555610989829</v>
      </c>
      <c r="K23" s="87">
        <v>3.8409911568980846</v>
      </c>
      <c r="L23" s="87">
        <v>4.8239662639883392</v>
      </c>
      <c r="M23" s="87">
        <v>3.8039753212724321</v>
      </c>
      <c r="N23" s="87">
        <v>7.8603814754530248</v>
      </c>
      <c r="O23" s="87">
        <v>7.9229434184940146</v>
      </c>
      <c r="P23" s="87">
        <v>9.2848246159989287</v>
      </c>
      <c r="Q23" s="87">
        <v>9.2639647589363818</v>
      </c>
      <c r="R23" s="87">
        <v>9.8013603367151205</v>
      </c>
      <c r="S23" s="87">
        <v>3.8909570624956444</v>
      </c>
      <c r="T23" s="87">
        <v>8.4797838969021768</v>
      </c>
      <c r="U23" s="87">
        <v>10.25996306455454</v>
      </c>
      <c r="V23" s="87">
        <v>6.6383637999949343</v>
      </c>
      <c r="W23" s="87">
        <v>5.4563875516470119</v>
      </c>
      <c r="X23" s="87">
        <v>6.3861064009234809</v>
      </c>
      <c r="Y23" s="87">
        <v>7.410227605164053</v>
      </c>
      <c r="Z23" s="87">
        <v>8.1544250277990784</v>
      </c>
      <c r="AA23" s="87">
        <v>7.1126860972615731</v>
      </c>
      <c r="AB23" s="83">
        <v>6.6242271160448212</v>
      </c>
      <c r="AC23" s="84"/>
      <c r="AD23" s="52"/>
      <c r="AE23" s="52"/>
      <c r="AF23" s="52"/>
      <c r="AG23" s="52"/>
      <c r="AH23" s="52"/>
      <c r="AI23" s="52"/>
      <c r="AJ23" s="52"/>
      <c r="AK23" s="52"/>
      <c r="AL23" s="52"/>
      <c r="AM23" s="52"/>
      <c r="AN23" s="52"/>
      <c r="AO23" s="52"/>
      <c r="AP23" s="52"/>
      <c r="AQ23" s="52"/>
      <c r="AR23" s="52"/>
      <c r="AS23" s="52"/>
      <c r="AT23" s="52"/>
      <c r="AU23" s="52"/>
      <c r="AV23" s="52"/>
      <c r="AW23" s="52"/>
      <c r="AX23" s="52"/>
      <c r="AY23" s="52"/>
      <c r="AZ23" s="62"/>
      <c r="BA23" s="52"/>
      <c r="BB23" s="52"/>
      <c r="BC23" s="52"/>
      <c r="BD23" s="52"/>
      <c r="BE23" s="52"/>
      <c r="BF23" s="52"/>
      <c r="BG23" s="52"/>
      <c r="BH23" s="52"/>
      <c r="BI23" s="52"/>
      <c r="BJ23" s="52"/>
      <c r="BK23" s="52"/>
      <c r="BL23" s="52"/>
      <c r="BM23" s="52"/>
      <c r="BN23" s="52"/>
      <c r="BO23" s="52"/>
      <c r="BP23" s="52"/>
      <c r="BQ23" s="52"/>
      <c r="BR23" s="52"/>
      <c r="BS23" s="52"/>
    </row>
    <row r="24" spans="1:71" s="74" customFormat="1" ht="12" customHeight="1" x14ac:dyDescent="0.2">
      <c r="A24" s="68"/>
      <c r="B24" s="69"/>
      <c r="C24" s="70"/>
      <c r="D24" s="85" t="s">
        <v>81</v>
      </c>
      <c r="E24" s="86">
        <v>7.5399710955143888</v>
      </c>
      <c r="F24" s="64">
        <v>8.2200073990349267</v>
      </c>
      <c r="G24" s="64">
        <v>7.8181870767086679</v>
      </c>
      <c r="H24" s="87">
        <v>4.699878853903968</v>
      </c>
      <c r="I24" s="87">
        <v>-13.126725492381823</v>
      </c>
      <c r="J24" s="87">
        <v>0.79112608199847045</v>
      </c>
      <c r="K24" s="87">
        <v>4.9200677470169012</v>
      </c>
      <c r="L24" s="87">
        <v>3.6434664472149336</v>
      </c>
      <c r="M24" s="87">
        <v>4.4994753908576399</v>
      </c>
      <c r="N24" s="87">
        <v>4.7803691216765429</v>
      </c>
      <c r="O24" s="87">
        <v>5.0308739450168503</v>
      </c>
      <c r="P24" s="87">
        <v>5.6925713038338444</v>
      </c>
      <c r="Q24" s="87">
        <v>5.5009517852034833</v>
      </c>
      <c r="R24" s="87">
        <v>6.3450222266721426</v>
      </c>
      <c r="S24" s="87">
        <v>6.0137036000912332</v>
      </c>
      <c r="T24" s="87">
        <v>4.6288711825615394</v>
      </c>
      <c r="U24" s="87">
        <v>6.2238541806236611</v>
      </c>
      <c r="V24" s="87">
        <v>6.1697842077100802</v>
      </c>
      <c r="W24" s="87">
        <v>6.0300506530561222</v>
      </c>
      <c r="X24" s="87">
        <v>5.5572636889101261</v>
      </c>
      <c r="Y24" s="87">
        <v>5.0066684257549952</v>
      </c>
      <c r="Z24" s="87">
        <v>4.8763223002212186</v>
      </c>
      <c r="AA24" s="87">
        <v>5.0332795915301034</v>
      </c>
      <c r="AB24" s="83">
        <v>5.0676802740897529</v>
      </c>
      <c r="AC24" s="84"/>
      <c r="AD24" s="52"/>
      <c r="AE24" s="52"/>
      <c r="AF24" s="52"/>
      <c r="AG24" s="52"/>
      <c r="AH24" s="52"/>
      <c r="AI24" s="52"/>
      <c r="AJ24" s="52"/>
      <c r="AK24" s="52"/>
      <c r="AL24" s="52"/>
      <c r="AM24" s="52"/>
      <c r="AN24" s="52"/>
      <c r="AO24" s="52"/>
      <c r="AP24" s="52"/>
      <c r="AQ24" s="52"/>
      <c r="AR24" s="52"/>
      <c r="AS24" s="52"/>
      <c r="AT24" s="52"/>
      <c r="AU24" s="52"/>
      <c r="AV24" s="52"/>
      <c r="AW24" s="52"/>
      <c r="AX24" s="52"/>
      <c r="AY24" s="52"/>
      <c r="AZ24" s="62"/>
      <c r="BA24" s="52"/>
      <c r="BB24" s="52"/>
      <c r="BC24" s="52"/>
      <c r="BD24" s="52"/>
      <c r="BE24" s="52"/>
      <c r="BF24" s="52"/>
      <c r="BG24" s="52"/>
      <c r="BH24" s="52"/>
      <c r="BI24" s="52"/>
      <c r="BJ24" s="52"/>
      <c r="BK24" s="52"/>
      <c r="BL24" s="52"/>
      <c r="BM24" s="52"/>
      <c r="BN24" s="52"/>
      <c r="BO24" s="52"/>
      <c r="BP24" s="52"/>
      <c r="BQ24" s="52"/>
      <c r="BR24" s="52"/>
      <c r="BS24" s="52"/>
    </row>
    <row r="25" spans="1:71" s="74" customFormat="1" ht="12" customHeight="1" x14ac:dyDescent="0.2">
      <c r="A25" s="68"/>
      <c r="B25" s="69"/>
      <c r="C25" s="70"/>
      <c r="D25" s="85" t="s">
        <v>82</v>
      </c>
      <c r="E25" s="86">
        <v>2.6327845185903271</v>
      </c>
      <c r="F25" s="64">
        <v>4.4062165258050783</v>
      </c>
      <c r="G25" s="64">
        <v>4.1468392671670955</v>
      </c>
      <c r="H25" s="87">
        <v>0.47490192048410051</v>
      </c>
      <c r="I25" s="87">
        <v>3.2902137230934585</v>
      </c>
      <c r="J25" s="87">
        <v>2.3053885959187284</v>
      </c>
      <c r="K25" s="87">
        <v>0.59969539161363627</v>
      </c>
      <c r="L25" s="87">
        <v>3.7799064962898683</v>
      </c>
      <c r="M25" s="87">
        <v>0.5468595299945207</v>
      </c>
      <c r="N25" s="87">
        <v>2.9324755461927339</v>
      </c>
      <c r="O25" s="87">
        <v>5.1042997756893413</v>
      </c>
      <c r="P25" s="87">
        <v>5.9066660816801289</v>
      </c>
      <c r="Q25" s="87">
        <v>6.4724942986248237</v>
      </c>
      <c r="R25" s="87">
        <v>6.850729770631375</v>
      </c>
      <c r="S25" s="87">
        <v>0.23228274566594109</v>
      </c>
      <c r="T25" s="87">
        <v>3.306939815347576</v>
      </c>
      <c r="U25" s="87">
        <v>8.4056992242171873</v>
      </c>
      <c r="V25" s="87">
        <v>6.1082637197964971</v>
      </c>
      <c r="W25" s="87">
        <v>4.5632091307112006</v>
      </c>
      <c r="X25" s="87">
        <v>5.8786894770261711</v>
      </c>
      <c r="Y25" s="87">
        <v>5.3571167781201154</v>
      </c>
      <c r="Z25" s="87">
        <v>5.7185071313351443</v>
      </c>
      <c r="AA25" s="87">
        <v>5.8691928491103198</v>
      </c>
      <c r="AB25" s="83">
        <v>4.8854444803255035</v>
      </c>
      <c r="AC25" s="84"/>
      <c r="AD25" s="52"/>
      <c r="AE25" s="52"/>
      <c r="AF25" s="52"/>
      <c r="AG25" s="52"/>
      <c r="AH25" s="52"/>
      <c r="AI25" s="52"/>
      <c r="AJ25" s="52"/>
      <c r="AK25" s="52"/>
      <c r="AL25" s="52"/>
      <c r="AM25" s="52"/>
      <c r="AN25" s="52"/>
      <c r="AO25" s="52"/>
      <c r="AP25" s="52"/>
      <c r="AQ25" s="52"/>
      <c r="AR25" s="52"/>
      <c r="AS25" s="52"/>
      <c r="AT25" s="52"/>
      <c r="AU25" s="52"/>
      <c r="AV25" s="52"/>
      <c r="AW25" s="52"/>
      <c r="AX25" s="52"/>
      <c r="AY25" s="52"/>
      <c r="AZ25" s="62"/>
      <c r="BA25" s="52"/>
      <c r="BB25" s="52"/>
      <c r="BC25" s="52"/>
      <c r="BD25" s="52"/>
      <c r="BE25" s="52"/>
      <c r="BF25" s="52"/>
      <c r="BG25" s="52"/>
      <c r="BH25" s="52"/>
      <c r="BI25" s="52"/>
      <c r="BJ25" s="52"/>
      <c r="BK25" s="52"/>
      <c r="BL25" s="52"/>
      <c r="BM25" s="52"/>
      <c r="BN25" s="52"/>
      <c r="BO25" s="52"/>
      <c r="BP25" s="52"/>
      <c r="BQ25" s="52"/>
      <c r="BR25" s="52"/>
      <c r="BS25" s="52"/>
    </row>
    <row r="26" spans="1:71" s="74" customFormat="1" ht="12" customHeight="1" x14ac:dyDescent="0.2">
      <c r="A26" s="68"/>
      <c r="B26" s="69"/>
      <c r="C26" s="70"/>
      <c r="D26" s="85" t="s">
        <v>83</v>
      </c>
      <c r="E26" s="86">
        <v>9.206141515013158</v>
      </c>
      <c r="F26" s="64">
        <v>9.5706041321593602</v>
      </c>
      <c r="G26" s="64">
        <v>7.5945090893005016</v>
      </c>
      <c r="H26" s="87">
        <v>5.9221854644983125</v>
      </c>
      <c r="I26" s="87">
        <v>-5.4712192582852026</v>
      </c>
      <c r="J26" s="87">
        <v>11.308621493625751</v>
      </c>
      <c r="K26" s="87">
        <v>8.9244260342026678</v>
      </c>
      <c r="L26" s="87">
        <v>4.5253067636010513</v>
      </c>
      <c r="M26" s="87">
        <v>7.4324336136980804</v>
      </c>
      <c r="N26" s="87">
        <v>2.9332179018593649</v>
      </c>
      <c r="O26" s="87">
        <v>4.8998404504571482</v>
      </c>
      <c r="P26" s="87">
        <v>3.92367739233066</v>
      </c>
      <c r="Q26" s="87">
        <v>5.1761538182653339</v>
      </c>
      <c r="R26" s="87">
        <v>5.4633963931931788</v>
      </c>
      <c r="S26" s="87">
        <v>2.8292231734122026</v>
      </c>
      <c r="T26" s="87">
        <v>0.70750994641844045</v>
      </c>
      <c r="U26" s="87">
        <v>6.4967935855551104</v>
      </c>
      <c r="V26" s="87">
        <v>3.681688569107294</v>
      </c>
      <c r="W26" s="87">
        <v>2.2923978462567902</v>
      </c>
      <c r="X26" s="87">
        <v>2.8962049350710402</v>
      </c>
      <c r="Y26" s="87">
        <v>3.3414477612999605</v>
      </c>
      <c r="Z26" s="87">
        <v>2.7902361671465741</v>
      </c>
      <c r="AA26" s="87">
        <v>2.9293047947001014</v>
      </c>
      <c r="AB26" s="83">
        <v>3.0627684624326292</v>
      </c>
      <c r="AC26" s="84"/>
      <c r="AD26" s="52"/>
      <c r="AE26" s="52"/>
      <c r="AF26" s="52"/>
      <c r="AG26" s="52"/>
      <c r="AH26" s="52"/>
      <c r="AI26" s="52"/>
      <c r="AJ26" s="52"/>
      <c r="AK26" s="52"/>
      <c r="AL26" s="52"/>
      <c r="AM26" s="52"/>
      <c r="AN26" s="52"/>
      <c r="AO26" s="52"/>
      <c r="AP26" s="52"/>
      <c r="AQ26" s="52"/>
      <c r="AR26" s="52"/>
      <c r="AS26" s="52"/>
      <c r="AT26" s="52"/>
      <c r="AU26" s="52"/>
      <c r="AV26" s="52"/>
      <c r="AW26" s="52"/>
      <c r="AX26" s="52"/>
      <c r="AY26" s="52"/>
      <c r="AZ26" s="62"/>
      <c r="BA26" s="52"/>
      <c r="BB26" s="52"/>
      <c r="BC26" s="52"/>
      <c r="BD26" s="52"/>
      <c r="BE26" s="52"/>
      <c r="BF26" s="52"/>
      <c r="BG26" s="52"/>
      <c r="BH26" s="52"/>
      <c r="BI26" s="52"/>
      <c r="BJ26" s="52"/>
      <c r="BK26" s="52"/>
      <c r="BL26" s="52"/>
      <c r="BM26" s="52"/>
      <c r="BN26" s="52"/>
      <c r="BO26" s="52"/>
      <c r="BP26" s="52"/>
      <c r="BQ26" s="52"/>
      <c r="BR26" s="52"/>
      <c r="BS26" s="52"/>
    </row>
    <row r="27" spans="1:71" s="74" customFormat="1" ht="12" customHeight="1" x14ac:dyDescent="0.2">
      <c r="A27" s="68"/>
      <c r="B27" s="69"/>
      <c r="C27" s="70"/>
      <c r="D27" s="85" t="s">
        <v>84</v>
      </c>
      <c r="E27" s="86">
        <v>9.212041809439043</v>
      </c>
      <c r="F27" s="64">
        <v>9.8290851805711128</v>
      </c>
      <c r="G27" s="64">
        <v>10.002700675168768</v>
      </c>
      <c r="H27" s="87">
        <v>7.3227418545272798</v>
      </c>
      <c r="I27" s="87">
        <v>-7.3594151915979893</v>
      </c>
      <c r="J27" s="87">
        <v>6.1376120107332639</v>
      </c>
      <c r="K27" s="87">
        <v>8.8588681742510715</v>
      </c>
      <c r="L27" s="87">
        <v>0.51767531516469489</v>
      </c>
      <c r="M27" s="87">
        <v>5.3909883152917928</v>
      </c>
      <c r="N27" s="87">
        <v>5.788499280907061</v>
      </c>
      <c r="O27" s="87">
        <v>6.7834377362836307</v>
      </c>
      <c r="P27" s="87">
        <v>5.3321391392424573</v>
      </c>
      <c r="Q27" s="87">
        <v>5.5848470688658551</v>
      </c>
      <c r="R27" s="87">
        <v>6.2987859273508491</v>
      </c>
      <c r="S27" s="87">
        <v>4.8317698951132257</v>
      </c>
      <c r="T27" s="87">
        <v>-1.5135287265563875</v>
      </c>
      <c r="U27" s="87">
        <v>7.4248473927781049</v>
      </c>
      <c r="V27" s="87">
        <v>5.2939128402282023</v>
      </c>
      <c r="W27" s="87">
        <v>5.473454192295236</v>
      </c>
      <c r="X27" s="87">
        <v>4.693722520199799</v>
      </c>
      <c r="Y27" s="87">
        <v>6.0067219499937181</v>
      </c>
      <c r="Z27" s="87">
        <v>5.0280063489617675</v>
      </c>
      <c r="AA27" s="87">
        <v>4.2198513196439507</v>
      </c>
      <c r="AB27" s="83">
        <v>5.9017692223705183</v>
      </c>
      <c r="AC27" s="84"/>
      <c r="AD27" s="52"/>
      <c r="AE27" s="52"/>
      <c r="AF27" s="52"/>
      <c r="AG27" s="52"/>
      <c r="AH27" s="52"/>
      <c r="AI27" s="52"/>
      <c r="AJ27" s="52"/>
      <c r="AK27" s="52"/>
      <c r="AL27" s="52"/>
      <c r="AM27" s="52"/>
      <c r="AN27" s="52"/>
      <c r="AO27" s="52"/>
      <c r="AP27" s="52"/>
      <c r="AQ27" s="52"/>
      <c r="AR27" s="52"/>
      <c r="AS27" s="52"/>
      <c r="AT27" s="52"/>
      <c r="AU27" s="52"/>
      <c r="AV27" s="52"/>
      <c r="AW27" s="52"/>
      <c r="AX27" s="52"/>
      <c r="AY27" s="52"/>
      <c r="AZ27" s="62"/>
      <c r="BA27" s="52"/>
      <c r="BB27" s="52"/>
      <c r="BC27" s="52"/>
      <c r="BD27" s="52"/>
      <c r="BE27" s="52"/>
      <c r="BF27" s="52"/>
      <c r="BG27" s="52"/>
      <c r="BH27" s="52"/>
      <c r="BI27" s="52"/>
      <c r="BJ27" s="52"/>
      <c r="BK27" s="52"/>
      <c r="BL27" s="52"/>
      <c r="BM27" s="52"/>
      <c r="BN27" s="52"/>
      <c r="BO27" s="52"/>
      <c r="BP27" s="52"/>
      <c r="BQ27" s="52"/>
      <c r="BR27" s="52"/>
      <c r="BS27" s="52"/>
    </row>
    <row r="28" spans="1:71" s="74" customFormat="1" ht="12" customHeight="1" x14ac:dyDescent="0.2">
      <c r="A28" s="68"/>
      <c r="B28" s="69"/>
      <c r="C28" s="70"/>
      <c r="D28" s="85" t="s">
        <v>85</v>
      </c>
      <c r="E28" s="86">
        <v>4.9410806756874308</v>
      </c>
      <c r="F28" s="64">
        <v>-6.2912308211011663</v>
      </c>
      <c r="G28" s="64">
        <v>6.7732586944504618</v>
      </c>
      <c r="H28" s="87">
        <v>6.8468522786242687</v>
      </c>
      <c r="I28" s="87">
        <v>5.1639251679514615</v>
      </c>
      <c r="J28" s="87">
        <v>2.7535542474823558</v>
      </c>
      <c r="K28" s="87">
        <v>4.9424537146742153</v>
      </c>
      <c r="L28" s="87">
        <v>-0.4043901266928458</v>
      </c>
      <c r="M28" s="87">
        <v>-3.9844481468534809E-2</v>
      </c>
      <c r="N28" s="87">
        <v>1.4463826837036038</v>
      </c>
      <c r="O28" s="87">
        <v>3.920590810287905</v>
      </c>
      <c r="P28" s="87">
        <v>2.3078070659173591</v>
      </c>
      <c r="Q28" s="87">
        <v>4.4950778942140772</v>
      </c>
      <c r="R28" s="87">
        <v>2.2914457211892056</v>
      </c>
      <c r="S28" s="87">
        <v>1.1435845803801499</v>
      </c>
      <c r="T28" s="87">
        <v>-5.2857441368175131</v>
      </c>
      <c r="U28" s="87">
        <v>5.1181181432116318</v>
      </c>
      <c r="V28" s="87">
        <v>3.6630079295009352</v>
      </c>
      <c r="W28" s="87">
        <v>3.6423226794134678</v>
      </c>
      <c r="X28" s="87">
        <v>1.3540919615167866</v>
      </c>
      <c r="Y28" s="87">
        <v>2.8452837445479986</v>
      </c>
      <c r="Z28" s="87">
        <v>3.270472129483835</v>
      </c>
      <c r="AA28" s="87">
        <v>2.9133282765102564</v>
      </c>
      <c r="AB28" s="83">
        <v>2.0365858341696139</v>
      </c>
      <c r="AC28" s="84"/>
      <c r="AD28" s="52"/>
      <c r="AE28" s="52"/>
      <c r="AF28" s="52"/>
      <c r="AG28" s="52"/>
      <c r="AH28" s="52"/>
      <c r="AI28" s="52"/>
      <c r="AJ28" s="52"/>
      <c r="AK28" s="52"/>
      <c r="AL28" s="52"/>
      <c r="AM28" s="52"/>
      <c r="AN28" s="52"/>
      <c r="AO28" s="52"/>
      <c r="AP28" s="52"/>
      <c r="AQ28" s="52"/>
      <c r="AR28" s="52"/>
      <c r="AS28" s="52"/>
      <c r="AT28" s="52"/>
      <c r="AU28" s="52"/>
      <c r="AV28" s="52"/>
      <c r="AW28" s="52"/>
      <c r="AX28" s="52"/>
      <c r="AY28" s="52"/>
      <c r="AZ28" s="62"/>
      <c r="BA28" s="52"/>
      <c r="BB28" s="52"/>
      <c r="BC28" s="52"/>
      <c r="BD28" s="52"/>
      <c r="BE28" s="52"/>
      <c r="BF28" s="52"/>
      <c r="BG28" s="52"/>
      <c r="BH28" s="52"/>
      <c r="BI28" s="52"/>
      <c r="BJ28" s="52"/>
      <c r="BK28" s="52"/>
      <c r="BL28" s="52"/>
      <c r="BM28" s="52"/>
      <c r="BN28" s="52"/>
      <c r="BO28" s="52"/>
      <c r="BP28" s="52"/>
      <c r="BQ28" s="52"/>
      <c r="BR28" s="52"/>
      <c r="BS28" s="52"/>
    </row>
    <row r="29" spans="1:71" s="74" customFormat="1" ht="12" customHeight="1" x14ac:dyDescent="0.2">
      <c r="A29" s="68"/>
      <c r="B29" s="69"/>
      <c r="C29" s="70"/>
      <c r="D29" s="85" t="s">
        <v>86</v>
      </c>
      <c r="E29" s="86">
        <v>5.2928020607646715</v>
      </c>
      <c r="F29" s="64">
        <v>6.9518566210887229</v>
      </c>
      <c r="G29" s="64">
        <v>6.0565795171956296</v>
      </c>
      <c r="H29" s="87">
        <v>6.4595498395918725</v>
      </c>
      <c r="I29" s="87">
        <v>4.6146475223166874</v>
      </c>
      <c r="J29" s="87">
        <v>4.6422107036169677</v>
      </c>
      <c r="K29" s="87">
        <v>4.5595711788459994</v>
      </c>
      <c r="L29" s="87">
        <v>1.2480054383831884</v>
      </c>
      <c r="M29" s="87">
        <v>2.0416038942239823</v>
      </c>
      <c r="N29" s="87">
        <v>3.5624715494692083</v>
      </c>
      <c r="O29" s="87">
        <v>5.1356495206897677</v>
      </c>
      <c r="P29" s="87">
        <v>3.4936585150303472</v>
      </c>
      <c r="Q29" s="87">
        <v>6.1796039872075141</v>
      </c>
      <c r="R29" s="87">
        <v>7.0348019871972554</v>
      </c>
      <c r="S29" s="87">
        <v>4.2497114696623157</v>
      </c>
      <c r="T29" s="87">
        <v>2.8202597590215817</v>
      </c>
      <c r="U29" s="87">
        <v>3.6069282614399327</v>
      </c>
      <c r="V29" s="87">
        <v>5.0172351999379998</v>
      </c>
      <c r="W29" s="87">
        <v>1.6079066445646788</v>
      </c>
      <c r="X29" s="87">
        <v>1.391892321249216</v>
      </c>
      <c r="Y29" s="87">
        <v>3.2831462643003704</v>
      </c>
      <c r="Z29" s="87">
        <v>3.844593971223901</v>
      </c>
      <c r="AA29" s="87">
        <v>2.8643286793010816</v>
      </c>
      <c r="AB29" s="83">
        <v>4.5503869228762852</v>
      </c>
      <c r="AC29" s="84"/>
      <c r="AD29" s="52"/>
      <c r="AE29" s="52"/>
      <c r="AF29" s="52"/>
      <c r="AG29" s="52"/>
      <c r="AH29" s="52"/>
      <c r="AI29" s="52"/>
      <c r="AJ29" s="52"/>
      <c r="AK29" s="52"/>
      <c r="AL29" s="52"/>
      <c r="AM29" s="52"/>
      <c r="AN29" s="52"/>
      <c r="AO29" s="52"/>
      <c r="AP29" s="52"/>
      <c r="AQ29" s="52"/>
      <c r="AR29" s="52"/>
      <c r="AS29" s="52"/>
      <c r="AT29" s="52"/>
      <c r="AU29" s="52"/>
      <c r="AV29" s="52"/>
      <c r="AW29" s="52"/>
      <c r="AX29" s="52"/>
      <c r="AY29" s="52"/>
      <c r="AZ29" s="62"/>
      <c r="BA29" s="52"/>
      <c r="BB29" s="52"/>
      <c r="BC29" s="52"/>
      <c r="BD29" s="52"/>
      <c r="BE29" s="52"/>
      <c r="BF29" s="52"/>
      <c r="BG29" s="52"/>
      <c r="BH29" s="52"/>
      <c r="BI29" s="52"/>
      <c r="BJ29" s="52"/>
      <c r="BK29" s="52"/>
      <c r="BL29" s="52"/>
      <c r="BM29" s="52"/>
      <c r="BN29" s="52"/>
      <c r="BO29" s="52"/>
      <c r="BP29" s="52"/>
      <c r="BQ29" s="52"/>
      <c r="BR29" s="52"/>
      <c r="BS29" s="52"/>
    </row>
    <row r="30" spans="1:71" s="74" customFormat="1" ht="12" customHeight="1" x14ac:dyDescent="0.2">
      <c r="A30" s="68"/>
      <c r="B30" s="69"/>
      <c r="C30" s="70"/>
      <c r="D30" s="85" t="s">
        <v>87</v>
      </c>
      <c r="E30" s="86">
        <v>0.96483816037724068</v>
      </c>
      <c r="F30" s="64">
        <v>4.2827804455174601</v>
      </c>
      <c r="G30" s="64">
        <v>3.4966829239504165</v>
      </c>
      <c r="H30" s="87">
        <v>4.4262103539967512</v>
      </c>
      <c r="I30" s="87">
        <v>4.7917721542073792</v>
      </c>
      <c r="J30" s="87">
        <v>3.8882133949505118</v>
      </c>
      <c r="K30" s="87">
        <v>3.7874940006001196</v>
      </c>
      <c r="L30" s="87">
        <v>1.9433052241371769</v>
      </c>
      <c r="M30" s="87">
        <v>0.76879571995517892</v>
      </c>
      <c r="N30" s="87">
        <v>-0.93420516258385078</v>
      </c>
      <c r="O30" s="87">
        <v>1.8115830412626934</v>
      </c>
      <c r="P30" s="87">
        <v>0.76678443531667995</v>
      </c>
      <c r="Q30" s="87">
        <v>1.5530538382948862</v>
      </c>
      <c r="R30" s="87">
        <v>2.4920024464220063</v>
      </c>
      <c r="S30" s="87">
        <v>0.1992722487473344</v>
      </c>
      <c r="T30" s="87">
        <v>-2.9781048002483459</v>
      </c>
      <c r="U30" s="87">
        <v>1.898691175609585</v>
      </c>
      <c r="V30" s="87">
        <v>-1.8268523506265808</v>
      </c>
      <c r="W30" s="87">
        <v>-4.0282567482528009</v>
      </c>
      <c r="X30" s="87">
        <v>-1.1301558228824433</v>
      </c>
      <c r="Y30" s="87">
        <v>0.8931877245328792</v>
      </c>
      <c r="Z30" s="87">
        <v>1.8220668261813842</v>
      </c>
      <c r="AA30" s="87">
        <v>1.619414632550999</v>
      </c>
      <c r="AB30" s="83">
        <v>2.6798271030685044</v>
      </c>
      <c r="AC30" s="84"/>
      <c r="AD30" s="52"/>
      <c r="AE30" s="52"/>
      <c r="AF30" s="52"/>
      <c r="AG30" s="52"/>
      <c r="AH30" s="52"/>
      <c r="AI30" s="52"/>
      <c r="AJ30" s="52"/>
      <c r="AK30" s="52"/>
      <c r="AL30" s="52"/>
      <c r="AM30" s="52"/>
      <c r="AN30" s="52"/>
      <c r="AO30" s="52"/>
      <c r="AP30" s="52"/>
      <c r="AQ30" s="52"/>
      <c r="AR30" s="52"/>
      <c r="AS30" s="52"/>
      <c r="AT30" s="52"/>
      <c r="AU30" s="52"/>
      <c r="AV30" s="52"/>
      <c r="AW30" s="52"/>
      <c r="AX30" s="52"/>
      <c r="AY30" s="52"/>
      <c r="AZ30" s="62"/>
      <c r="BA30" s="52"/>
      <c r="BB30" s="52"/>
      <c r="BC30" s="52"/>
      <c r="BD30" s="52"/>
      <c r="BE30" s="52"/>
      <c r="BF30" s="52"/>
      <c r="BG30" s="52"/>
      <c r="BH30" s="52"/>
      <c r="BI30" s="52"/>
      <c r="BJ30" s="52"/>
      <c r="BK30" s="52"/>
      <c r="BL30" s="52"/>
      <c r="BM30" s="52"/>
      <c r="BN30" s="52"/>
      <c r="BO30" s="52"/>
      <c r="BP30" s="52"/>
      <c r="BQ30" s="52"/>
      <c r="BR30" s="52"/>
      <c r="BS30" s="52"/>
    </row>
    <row r="31" spans="1:71" s="74" customFormat="1" ht="12" customHeight="1" x14ac:dyDescent="0.2">
      <c r="A31" s="68"/>
      <c r="B31" s="69"/>
      <c r="C31" s="70"/>
      <c r="D31" s="85" t="s">
        <v>88</v>
      </c>
      <c r="E31" s="86">
        <v>6.205530476599904</v>
      </c>
      <c r="F31" s="64">
        <v>5.8434953476241134</v>
      </c>
      <c r="G31" s="64">
        <v>6.7571472226293707</v>
      </c>
      <c r="H31" s="87">
        <v>6.0675430098124679</v>
      </c>
      <c r="I31" s="87">
        <v>4.0118137040883255</v>
      </c>
      <c r="J31" s="87">
        <v>-0.20506943900490171</v>
      </c>
      <c r="K31" s="87">
        <v>1.2101733764321381</v>
      </c>
      <c r="L31" s="87">
        <v>3.3164681947444734</v>
      </c>
      <c r="M31" s="87">
        <v>4.5227922375339062</v>
      </c>
      <c r="N31" s="87">
        <v>5.4187159343972269</v>
      </c>
      <c r="O31" s="87">
        <v>5.2588364026570673</v>
      </c>
      <c r="P31" s="87">
        <v>6.7509608339883584</v>
      </c>
      <c r="Q31" s="87">
        <v>8.4528877477358719</v>
      </c>
      <c r="R31" s="87">
        <v>10.799577048688704</v>
      </c>
      <c r="S31" s="87">
        <v>5.6297790249117128</v>
      </c>
      <c r="T31" s="87">
        <v>-5.4225423133296005</v>
      </c>
      <c r="U31" s="87">
        <v>5.0417166650381944</v>
      </c>
      <c r="V31" s="87">
        <v>2.8190995175775697</v>
      </c>
      <c r="W31" s="87">
        <v>1.657148687194109</v>
      </c>
      <c r="X31" s="87">
        <v>1.4906464378200894</v>
      </c>
      <c r="Y31" s="87">
        <v>2.750335016886325</v>
      </c>
      <c r="Z31" s="87">
        <v>3.8501006044002537</v>
      </c>
      <c r="AA31" s="87">
        <v>3.3246952959640197</v>
      </c>
      <c r="AB31" s="83">
        <v>3.4001663110798717</v>
      </c>
      <c r="AC31" s="84"/>
      <c r="AD31" s="52"/>
      <c r="AE31" s="52"/>
      <c r="AF31" s="52"/>
      <c r="AG31" s="52"/>
      <c r="AH31" s="52"/>
      <c r="AI31" s="52"/>
      <c r="AJ31" s="52"/>
      <c r="AK31" s="52"/>
      <c r="AL31" s="52"/>
      <c r="AM31" s="52"/>
      <c r="AN31" s="52"/>
      <c r="AO31" s="52"/>
      <c r="AP31" s="52"/>
      <c r="AQ31" s="52"/>
      <c r="AR31" s="52"/>
      <c r="AS31" s="52"/>
      <c r="AT31" s="52"/>
      <c r="AU31" s="52"/>
      <c r="AV31" s="52"/>
      <c r="AW31" s="52"/>
      <c r="AX31" s="52"/>
      <c r="AY31" s="52"/>
      <c r="AZ31" s="62"/>
      <c r="BA31" s="52"/>
      <c r="BB31" s="52"/>
      <c r="BC31" s="52"/>
      <c r="BD31" s="52"/>
      <c r="BE31" s="52"/>
      <c r="BF31" s="52"/>
      <c r="BG31" s="52"/>
      <c r="BH31" s="52"/>
      <c r="BI31" s="52"/>
      <c r="BJ31" s="52"/>
      <c r="BK31" s="52"/>
      <c r="BL31" s="52"/>
      <c r="BM31" s="52"/>
      <c r="BN31" s="52"/>
      <c r="BO31" s="52"/>
      <c r="BP31" s="52"/>
      <c r="BQ31" s="52"/>
      <c r="BR31" s="52"/>
      <c r="BS31" s="52"/>
    </row>
    <row r="32" spans="1:71" s="74" customFormat="1" ht="12" customHeight="1" x14ac:dyDescent="0.2">
      <c r="A32" s="68"/>
      <c r="B32" s="69"/>
      <c r="C32" s="70"/>
      <c r="D32" s="88" t="s">
        <v>89</v>
      </c>
      <c r="E32" s="89">
        <v>2.3831953157750263</v>
      </c>
      <c r="F32" s="58">
        <v>2.7574940329506461</v>
      </c>
      <c r="G32" s="58">
        <v>2.6747835878668411</v>
      </c>
      <c r="H32" s="59">
        <v>3.6896139984344387</v>
      </c>
      <c r="I32" s="59">
        <v>4.3059784469708546</v>
      </c>
      <c r="J32" s="59">
        <v>4.484774430372056</v>
      </c>
      <c r="K32" s="59">
        <v>5.2890995950591844</v>
      </c>
      <c r="L32" s="59">
        <v>4.0010738354013142</v>
      </c>
      <c r="M32" s="59">
        <v>2.8798760971945825</v>
      </c>
      <c r="N32" s="59">
        <v>3.1875714756449725</v>
      </c>
      <c r="O32" s="59">
        <v>3.1667465006120636</v>
      </c>
      <c r="P32" s="59">
        <v>3.7230017884165534</v>
      </c>
      <c r="Q32" s="59">
        <v>4.1741231864199904</v>
      </c>
      <c r="R32" s="59">
        <v>3.7689924077177324</v>
      </c>
      <c r="S32" s="59">
        <v>1.117686860029778</v>
      </c>
      <c r="T32" s="59">
        <v>-3.5737514486915671</v>
      </c>
      <c r="U32" s="59">
        <v>1.4063877762708898E-2</v>
      </c>
      <c r="V32" s="59">
        <v>-0.99876495811496113</v>
      </c>
      <c r="W32" s="59">
        <v>-2.9277505071771088</v>
      </c>
      <c r="X32" s="59">
        <v>-1.7057050003465406</v>
      </c>
      <c r="Y32" s="59">
        <v>1.3799972382426944</v>
      </c>
      <c r="Z32" s="59">
        <v>3.4322533279236467</v>
      </c>
      <c r="AA32" s="59">
        <v>3.2744627396774177</v>
      </c>
      <c r="AB32" s="90">
        <v>3.0517196161950579</v>
      </c>
      <c r="AC32" s="84"/>
      <c r="AD32" s="52"/>
      <c r="AE32" s="52"/>
      <c r="AF32" s="52"/>
      <c r="AG32" s="52"/>
      <c r="AH32" s="52"/>
      <c r="AI32" s="52"/>
      <c r="AJ32" s="52"/>
      <c r="AK32" s="52"/>
      <c r="AL32" s="52"/>
      <c r="AM32" s="52"/>
      <c r="AN32" s="52"/>
      <c r="AO32" s="52"/>
      <c r="AP32" s="52"/>
      <c r="AQ32" s="52"/>
      <c r="AR32" s="52"/>
      <c r="AS32" s="52"/>
      <c r="AT32" s="52"/>
      <c r="AU32" s="52"/>
      <c r="AV32" s="52"/>
      <c r="AW32" s="52"/>
      <c r="AX32" s="52"/>
      <c r="AY32" s="52"/>
      <c r="AZ32" s="62"/>
      <c r="BA32" s="52"/>
      <c r="BB32" s="52"/>
      <c r="BC32" s="52"/>
      <c r="BD32" s="52"/>
      <c r="BE32" s="52"/>
      <c r="BF32" s="52"/>
      <c r="BG32" s="52"/>
      <c r="BH32" s="52"/>
      <c r="BI32" s="52"/>
      <c r="BJ32" s="52"/>
      <c r="BK32" s="52"/>
      <c r="BL32" s="52"/>
      <c r="BM32" s="52"/>
      <c r="BN32" s="52"/>
      <c r="BO32" s="52"/>
      <c r="BP32" s="52"/>
      <c r="BQ32" s="52"/>
      <c r="BR32" s="52"/>
      <c r="BS32" s="52"/>
    </row>
    <row r="33" spans="1:70" x14ac:dyDescent="0.25">
      <c r="D33" s="63"/>
      <c r="E33" s="63"/>
      <c r="F33" s="64"/>
      <c r="G33" s="64"/>
      <c r="H33" s="64"/>
      <c r="I33" s="64"/>
      <c r="J33" s="65"/>
      <c r="K33" s="64"/>
      <c r="L33" s="64"/>
      <c r="M33" s="64"/>
      <c r="N33" s="64"/>
      <c r="O33" s="64"/>
      <c r="P33" s="64"/>
      <c r="Q33" s="64"/>
      <c r="R33" s="64"/>
      <c r="S33" s="64"/>
      <c r="T33" s="64"/>
      <c r="U33" s="64"/>
      <c r="V33" s="64"/>
      <c r="W33" s="66"/>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62"/>
      <c r="AZ33" s="53"/>
      <c r="BA33" s="53"/>
      <c r="BB33" s="53"/>
      <c r="BC33" s="53"/>
      <c r="BD33" s="53"/>
      <c r="BE33" s="53"/>
      <c r="BF33" s="53"/>
      <c r="BG33" s="53"/>
      <c r="BH33" s="53"/>
      <c r="BI33" s="53"/>
      <c r="BJ33" s="53"/>
      <c r="BK33" s="53"/>
      <c r="BL33" s="53"/>
      <c r="BM33" s="53"/>
      <c r="BN33" s="53"/>
      <c r="BO33" s="53"/>
      <c r="BP33" s="53"/>
      <c r="BQ33" s="53"/>
      <c r="BR33" s="53"/>
    </row>
    <row r="34" spans="1:70" x14ac:dyDescent="0.25">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62"/>
      <c r="AZ34" s="53"/>
      <c r="BA34" s="53"/>
      <c r="BB34" s="53"/>
      <c r="BC34" s="53"/>
      <c r="BD34" s="53"/>
      <c r="BE34" s="53"/>
      <c r="BF34" s="53"/>
      <c r="BG34" s="53"/>
      <c r="BH34" s="53"/>
      <c r="BI34" s="53"/>
      <c r="BJ34" s="53"/>
      <c r="BK34" s="53"/>
      <c r="BL34" s="53"/>
      <c r="BM34" s="53"/>
      <c r="BN34" s="53"/>
      <c r="BO34" s="53"/>
      <c r="BP34" s="53"/>
      <c r="BQ34" s="53"/>
      <c r="BR34" s="53"/>
    </row>
    <row r="35" spans="1:70" x14ac:dyDescent="0.25">
      <c r="A35" s="45">
        <v>5</v>
      </c>
      <c r="B35" s="46" t="s">
        <v>90</v>
      </c>
      <c r="C35" s="45"/>
      <c r="F35" s="74"/>
      <c r="G35" s="74"/>
      <c r="H35" s="74"/>
      <c r="I35" s="74"/>
      <c r="J35" s="74"/>
      <c r="K35" s="74"/>
      <c r="L35" s="74"/>
      <c r="M35" s="74"/>
      <c r="N35" s="74"/>
      <c r="O35" s="74"/>
      <c r="P35" s="74"/>
      <c r="Q35" s="74"/>
      <c r="R35" s="52"/>
      <c r="S35" s="52"/>
      <c r="T35" s="53"/>
      <c r="U35" s="53"/>
      <c r="V35" s="53"/>
      <c r="W35" s="53"/>
      <c r="X35" s="53"/>
      <c r="Y35" s="53"/>
      <c r="Z35" s="53"/>
      <c r="AA35" s="53"/>
      <c r="AB35" s="91"/>
      <c r="AC35" s="53"/>
      <c r="AD35" s="53"/>
      <c r="AE35" s="53"/>
      <c r="AF35" s="53"/>
      <c r="AG35" s="53"/>
      <c r="AH35" s="53"/>
      <c r="AI35" s="53"/>
      <c r="AJ35" s="53"/>
      <c r="AK35" s="53"/>
      <c r="AL35" s="53"/>
      <c r="AM35" s="53"/>
      <c r="AN35" s="53"/>
      <c r="AO35" s="53"/>
      <c r="AP35" s="53"/>
      <c r="AQ35" s="53"/>
      <c r="AR35" s="53"/>
      <c r="AS35" s="53"/>
      <c r="AT35" s="53"/>
      <c r="AU35" s="53"/>
      <c r="AV35" s="53"/>
      <c r="AW35" s="53"/>
      <c r="AX35" s="53"/>
      <c r="AY35" s="62"/>
      <c r="AZ35" s="53"/>
      <c r="BA35" s="53"/>
      <c r="BB35" s="53"/>
      <c r="BC35" s="53"/>
      <c r="BD35" s="53"/>
      <c r="BE35" s="53"/>
      <c r="BF35" s="53"/>
      <c r="BG35" s="53"/>
      <c r="BH35" s="53"/>
      <c r="BI35" s="53"/>
      <c r="BJ35" s="53"/>
      <c r="BK35" s="53"/>
      <c r="BL35" s="53"/>
      <c r="BM35" s="53"/>
      <c r="BN35" s="53"/>
      <c r="BO35" s="53"/>
      <c r="BP35" s="53"/>
      <c r="BQ35" s="53"/>
      <c r="BR35" s="53"/>
    </row>
    <row r="36" spans="1:70" x14ac:dyDescent="0.25">
      <c r="F36" s="74"/>
      <c r="G36" s="74"/>
      <c r="H36" s="74"/>
      <c r="I36" s="74"/>
      <c r="J36" s="74"/>
      <c r="K36" s="74"/>
      <c r="L36" s="74"/>
      <c r="M36" s="74"/>
      <c r="N36" s="74"/>
      <c r="O36" s="74"/>
      <c r="P36" s="74"/>
      <c r="Q36" s="74"/>
      <c r="R36" s="52"/>
      <c r="S36" s="52"/>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62"/>
      <c r="AZ36" s="53"/>
      <c r="BA36" s="53"/>
      <c r="BB36" s="53"/>
      <c r="BC36" s="53"/>
      <c r="BD36" s="53"/>
      <c r="BE36" s="53"/>
      <c r="BF36" s="53"/>
      <c r="BG36" s="53"/>
      <c r="BH36" s="53"/>
      <c r="BI36" s="53"/>
      <c r="BJ36" s="53"/>
      <c r="BK36" s="53"/>
      <c r="BL36" s="53"/>
      <c r="BM36" s="53"/>
      <c r="BN36" s="53"/>
      <c r="BO36" s="53"/>
      <c r="BP36" s="53"/>
      <c r="BQ36" s="53"/>
      <c r="BR36" s="53"/>
    </row>
    <row r="37" spans="1:70" x14ac:dyDescent="0.25">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62"/>
      <c r="AZ37" s="53"/>
      <c r="BA37" s="53"/>
      <c r="BB37" s="53"/>
      <c r="BC37" s="53"/>
      <c r="BD37" s="53"/>
      <c r="BE37" s="53"/>
      <c r="BF37" s="53"/>
      <c r="BG37" s="53"/>
      <c r="BH37" s="53"/>
      <c r="BI37" s="53"/>
      <c r="BJ37" s="53"/>
      <c r="BK37" s="53"/>
      <c r="BL37" s="53"/>
      <c r="BM37" s="53"/>
      <c r="BN37" s="53"/>
      <c r="BO37" s="53"/>
      <c r="BP37" s="53"/>
      <c r="BQ37" s="53"/>
      <c r="BR37" s="53"/>
    </row>
    <row r="38" spans="1:70" x14ac:dyDescent="0.25">
      <c r="F38" s="74"/>
      <c r="G38" s="74"/>
      <c r="H38" s="74"/>
      <c r="I38" s="74"/>
      <c r="J38" s="74"/>
      <c r="K38" s="74"/>
      <c r="L38" s="74"/>
      <c r="M38" s="74"/>
      <c r="N38" s="74"/>
      <c r="O38" s="74"/>
      <c r="P38" s="74"/>
      <c r="Q38" s="74"/>
      <c r="R38" s="52"/>
      <c r="S38" s="52"/>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62"/>
      <c r="AZ38" s="53"/>
      <c r="BA38" s="53"/>
      <c r="BB38" s="53"/>
      <c r="BC38" s="53"/>
      <c r="BD38" s="53"/>
      <c r="BE38" s="53"/>
      <c r="BF38" s="53"/>
      <c r="BG38" s="53"/>
      <c r="BH38" s="53"/>
      <c r="BI38" s="53"/>
      <c r="BJ38" s="53"/>
      <c r="BK38" s="53"/>
      <c r="BL38" s="53"/>
      <c r="BM38" s="53"/>
      <c r="BN38" s="53"/>
      <c r="BO38" s="53"/>
      <c r="BP38" s="53"/>
      <c r="BQ38" s="53"/>
      <c r="BR38" s="53"/>
    </row>
    <row r="39" spans="1:70" x14ac:dyDescent="0.25">
      <c r="F39" s="74"/>
      <c r="G39" s="74"/>
      <c r="H39" s="74"/>
      <c r="I39" s="74"/>
      <c r="J39" s="74"/>
      <c r="K39" s="74"/>
      <c r="L39" s="74"/>
      <c r="M39" s="74"/>
      <c r="N39" s="74"/>
      <c r="O39" s="92"/>
      <c r="Q39" s="74"/>
      <c r="R39" s="74"/>
      <c r="S39" s="74"/>
      <c r="AY39" s="62"/>
    </row>
    <row r="40" spans="1:70" x14ac:dyDescent="0.25">
      <c r="F40" s="74"/>
      <c r="G40" s="74"/>
      <c r="H40" s="74"/>
      <c r="I40" s="74"/>
      <c r="J40" s="74"/>
      <c r="K40" s="74"/>
      <c r="L40" s="74"/>
      <c r="M40" s="74"/>
      <c r="N40" s="74"/>
      <c r="O40" s="92"/>
      <c r="P40" s="74"/>
      <c r="Q40" s="74"/>
      <c r="R40" s="74"/>
      <c r="S40" s="74"/>
      <c r="AY40" s="62"/>
    </row>
    <row r="41" spans="1:70" x14ac:dyDescent="0.25">
      <c r="F41" s="74"/>
      <c r="G41" s="74"/>
      <c r="H41" s="74"/>
      <c r="I41" s="74"/>
      <c r="J41" s="74"/>
      <c r="K41" s="74"/>
      <c r="L41" s="74"/>
      <c r="M41" s="74"/>
      <c r="N41" s="74"/>
      <c r="O41" s="74"/>
      <c r="P41" s="74"/>
      <c r="Q41" s="74"/>
      <c r="R41" s="74"/>
      <c r="S41" s="74"/>
      <c r="AY41" s="62"/>
    </row>
    <row r="42" spans="1:70" x14ac:dyDescent="0.25">
      <c r="F42" s="74"/>
      <c r="G42" s="74"/>
      <c r="H42" s="74"/>
      <c r="I42" s="74"/>
      <c r="J42" s="74"/>
      <c r="K42" s="74"/>
      <c r="L42" s="74"/>
      <c r="M42" s="74"/>
      <c r="N42" s="74"/>
      <c r="O42" s="74"/>
      <c r="P42" s="74"/>
      <c r="Q42" s="74"/>
      <c r="R42" s="74"/>
      <c r="S42" s="74"/>
      <c r="AY42" s="62"/>
    </row>
    <row r="43" spans="1:70" x14ac:dyDescent="0.25">
      <c r="F43" s="74"/>
      <c r="G43" s="74"/>
      <c r="H43" s="74"/>
      <c r="I43" s="74"/>
      <c r="J43" s="74"/>
      <c r="K43" s="74"/>
      <c r="L43" s="74"/>
      <c r="M43" s="74"/>
      <c r="N43" s="74"/>
      <c r="O43" s="74"/>
      <c r="P43" s="74"/>
      <c r="Q43" s="74"/>
      <c r="R43" s="74"/>
      <c r="S43" s="74"/>
      <c r="AY43" s="62"/>
    </row>
    <row r="44" spans="1:70" x14ac:dyDescent="0.25">
      <c r="F44" s="74"/>
      <c r="G44" s="74"/>
      <c r="H44" s="74"/>
      <c r="I44" s="74"/>
      <c r="J44" s="74"/>
      <c r="K44" s="74"/>
      <c r="L44" s="74"/>
      <c r="M44" s="74"/>
      <c r="N44" s="74"/>
      <c r="O44" s="74"/>
      <c r="P44" s="74"/>
      <c r="Q44" s="74"/>
      <c r="R44" s="74"/>
      <c r="S44" s="74"/>
      <c r="AY44" s="62"/>
    </row>
    <row r="45" spans="1:70" x14ac:dyDescent="0.25">
      <c r="AY45" s="62"/>
    </row>
    <row r="46" spans="1:70" x14ac:dyDescent="0.25">
      <c r="AY46" s="62"/>
    </row>
    <row r="47" spans="1:70" x14ac:dyDescent="0.25">
      <c r="AY47" s="62"/>
    </row>
    <row r="48" spans="1:70" x14ac:dyDescent="0.25">
      <c r="X48" s="44" t="s">
        <v>91</v>
      </c>
      <c r="Y48" s="44" t="s">
        <v>91</v>
      </c>
    </row>
    <row r="52" spans="1:95" x14ac:dyDescent="0.25">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row>
    <row r="53" spans="1:95" ht="10.5" customHeight="1" x14ac:dyDescent="0.25">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row>
    <row r="54" spans="1:95" ht="15" customHeight="1" x14ac:dyDescent="0.25">
      <c r="A54" s="45">
        <v>6</v>
      </c>
      <c r="B54" s="46" t="s">
        <v>29</v>
      </c>
      <c r="C54" s="45"/>
      <c r="D54" s="4033" t="s">
        <v>92</v>
      </c>
      <c r="E54" s="4034"/>
      <c r="F54" s="4034"/>
      <c r="G54" s="4034"/>
      <c r="H54" s="4034"/>
      <c r="I54" s="4034"/>
      <c r="J54" s="4034"/>
      <c r="K54" s="4034"/>
      <c r="L54" s="4034"/>
      <c r="M54" s="4034"/>
      <c r="N54" s="4034"/>
      <c r="O54" s="4034"/>
      <c r="P54" s="4034"/>
      <c r="Q54" s="4034"/>
      <c r="R54" s="4034"/>
      <c r="S54" s="4034"/>
      <c r="T54" s="4034"/>
      <c r="U54" s="4034"/>
      <c r="V54" s="4034"/>
      <c r="W54" s="4034"/>
      <c r="X54" s="4034"/>
      <c r="Y54" s="4034"/>
      <c r="Z54" s="4034"/>
      <c r="AA54" s="4035"/>
      <c r="AB54" s="47"/>
      <c r="AC54" s="47"/>
      <c r="AD54" s="47"/>
      <c r="AE54" s="47"/>
      <c r="AF54" s="47"/>
      <c r="AG54" s="47"/>
      <c r="AH54" s="47"/>
      <c r="AI54" s="47"/>
      <c r="AJ54" s="47"/>
      <c r="AK54" s="47"/>
      <c r="AL54" s="47"/>
      <c r="AM54" s="53"/>
      <c r="AN54" s="53"/>
      <c r="AO54" s="53"/>
      <c r="AP54" s="53"/>
      <c r="AQ54" s="53"/>
      <c r="AR54" s="53"/>
      <c r="AS54" s="53"/>
      <c r="AT54" s="53"/>
      <c r="AU54" s="53"/>
      <c r="AV54" s="53"/>
      <c r="AW54" s="53"/>
    </row>
    <row r="55" spans="1:95" ht="13.5" customHeight="1" x14ac:dyDescent="0.25">
      <c r="A55" s="93">
        <v>7</v>
      </c>
      <c r="B55" s="94" t="s">
        <v>32</v>
      </c>
      <c r="C55" s="93"/>
      <c r="D55" s="4021" t="s">
        <v>93</v>
      </c>
      <c r="E55" s="4022"/>
      <c r="F55" s="4022"/>
      <c r="G55" s="4022"/>
      <c r="H55" s="4022"/>
      <c r="I55" s="4022"/>
      <c r="J55" s="4022"/>
      <c r="K55" s="4022"/>
      <c r="L55" s="4022"/>
      <c r="M55" s="4022"/>
      <c r="N55" s="4022"/>
      <c r="O55" s="4022"/>
      <c r="P55" s="4022"/>
      <c r="Q55" s="4022"/>
      <c r="R55" s="4022"/>
      <c r="S55" s="4022"/>
      <c r="T55" s="4022"/>
      <c r="U55" s="4022"/>
      <c r="V55" s="4022"/>
      <c r="W55" s="4022"/>
      <c r="X55" s="4022"/>
      <c r="Y55" s="4022"/>
      <c r="Z55" s="4022"/>
      <c r="AA55" s="4023"/>
      <c r="AB55" s="95"/>
      <c r="AC55" s="95"/>
      <c r="AD55" s="95"/>
      <c r="AE55" s="96"/>
      <c r="AF55" s="96"/>
      <c r="AG55" s="96"/>
      <c r="AH55" s="96"/>
      <c r="AI55" s="96"/>
      <c r="AJ55" s="96"/>
      <c r="AK55" s="96"/>
      <c r="AL55" s="96"/>
      <c r="AM55" s="53"/>
      <c r="AN55" s="53"/>
      <c r="AO55" s="53"/>
      <c r="AP55" s="53"/>
      <c r="AQ55" s="53"/>
      <c r="AR55" s="53"/>
      <c r="AS55" s="53"/>
      <c r="AT55" s="53"/>
      <c r="AU55" s="53"/>
      <c r="AV55" s="53"/>
      <c r="AW55" s="53"/>
    </row>
    <row r="56" spans="1:95" ht="33.6" customHeight="1" x14ac:dyDescent="0.25">
      <c r="A56" s="45">
        <v>8</v>
      </c>
      <c r="B56" s="46" t="s">
        <v>31</v>
      </c>
      <c r="C56" s="45"/>
      <c r="D56" s="4033" t="s">
        <v>94</v>
      </c>
      <c r="E56" s="4034"/>
      <c r="F56" s="4034"/>
      <c r="G56" s="4034"/>
      <c r="H56" s="4034"/>
      <c r="I56" s="4034"/>
      <c r="J56" s="4034"/>
      <c r="K56" s="4034"/>
      <c r="L56" s="4034"/>
      <c r="M56" s="4034"/>
      <c r="N56" s="4034"/>
      <c r="O56" s="4034"/>
      <c r="P56" s="4034"/>
      <c r="Q56" s="4034"/>
      <c r="R56" s="4034"/>
      <c r="S56" s="4034"/>
      <c r="T56" s="4034"/>
      <c r="U56" s="4034"/>
      <c r="V56" s="4034"/>
      <c r="W56" s="4034"/>
      <c r="X56" s="4034"/>
      <c r="Y56" s="4034"/>
      <c r="Z56" s="4034"/>
      <c r="AA56" s="4035"/>
      <c r="AB56" s="47"/>
      <c r="AC56" s="47"/>
      <c r="AD56" s="47"/>
      <c r="AE56" s="96"/>
      <c r="AF56" s="96"/>
      <c r="AG56" s="96"/>
      <c r="AH56" s="96"/>
      <c r="AI56" s="96"/>
      <c r="AJ56" s="96"/>
      <c r="AK56" s="96"/>
      <c r="AL56" s="96"/>
      <c r="AM56" s="53"/>
      <c r="AN56" s="53"/>
      <c r="AO56" s="53"/>
      <c r="AP56" s="53"/>
      <c r="AQ56" s="53"/>
      <c r="AR56" s="53"/>
      <c r="AS56" s="53"/>
      <c r="AT56" s="53"/>
      <c r="AU56" s="53"/>
      <c r="AV56" s="53"/>
      <c r="AW56" s="53"/>
    </row>
    <row r="57" spans="1:95" ht="30.75" customHeight="1" x14ac:dyDescent="0.25">
      <c r="A57" s="45">
        <v>9</v>
      </c>
      <c r="B57" s="46" t="s">
        <v>95</v>
      </c>
      <c r="C57" s="45"/>
      <c r="D57" s="4033" t="s">
        <v>1734</v>
      </c>
      <c r="E57" s="4034"/>
      <c r="F57" s="4034"/>
      <c r="G57" s="4034"/>
      <c r="H57" s="4034"/>
      <c r="I57" s="4034"/>
      <c r="J57" s="4034"/>
      <c r="K57" s="4034"/>
      <c r="L57" s="4034"/>
      <c r="M57" s="4034"/>
      <c r="N57" s="4034"/>
      <c r="O57" s="4034"/>
      <c r="P57" s="4034"/>
      <c r="Q57" s="4034"/>
      <c r="R57" s="4034"/>
      <c r="S57" s="4034"/>
      <c r="T57" s="4034"/>
      <c r="U57" s="4034"/>
      <c r="V57" s="4034"/>
      <c r="W57" s="4034"/>
      <c r="X57" s="4034"/>
      <c r="Y57" s="4034"/>
      <c r="Z57" s="4034"/>
      <c r="AA57" s="4035"/>
      <c r="AB57" s="47"/>
      <c r="AC57" s="53"/>
      <c r="AD57" s="53"/>
      <c r="AE57" s="53"/>
      <c r="AF57" s="53"/>
      <c r="AG57" s="53"/>
      <c r="AH57" s="53"/>
      <c r="AI57" s="53"/>
      <c r="AJ57" s="53"/>
      <c r="AK57" s="53"/>
      <c r="AL57" s="53"/>
      <c r="AM57" s="53"/>
      <c r="AN57" s="53"/>
      <c r="AO57" s="53"/>
      <c r="AP57" s="53"/>
      <c r="AQ57" s="53"/>
      <c r="AR57" s="53"/>
      <c r="AS57" s="53"/>
      <c r="AT57" s="53"/>
      <c r="AU57" s="53"/>
      <c r="AV57" s="53"/>
      <c r="AW57" s="53"/>
    </row>
    <row r="58" spans="1:95" ht="12.75" customHeight="1" x14ac:dyDescent="0.25">
      <c r="B58" s="46"/>
      <c r="C58" s="45"/>
      <c r="D58" s="47"/>
      <c r="E58" s="47"/>
      <c r="F58" s="47"/>
      <c r="G58" s="47"/>
      <c r="H58" s="47"/>
      <c r="I58" s="47"/>
      <c r="J58" s="47"/>
      <c r="K58" s="47"/>
      <c r="L58" s="47"/>
      <c r="M58" s="47"/>
      <c r="N58" s="47"/>
      <c r="O58" s="47"/>
      <c r="P58" s="47"/>
      <c r="Q58" s="47"/>
      <c r="R58" s="47"/>
      <c r="S58" s="47"/>
      <c r="T58" s="47"/>
      <c r="U58" s="47"/>
      <c r="V58" s="47"/>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row>
    <row r="59" spans="1:95" ht="12.75" customHeight="1" x14ac:dyDescent="0.25">
      <c r="B59" s="46"/>
      <c r="C59" s="45"/>
      <c r="D59" s="47"/>
      <c r="E59" s="47"/>
      <c r="F59" s="47"/>
      <c r="G59" s="47"/>
      <c r="H59" s="47"/>
      <c r="I59" s="47"/>
      <c r="J59" s="47"/>
      <c r="K59" s="47"/>
      <c r="L59" s="47"/>
      <c r="M59" s="47"/>
      <c r="N59" s="47"/>
      <c r="O59" s="47"/>
      <c r="P59" s="47"/>
      <c r="Q59" s="47"/>
      <c r="R59" s="47"/>
      <c r="S59" s="47"/>
      <c r="T59" s="47"/>
      <c r="U59" s="47"/>
      <c r="V59" s="47"/>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row>
    <row r="60" spans="1:95" ht="12.75" customHeight="1" x14ac:dyDescent="0.25">
      <c r="B60" s="3777"/>
      <c r="C60" s="3778"/>
      <c r="D60" s="4036">
        <v>1994</v>
      </c>
      <c r="E60" s="4037"/>
      <c r="F60" s="4037"/>
      <c r="G60" s="4038"/>
      <c r="H60" s="4036">
        <v>1995</v>
      </c>
      <c r="I60" s="4037"/>
      <c r="J60" s="4037"/>
      <c r="K60" s="4038"/>
      <c r="L60" s="4036">
        <v>1996</v>
      </c>
      <c r="M60" s="4037"/>
      <c r="N60" s="4037"/>
      <c r="O60" s="4038"/>
      <c r="P60" s="4036">
        <v>1997</v>
      </c>
      <c r="Q60" s="4037"/>
      <c r="R60" s="4037"/>
      <c r="S60" s="4038"/>
      <c r="T60" s="4036">
        <v>1998</v>
      </c>
      <c r="U60" s="4037"/>
      <c r="V60" s="4037"/>
      <c r="W60" s="4038"/>
      <c r="X60" s="4036">
        <v>1999</v>
      </c>
      <c r="Y60" s="4037"/>
      <c r="Z60" s="4037"/>
      <c r="AA60" s="4038"/>
      <c r="AB60" s="4036">
        <v>2000</v>
      </c>
      <c r="AC60" s="4037"/>
      <c r="AD60" s="4037"/>
      <c r="AE60" s="4038"/>
      <c r="AF60" s="4036">
        <v>2001</v>
      </c>
      <c r="AG60" s="4037"/>
      <c r="AH60" s="4037"/>
      <c r="AI60" s="4038"/>
      <c r="AJ60" s="4036">
        <v>2002</v>
      </c>
      <c r="AK60" s="4037"/>
      <c r="AL60" s="4037"/>
      <c r="AM60" s="4038"/>
      <c r="AN60" s="4036">
        <v>2003</v>
      </c>
      <c r="AO60" s="4037"/>
      <c r="AP60" s="4037"/>
      <c r="AQ60" s="4038"/>
      <c r="AR60" s="4036">
        <v>2004</v>
      </c>
      <c r="AS60" s="4037"/>
      <c r="AT60" s="4037"/>
      <c r="AU60" s="4038"/>
      <c r="AV60" s="4036">
        <v>2005</v>
      </c>
      <c r="AW60" s="4037"/>
      <c r="AX60" s="4037"/>
      <c r="AY60" s="4038"/>
      <c r="AZ60" s="4036">
        <v>2006</v>
      </c>
      <c r="BA60" s="4037"/>
      <c r="BB60" s="4037"/>
      <c r="BC60" s="4038"/>
      <c r="BD60" s="4036">
        <v>2007</v>
      </c>
      <c r="BE60" s="4037"/>
      <c r="BF60" s="4037"/>
      <c r="BG60" s="4038"/>
      <c r="BH60" s="4036">
        <v>2008</v>
      </c>
      <c r="BI60" s="4037"/>
      <c r="BJ60" s="4037"/>
      <c r="BK60" s="4038"/>
      <c r="BL60" s="4036">
        <v>2009</v>
      </c>
      <c r="BM60" s="4037"/>
      <c r="BN60" s="4037"/>
      <c r="BO60" s="4038"/>
      <c r="BP60" s="4036">
        <v>2010</v>
      </c>
      <c r="BQ60" s="4037"/>
      <c r="BR60" s="4037"/>
      <c r="BS60" s="4038"/>
      <c r="BT60" s="4036">
        <v>2011</v>
      </c>
      <c r="BU60" s="4037"/>
      <c r="BV60" s="4037"/>
      <c r="BW60" s="4038"/>
      <c r="BX60" s="4036">
        <v>2012</v>
      </c>
      <c r="BY60" s="4037"/>
      <c r="BZ60" s="4037"/>
      <c r="CA60" s="4038"/>
      <c r="CB60" s="4036">
        <v>2013</v>
      </c>
      <c r="CC60" s="4037"/>
      <c r="CD60" s="4037"/>
      <c r="CE60" s="4038"/>
      <c r="CF60" s="4036">
        <v>2014</v>
      </c>
      <c r="CG60" s="4037"/>
      <c r="CH60" s="4037"/>
      <c r="CI60" s="4038"/>
      <c r="CJ60" s="4036">
        <v>2015</v>
      </c>
      <c r="CK60" s="4037"/>
      <c r="CL60" s="4037"/>
      <c r="CM60" s="4038"/>
      <c r="CN60" s="4039">
        <v>2016</v>
      </c>
      <c r="CO60" s="4040"/>
      <c r="CP60" s="4040"/>
      <c r="CQ60" s="4041"/>
    </row>
    <row r="61" spans="1:95" ht="32.25" customHeight="1" x14ac:dyDescent="0.25">
      <c r="B61" s="4042" t="str">
        <f>+D2</f>
        <v xml:space="preserve">Gross Domestic Product (GDP) growth </v>
      </c>
      <c r="C61" s="4042"/>
      <c r="D61" s="3779" t="s">
        <v>96</v>
      </c>
      <c r="E61" s="3780" t="s">
        <v>97</v>
      </c>
      <c r="F61" s="3780" t="s">
        <v>98</v>
      </c>
      <c r="G61" s="3781" t="s">
        <v>99</v>
      </c>
      <c r="H61" s="3779" t="s">
        <v>96</v>
      </c>
      <c r="I61" s="3780" t="s">
        <v>97</v>
      </c>
      <c r="J61" s="3780" t="s">
        <v>98</v>
      </c>
      <c r="K61" s="3781" t="s">
        <v>99</v>
      </c>
      <c r="L61" s="3779" t="s">
        <v>96</v>
      </c>
      <c r="M61" s="3780" t="s">
        <v>97</v>
      </c>
      <c r="N61" s="3780" t="s">
        <v>98</v>
      </c>
      <c r="O61" s="3781" t="s">
        <v>99</v>
      </c>
      <c r="P61" s="3779" t="s">
        <v>96</v>
      </c>
      <c r="Q61" s="3780" t="s">
        <v>97</v>
      </c>
      <c r="R61" s="3780" t="s">
        <v>98</v>
      </c>
      <c r="S61" s="3781" t="s">
        <v>99</v>
      </c>
      <c r="T61" s="3779" t="s">
        <v>96</v>
      </c>
      <c r="U61" s="3780" t="s">
        <v>97</v>
      </c>
      <c r="V61" s="3780" t="s">
        <v>98</v>
      </c>
      <c r="W61" s="3781" t="s">
        <v>99</v>
      </c>
      <c r="X61" s="3779" t="s">
        <v>96</v>
      </c>
      <c r="Y61" s="3780" t="s">
        <v>97</v>
      </c>
      <c r="Z61" s="3780" t="s">
        <v>98</v>
      </c>
      <c r="AA61" s="3781" t="s">
        <v>99</v>
      </c>
      <c r="AB61" s="3779" t="s">
        <v>96</v>
      </c>
      <c r="AC61" s="3780" t="s">
        <v>97</v>
      </c>
      <c r="AD61" s="3780" t="s">
        <v>98</v>
      </c>
      <c r="AE61" s="3781" t="s">
        <v>99</v>
      </c>
      <c r="AF61" s="3779" t="s">
        <v>96</v>
      </c>
      <c r="AG61" s="3780" t="s">
        <v>97</v>
      </c>
      <c r="AH61" s="3780" t="s">
        <v>98</v>
      </c>
      <c r="AI61" s="3781" t="s">
        <v>99</v>
      </c>
      <c r="AJ61" s="3779" t="s">
        <v>96</v>
      </c>
      <c r="AK61" s="3780" t="s">
        <v>97</v>
      </c>
      <c r="AL61" s="3780" t="s">
        <v>98</v>
      </c>
      <c r="AM61" s="3781" t="s">
        <v>99</v>
      </c>
      <c r="AN61" s="3779" t="s">
        <v>96</v>
      </c>
      <c r="AO61" s="3780" t="s">
        <v>97</v>
      </c>
      <c r="AP61" s="3780" t="s">
        <v>98</v>
      </c>
      <c r="AQ61" s="3781" t="s">
        <v>99</v>
      </c>
      <c r="AR61" s="3779" t="s">
        <v>96</v>
      </c>
      <c r="AS61" s="3780" t="s">
        <v>97</v>
      </c>
      <c r="AT61" s="3780" t="s">
        <v>98</v>
      </c>
      <c r="AU61" s="3781" t="s">
        <v>99</v>
      </c>
      <c r="AV61" s="3779" t="s">
        <v>96</v>
      </c>
      <c r="AW61" s="3780" t="s">
        <v>97</v>
      </c>
      <c r="AX61" s="3780" t="s">
        <v>98</v>
      </c>
      <c r="AY61" s="3781" t="s">
        <v>99</v>
      </c>
      <c r="AZ61" s="3779" t="s">
        <v>96</v>
      </c>
      <c r="BA61" s="3780" t="s">
        <v>97</v>
      </c>
      <c r="BB61" s="3780" t="s">
        <v>98</v>
      </c>
      <c r="BC61" s="3781" t="s">
        <v>99</v>
      </c>
      <c r="BD61" s="3779" t="s">
        <v>96</v>
      </c>
      <c r="BE61" s="3780" t="s">
        <v>97</v>
      </c>
      <c r="BF61" s="3780" t="s">
        <v>98</v>
      </c>
      <c r="BG61" s="3781" t="s">
        <v>99</v>
      </c>
      <c r="BH61" s="3779" t="s">
        <v>96</v>
      </c>
      <c r="BI61" s="3780" t="s">
        <v>97</v>
      </c>
      <c r="BJ61" s="3780" t="s">
        <v>98</v>
      </c>
      <c r="BK61" s="3781" t="s">
        <v>99</v>
      </c>
      <c r="BL61" s="3779" t="s">
        <v>96</v>
      </c>
      <c r="BM61" s="3780" t="s">
        <v>97</v>
      </c>
      <c r="BN61" s="3780" t="s">
        <v>98</v>
      </c>
      <c r="BO61" s="3781" t="s">
        <v>99</v>
      </c>
      <c r="BP61" s="3779" t="s">
        <v>96</v>
      </c>
      <c r="BQ61" s="3780" t="s">
        <v>97</v>
      </c>
      <c r="BR61" s="3780" t="s">
        <v>98</v>
      </c>
      <c r="BS61" s="3781" t="s">
        <v>99</v>
      </c>
      <c r="BT61" s="3779" t="s">
        <v>96</v>
      </c>
      <c r="BU61" s="3780" t="s">
        <v>97</v>
      </c>
      <c r="BV61" s="3780" t="s">
        <v>98</v>
      </c>
      <c r="BW61" s="3781" t="s">
        <v>99</v>
      </c>
      <c r="BX61" s="3779" t="s">
        <v>96</v>
      </c>
      <c r="BY61" s="3780" t="s">
        <v>97</v>
      </c>
      <c r="BZ61" s="3780" t="s">
        <v>98</v>
      </c>
      <c r="CA61" s="3781" t="s">
        <v>99</v>
      </c>
      <c r="CB61" s="3779" t="s">
        <v>96</v>
      </c>
      <c r="CC61" s="3780" t="s">
        <v>97</v>
      </c>
      <c r="CD61" s="3780" t="s">
        <v>98</v>
      </c>
      <c r="CE61" s="3781" t="s">
        <v>99</v>
      </c>
      <c r="CF61" s="3779" t="s">
        <v>96</v>
      </c>
      <c r="CG61" s="3780" t="s">
        <v>97</v>
      </c>
      <c r="CH61" s="3780" t="s">
        <v>98</v>
      </c>
      <c r="CI61" s="3781" t="s">
        <v>99</v>
      </c>
      <c r="CJ61" s="3779" t="s">
        <v>96</v>
      </c>
      <c r="CK61" s="3780" t="s">
        <v>97</v>
      </c>
      <c r="CL61" s="3780" t="s">
        <v>98</v>
      </c>
      <c r="CM61" s="3781" t="s">
        <v>99</v>
      </c>
      <c r="CN61" s="3782" t="s">
        <v>96</v>
      </c>
      <c r="CO61" s="3783" t="s">
        <v>97</v>
      </c>
      <c r="CP61" s="3783" t="s">
        <v>98</v>
      </c>
      <c r="CQ61" s="3784" t="s">
        <v>99</v>
      </c>
    </row>
    <row r="62" spans="1:95" x14ac:dyDescent="0.25">
      <c r="B62" s="3776"/>
      <c r="C62" s="3785"/>
      <c r="D62" s="3786">
        <v>-0.56882299978329165</v>
      </c>
      <c r="E62" s="3787">
        <v>4.4104514770248127</v>
      </c>
      <c r="F62" s="3787">
        <v>4.5755211153102104</v>
      </c>
      <c r="G62" s="3788">
        <v>6.8455482249596855</v>
      </c>
      <c r="H62" s="3786">
        <v>1.4526669020042515</v>
      </c>
      <c r="I62" s="3787">
        <v>1.7879948352484298</v>
      </c>
      <c r="J62" s="3787">
        <v>1.7378476026035594</v>
      </c>
      <c r="K62" s="3788">
        <v>1.5880303373726701</v>
      </c>
      <c r="L62" s="3786">
        <v>5.7321595371055745</v>
      </c>
      <c r="M62" s="3787">
        <v>7.7052022605754944</v>
      </c>
      <c r="N62" s="3787">
        <v>4.6170729815531164</v>
      </c>
      <c r="O62" s="3788">
        <v>3.8480044584029871</v>
      </c>
      <c r="P62" s="3786">
        <v>1.1541025640912084</v>
      </c>
      <c r="Q62" s="3787">
        <v>2.469329522299879</v>
      </c>
      <c r="R62" s="3787">
        <v>0.83825604314000657</v>
      </c>
      <c r="S62" s="3788">
        <v>0.60528963769586053</v>
      </c>
      <c r="T62" s="3786">
        <v>0.50652649384492765</v>
      </c>
      <c r="U62" s="3787">
        <v>0.5667910380350305</v>
      </c>
      <c r="V62" s="3787">
        <v>-0.87372637708889034</v>
      </c>
      <c r="W62" s="3788">
        <v>0.38708722146880703</v>
      </c>
      <c r="X62" s="3786">
        <v>3.7293234295857625</v>
      </c>
      <c r="Y62" s="3787">
        <v>3.2216411057017558</v>
      </c>
      <c r="Z62" s="3787">
        <v>4.4404269358685688</v>
      </c>
      <c r="AA62" s="3788">
        <v>4.4718969599649272</v>
      </c>
      <c r="AB62" s="3786">
        <v>4.5758022715120417</v>
      </c>
      <c r="AC62" s="3787">
        <v>3.7315457274831543</v>
      </c>
      <c r="AD62" s="3787">
        <v>4.0207206604008006</v>
      </c>
      <c r="AE62" s="3788">
        <v>3.446709698974848</v>
      </c>
      <c r="AF62" s="3786">
        <v>2.6230856866677144</v>
      </c>
      <c r="AG62" s="3787">
        <v>2.0146632087566063</v>
      </c>
      <c r="AH62" s="3787">
        <v>1.0666361289954462</v>
      </c>
      <c r="AI62" s="3788">
        <v>3.1110855135721316</v>
      </c>
      <c r="AJ62" s="3786">
        <v>5.2924284098060603</v>
      </c>
      <c r="AK62" s="3787">
        <v>4.9325000418816378</v>
      </c>
      <c r="AL62" s="3787">
        <v>3.3216503268672648</v>
      </c>
      <c r="AM62" s="3788">
        <v>2.6991500495235021</v>
      </c>
      <c r="AN62" s="3786">
        <v>3.7531764032818993</v>
      </c>
      <c r="AO62" s="3787">
        <v>1.9677572605739213</v>
      </c>
      <c r="AP62" s="3787">
        <v>2.188320445632419</v>
      </c>
      <c r="AQ62" s="3788">
        <v>2.327483203645353</v>
      </c>
      <c r="AR62" s="3786">
        <v>6.1944683527078492</v>
      </c>
      <c r="AS62" s="3787">
        <v>5.7078837294311624</v>
      </c>
      <c r="AT62" s="3787">
        <v>6.7026886167146138</v>
      </c>
      <c r="AU62" s="3788">
        <v>4.3404056280374359</v>
      </c>
      <c r="AV62" s="3786">
        <v>4.1289585309853605</v>
      </c>
      <c r="AW62" s="3787">
        <v>7.3737951776069011</v>
      </c>
      <c r="AX62" s="3787">
        <v>5.5671463307113367</v>
      </c>
      <c r="AY62" s="3788">
        <v>2.7053484122573801</v>
      </c>
      <c r="AZ62" s="3786">
        <v>7.2147199226530567</v>
      </c>
      <c r="BA62" s="3787">
        <v>5.8033950109959154</v>
      </c>
      <c r="BB62" s="3787">
        <v>5.6400423927502885</v>
      </c>
      <c r="BC62" s="3788">
        <v>5.646861823647753</v>
      </c>
      <c r="BD62" s="3786">
        <v>6.6550968043899372</v>
      </c>
      <c r="BE62" s="3787">
        <v>3.3185540413170012</v>
      </c>
      <c r="BF62" s="3787">
        <v>4.770772853431815</v>
      </c>
      <c r="BG62" s="3788">
        <v>5.7889758122643853</v>
      </c>
      <c r="BH62" s="3786">
        <v>1.6914714233666972</v>
      </c>
      <c r="BI62" s="3787">
        <v>4.9736319432639009</v>
      </c>
      <c r="BJ62" s="3787">
        <v>0.95933734197808374</v>
      </c>
      <c r="BK62" s="3788">
        <v>-2.2579336248711779</v>
      </c>
      <c r="BL62" s="3786">
        <v>-6.0782800497366622</v>
      </c>
      <c r="BM62" s="3787">
        <v>-1.3656485490968429</v>
      </c>
      <c r="BN62" s="3787">
        <v>0.93084880933691494</v>
      </c>
      <c r="BO62" s="3788">
        <v>2.6938677703393088</v>
      </c>
      <c r="BP62" s="3786">
        <v>4.800123095448483</v>
      </c>
      <c r="BQ62" s="3787">
        <v>2.4730446755976132</v>
      </c>
      <c r="BR62" s="3787">
        <v>4.5599305427149961</v>
      </c>
      <c r="BS62" s="3788">
        <v>4.470945145674321</v>
      </c>
      <c r="BT62" s="3786">
        <v>3.732716238755307</v>
      </c>
      <c r="BU62" s="3787">
        <v>2.1349992664698503</v>
      </c>
      <c r="BV62" s="3787">
        <v>1.0514533241010593</v>
      </c>
      <c r="BW62" s="3788">
        <v>3.1354710753329629</v>
      </c>
      <c r="BX62" s="3786">
        <v>1.6642899696322599</v>
      </c>
      <c r="BY62" s="3787">
        <v>3.6993530234988192</v>
      </c>
      <c r="BZ62" s="3787">
        <v>1.200714604255726</v>
      </c>
      <c r="CA62" s="3788">
        <v>1.7879127297799391</v>
      </c>
      <c r="CB62" s="3786">
        <v>1.5</v>
      </c>
      <c r="CC62" s="3787">
        <v>4</v>
      </c>
      <c r="CD62" s="3787">
        <v>1.6</v>
      </c>
      <c r="CE62" s="3788">
        <v>4.9000000000000004</v>
      </c>
      <c r="CF62" s="3786">
        <v>-1.5555437996301436</v>
      </c>
      <c r="CG62" s="3787">
        <v>0.8</v>
      </c>
      <c r="CH62" s="3787">
        <v>2.2000000000000002</v>
      </c>
      <c r="CI62" s="3788">
        <v>4.0999999999999996</v>
      </c>
      <c r="CJ62" s="3786">
        <v>2</v>
      </c>
      <c r="CK62" s="3787">
        <v>-2</v>
      </c>
      <c r="CL62" s="3787">
        <v>0.3</v>
      </c>
      <c r="CM62" s="3788">
        <v>0.4</v>
      </c>
      <c r="CN62" s="3789"/>
      <c r="CO62" s="3790"/>
      <c r="CP62" s="3790"/>
      <c r="CQ62" s="3791"/>
    </row>
    <row r="63" spans="1:95" x14ac:dyDescent="0.25">
      <c r="D63" s="97"/>
      <c r="E63" s="97"/>
      <c r="F63" s="97"/>
      <c r="G63" s="97"/>
      <c r="H63" s="97"/>
      <c r="I63" s="97"/>
      <c r="J63" s="97"/>
      <c r="K63" s="97"/>
      <c r="L63" s="97"/>
      <c r="M63" s="97"/>
      <c r="N63" s="97"/>
      <c r="O63" s="97"/>
      <c r="P63" s="97"/>
      <c r="Q63" s="97"/>
      <c r="R63" s="97"/>
      <c r="S63" s="97"/>
      <c r="T63" s="97"/>
      <c r="U63" s="97"/>
      <c r="V63" s="97"/>
      <c r="W63" s="98"/>
      <c r="X63" s="99"/>
      <c r="Y63" s="100"/>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row>
    <row r="64" spans="1:95" x14ac:dyDescent="0.25">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row>
    <row r="65" spans="2:27" x14ac:dyDescent="0.25">
      <c r="Y65" s="101"/>
      <c r="Z65" s="102"/>
      <c r="AA65" s="103"/>
    </row>
    <row r="67" spans="2:27" x14ac:dyDescent="0.25">
      <c r="B67" s="46"/>
      <c r="C67" s="45"/>
      <c r="G67" s="74"/>
      <c r="H67" s="74"/>
      <c r="I67" s="74"/>
      <c r="J67" s="74"/>
      <c r="K67" s="74"/>
      <c r="L67" s="74"/>
      <c r="M67" s="74"/>
      <c r="N67" s="74"/>
      <c r="O67" s="74"/>
      <c r="P67" s="74"/>
      <c r="Q67" s="74"/>
      <c r="R67" s="74"/>
      <c r="S67" s="74"/>
      <c r="T67" s="74"/>
      <c r="U67" s="74"/>
      <c r="V67" s="74"/>
    </row>
    <row r="68" spans="2:27" x14ac:dyDescent="0.25">
      <c r="B68" s="46"/>
      <c r="C68" s="45"/>
      <c r="G68" s="74"/>
      <c r="H68" s="74"/>
      <c r="I68" s="74"/>
      <c r="J68" s="74"/>
      <c r="K68" s="74"/>
      <c r="L68" s="74"/>
      <c r="M68" s="74"/>
      <c r="N68" s="74"/>
      <c r="O68" s="74"/>
      <c r="P68" s="74"/>
      <c r="Q68" s="74"/>
      <c r="R68" s="74"/>
      <c r="S68" s="74"/>
      <c r="T68" s="74"/>
      <c r="U68" s="74"/>
      <c r="V68" s="74"/>
    </row>
    <row r="69" spans="2:27" x14ac:dyDescent="0.25">
      <c r="B69" s="46"/>
      <c r="C69" s="45"/>
      <c r="G69" s="74"/>
      <c r="H69" s="74"/>
      <c r="I69" s="74"/>
      <c r="J69" s="74"/>
      <c r="K69" s="74"/>
      <c r="L69" s="74"/>
      <c r="M69" s="74"/>
      <c r="N69" s="74"/>
      <c r="O69" s="74"/>
      <c r="P69" s="92"/>
      <c r="R69" s="74"/>
      <c r="S69" s="74"/>
      <c r="T69" s="74"/>
      <c r="U69" s="74"/>
      <c r="V69" s="74"/>
    </row>
    <row r="70" spans="2:27" x14ac:dyDescent="0.25">
      <c r="B70" s="46"/>
      <c r="C70" s="45"/>
      <c r="G70" s="74"/>
      <c r="H70" s="74"/>
      <c r="I70" s="74"/>
      <c r="J70" s="74"/>
      <c r="K70" s="74"/>
      <c r="L70" s="74"/>
      <c r="M70" s="74"/>
      <c r="N70" s="74"/>
      <c r="O70" s="74"/>
      <c r="P70" s="92"/>
      <c r="Q70" s="74"/>
      <c r="R70" s="74"/>
      <c r="S70" s="74"/>
      <c r="T70" s="74"/>
      <c r="U70" s="74"/>
      <c r="V70" s="74"/>
    </row>
    <row r="71" spans="2:27" x14ac:dyDescent="0.25">
      <c r="B71" s="46"/>
      <c r="C71" s="45"/>
      <c r="G71" s="74"/>
      <c r="H71" s="74"/>
      <c r="I71" s="74"/>
      <c r="J71" s="74"/>
      <c r="K71" s="74"/>
      <c r="L71" s="74"/>
      <c r="M71" s="74"/>
      <c r="N71" s="74"/>
      <c r="O71" s="74"/>
      <c r="P71" s="74"/>
      <c r="Q71" s="74"/>
      <c r="R71" s="74"/>
      <c r="S71" s="74"/>
      <c r="T71" s="74"/>
      <c r="U71" s="74"/>
      <c r="V71" s="74"/>
    </row>
    <row r="72" spans="2:27" x14ac:dyDescent="0.25">
      <c r="B72" s="46"/>
      <c r="C72" s="45"/>
      <c r="G72" s="74"/>
      <c r="H72" s="74"/>
      <c r="I72" s="74"/>
      <c r="J72" s="74"/>
      <c r="K72" s="74"/>
      <c r="L72" s="74"/>
      <c r="M72" s="74"/>
      <c r="N72" s="74"/>
      <c r="O72" s="74"/>
      <c r="P72" s="74"/>
      <c r="Q72" s="74"/>
      <c r="R72" s="74"/>
      <c r="S72" s="74"/>
      <c r="T72" s="74"/>
      <c r="U72" s="74"/>
      <c r="V72" s="74"/>
    </row>
    <row r="73" spans="2:27" x14ac:dyDescent="0.25">
      <c r="B73" s="46"/>
      <c r="C73" s="45"/>
      <c r="G73" s="74"/>
      <c r="H73" s="74"/>
      <c r="I73" s="74"/>
      <c r="J73" s="74"/>
      <c r="K73" s="74"/>
      <c r="L73" s="74"/>
      <c r="M73" s="74"/>
      <c r="N73" s="74"/>
      <c r="O73" s="74"/>
      <c r="P73" s="74"/>
      <c r="Q73" s="74"/>
      <c r="R73" s="74"/>
      <c r="S73" s="74"/>
      <c r="T73" s="74"/>
      <c r="U73" s="74"/>
      <c r="V73" s="74"/>
    </row>
    <row r="74" spans="2:27" x14ac:dyDescent="0.25">
      <c r="B74" s="46"/>
      <c r="C74" s="45"/>
      <c r="G74" s="74"/>
      <c r="H74" s="74"/>
      <c r="I74" s="74"/>
      <c r="J74" s="74"/>
      <c r="K74" s="74"/>
      <c r="L74" s="74"/>
      <c r="M74" s="74"/>
      <c r="N74" s="74"/>
      <c r="O74" s="74"/>
      <c r="P74" s="74"/>
      <c r="Q74" s="74"/>
      <c r="R74" s="74"/>
      <c r="S74" s="74"/>
      <c r="T74" s="74"/>
      <c r="U74" s="74"/>
      <c r="V74" s="74"/>
    </row>
    <row r="75" spans="2:27" x14ac:dyDescent="0.25">
      <c r="B75" s="46"/>
      <c r="C75" s="45"/>
    </row>
    <row r="76" spans="2:27" x14ac:dyDescent="0.25">
      <c r="B76" s="46"/>
      <c r="C76" s="45"/>
    </row>
    <row r="77" spans="2:27" x14ac:dyDescent="0.25">
      <c r="B77" s="46"/>
      <c r="C77" s="45"/>
    </row>
    <row r="78" spans="2:27" x14ac:dyDescent="0.25">
      <c r="B78" s="46"/>
      <c r="C78" s="45"/>
    </row>
    <row r="79" spans="2:27" x14ac:dyDescent="0.25">
      <c r="B79" s="46"/>
      <c r="C79" s="45"/>
    </row>
    <row r="80" spans="2:27" x14ac:dyDescent="0.25">
      <c r="B80" s="46"/>
      <c r="C80" s="45"/>
    </row>
    <row r="81" spans="2:38" x14ac:dyDescent="0.25">
      <c r="B81" s="46"/>
      <c r="C81" s="45"/>
    </row>
    <row r="82" spans="2:38" x14ac:dyDescent="0.25">
      <c r="B82" s="46"/>
      <c r="C82" s="45"/>
    </row>
    <row r="83" spans="2:38" x14ac:dyDescent="0.25">
      <c r="B83" s="46"/>
      <c r="C83" s="45"/>
    </row>
    <row r="84" spans="2:38" x14ac:dyDescent="0.25">
      <c r="B84" s="46"/>
      <c r="C84" s="45"/>
      <c r="E84" s="101"/>
      <c r="F84" s="4043"/>
      <c r="G84" s="4044"/>
      <c r="H84" s="4044"/>
      <c r="I84" s="4044"/>
      <c r="J84" s="4044"/>
      <c r="K84" s="4044"/>
      <c r="L84" s="4044"/>
      <c r="M84" s="4044"/>
      <c r="N84" s="4044"/>
      <c r="O84" s="4044"/>
      <c r="P84" s="4044"/>
      <c r="Q84" s="4044"/>
      <c r="R84" s="4044"/>
      <c r="S84" s="4044"/>
      <c r="T84" s="4044"/>
      <c r="U84" s="4044"/>
      <c r="V84" s="4044"/>
      <c r="W84" s="4044"/>
      <c r="X84" s="4044"/>
      <c r="Y84" s="4044"/>
      <c r="Z84" s="4044"/>
      <c r="AA84" s="4044"/>
      <c r="AB84" s="4044"/>
      <c r="AC84" s="4044"/>
      <c r="AD84" s="4044"/>
      <c r="AE84" s="4044"/>
      <c r="AF84" s="4044"/>
      <c r="AG84" s="4044"/>
      <c r="AH84" s="4044"/>
      <c r="AI84" s="4044"/>
      <c r="AJ84" s="4044"/>
      <c r="AK84" s="4044"/>
      <c r="AL84" s="4045"/>
    </row>
    <row r="85" spans="2:38" x14ac:dyDescent="0.25">
      <c r="B85" s="104"/>
      <c r="C85" s="105"/>
      <c r="D85" s="101"/>
      <c r="E85" s="102"/>
      <c r="F85" s="4046"/>
      <c r="G85" s="4047"/>
      <c r="H85" s="4047"/>
      <c r="I85" s="4047"/>
      <c r="J85" s="4047"/>
      <c r="K85" s="4047"/>
      <c r="L85" s="4047"/>
      <c r="M85" s="4047"/>
      <c r="N85" s="4047"/>
      <c r="O85" s="4047"/>
      <c r="P85" s="4047"/>
      <c r="Q85" s="4047"/>
      <c r="R85" s="4047"/>
      <c r="S85" s="4047"/>
      <c r="T85" s="4047"/>
      <c r="U85" s="4047"/>
      <c r="V85" s="4047"/>
      <c r="W85" s="4047"/>
      <c r="X85" s="4047"/>
      <c r="Y85" s="4047"/>
      <c r="Z85" s="4047"/>
      <c r="AA85" s="4047"/>
      <c r="AB85" s="4047"/>
      <c r="AC85" s="4047"/>
      <c r="AD85" s="4047"/>
      <c r="AE85" s="106"/>
      <c r="AF85" s="106"/>
      <c r="AG85" s="106"/>
      <c r="AH85" s="106"/>
      <c r="AI85" s="106"/>
      <c r="AJ85" s="106"/>
      <c r="AK85" s="106"/>
      <c r="AL85" s="107"/>
    </row>
    <row r="86" spans="2:38" x14ac:dyDescent="0.25">
      <c r="B86" s="108"/>
      <c r="C86" s="109"/>
      <c r="D86" s="102"/>
      <c r="E86" s="103"/>
      <c r="F86" s="4043"/>
      <c r="G86" s="4044"/>
      <c r="H86" s="4044"/>
      <c r="I86" s="4044"/>
      <c r="J86" s="4044"/>
      <c r="K86" s="4044"/>
      <c r="L86" s="4044"/>
      <c r="M86" s="4044"/>
      <c r="N86" s="4044"/>
      <c r="O86" s="4044"/>
      <c r="P86" s="4044"/>
      <c r="Q86" s="4044"/>
      <c r="R86" s="4044"/>
      <c r="S86" s="4044"/>
      <c r="T86" s="4044"/>
      <c r="U86" s="4044"/>
      <c r="V86" s="4044"/>
      <c r="W86" s="4044"/>
      <c r="X86" s="4044"/>
      <c r="Y86" s="4044"/>
      <c r="Z86" s="4044"/>
      <c r="AA86" s="4044"/>
      <c r="AB86" s="4044"/>
      <c r="AC86" s="4044"/>
      <c r="AD86" s="4044"/>
      <c r="AE86" s="106"/>
      <c r="AF86" s="106"/>
      <c r="AG86" s="106"/>
      <c r="AH86" s="106"/>
      <c r="AI86" s="106"/>
      <c r="AJ86" s="106"/>
      <c r="AK86" s="106"/>
      <c r="AL86" s="107"/>
    </row>
    <row r="87" spans="2:38" x14ac:dyDescent="0.25">
      <c r="D87" s="103"/>
    </row>
    <row r="92" spans="2:38" x14ac:dyDescent="0.25">
      <c r="E92" s="44" t="s">
        <v>43</v>
      </c>
      <c r="F92" s="44" t="s">
        <v>44</v>
      </c>
      <c r="G92" s="44" t="s">
        <v>45</v>
      </c>
      <c r="H92" s="44" t="s">
        <v>46</v>
      </c>
      <c r="I92" s="44" t="s">
        <v>47</v>
      </c>
      <c r="J92" s="44" t="s">
        <v>48</v>
      </c>
      <c r="K92" s="44" t="s">
        <v>49</v>
      </c>
      <c r="L92" s="44" t="s">
        <v>50</v>
      </c>
      <c r="M92" s="44" t="s">
        <v>51</v>
      </c>
      <c r="N92" s="44" t="s">
        <v>52</v>
      </c>
      <c r="O92" s="44" t="s">
        <v>53</v>
      </c>
      <c r="P92" s="44" t="s">
        <v>54</v>
      </c>
      <c r="Q92" s="44" t="s">
        <v>55</v>
      </c>
      <c r="R92" s="44" t="s">
        <v>56</v>
      </c>
      <c r="S92" s="44" t="s">
        <v>57</v>
      </c>
      <c r="T92" s="44" t="s">
        <v>58</v>
      </c>
      <c r="U92" s="44" t="s">
        <v>59</v>
      </c>
      <c r="V92" s="44" t="s">
        <v>60</v>
      </c>
      <c r="W92" s="44" t="s">
        <v>61</v>
      </c>
      <c r="X92" s="44">
        <v>2014</v>
      </c>
      <c r="Y92" s="44">
        <v>2015</v>
      </c>
      <c r="Z92" s="44">
        <v>2016</v>
      </c>
      <c r="AA92" s="110">
        <v>2017</v>
      </c>
    </row>
    <row r="93" spans="2:38" x14ac:dyDescent="0.25">
      <c r="E93" s="97">
        <v>3.1156957193492651</v>
      </c>
      <c r="F93" s="97">
        <v>4.3066962105868072</v>
      </c>
      <c r="G93" s="97">
        <v>2.646764319423383</v>
      </c>
      <c r="H93" s="97">
        <v>0.51738274304229037</v>
      </c>
      <c r="I93" s="97">
        <v>2.3581285988405085</v>
      </c>
      <c r="J93" s="97">
        <v>4.1545885216350342</v>
      </c>
      <c r="K93" s="97">
        <v>2.7354231498118367</v>
      </c>
      <c r="L93" s="97">
        <v>3.6678376110939013</v>
      </c>
      <c r="M93" s="97">
        <v>2.9490744246935492</v>
      </c>
      <c r="N93" s="97">
        <v>4.5545699205685519</v>
      </c>
      <c r="O93" s="97">
        <v>5.2771117349823538</v>
      </c>
      <c r="P93" s="97">
        <v>5.6036647889724067</v>
      </c>
      <c r="Q93" s="97">
        <v>5.360465139616144</v>
      </c>
      <c r="R93" s="97">
        <v>3.1910516450526449</v>
      </c>
      <c r="S93" s="97">
        <v>-1.5381008639149374</v>
      </c>
      <c r="T93" s="97">
        <v>3.039777062767457</v>
      </c>
      <c r="U93" s="97">
        <v>3.3</v>
      </c>
      <c r="V93" s="97">
        <v>2.21987486452353</v>
      </c>
      <c r="W93" s="97">
        <v>2.5</v>
      </c>
      <c r="X93" s="97">
        <v>1.7</v>
      </c>
      <c r="Y93" s="97">
        <v>1.3</v>
      </c>
      <c r="Z93" s="97">
        <v>0.3</v>
      </c>
      <c r="AA93" s="111"/>
    </row>
  </sheetData>
  <mergeCells count="34">
    <mergeCell ref="F84:AL84"/>
    <mergeCell ref="F85:AD85"/>
    <mergeCell ref="F86:AD86"/>
    <mergeCell ref="BX60:CA60"/>
    <mergeCell ref="CB60:CE60"/>
    <mergeCell ref="CF60:CI60"/>
    <mergeCell ref="CJ60:CM60"/>
    <mergeCell ref="CN60:CQ60"/>
    <mergeCell ref="B61:C61"/>
    <mergeCell ref="AZ60:BC60"/>
    <mergeCell ref="BD60:BG60"/>
    <mergeCell ref="BH60:BK60"/>
    <mergeCell ref="BL60:BO60"/>
    <mergeCell ref="BP60:BS60"/>
    <mergeCell ref="BT60:BW60"/>
    <mergeCell ref="AB60:AE60"/>
    <mergeCell ref="AF60:AI60"/>
    <mergeCell ref="AJ60:AM60"/>
    <mergeCell ref="AN60:AQ60"/>
    <mergeCell ref="AR60:AU60"/>
    <mergeCell ref="AV60:AY60"/>
    <mergeCell ref="D56:AA56"/>
    <mergeCell ref="D57:AA57"/>
    <mergeCell ref="D60:G60"/>
    <mergeCell ref="H60:K60"/>
    <mergeCell ref="L60:O60"/>
    <mergeCell ref="P60:S60"/>
    <mergeCell ref="T60:W60"/>
    <mergeCell ref="X60:AA60"/>
    <mergeCell ref="D55:AA55"/>
    <mergeCell ref="D2:AB2"/>
    <mergeCell ref="D3:AB3"/>
    <mergeCell ref="D4:AB4"/>
    <mergeCell ref="D54:AA54"/>
  </mergeCells>
  <pageMargins left="0.74803149606299202" right="0.74803149606299202" top="0.98425196850393704" bottom="0.98425196850393704" header="0.511811023622047" footer="0.511811023622047"/>
  <pageSetup paperSize="9" scale="56" orientation="landscape" r:id="rId1"/>
  <headerFooter alignWithMargins="0">
    <oddHeader>&amp;C&amp;"-,Bold"DEVELOPMENT INDICATORS 2017</oddHeader>
    <oddFooter>&amp;LDepartment of Planning, Monitoring and Evaluation (DPME). &amp;CPage &amp;P of &amp;N&amp;R&amp;D</oddFooter>
  </headerFooter>
  <colBreaks count="1" manualBreakCount="1">
    <brk id="26" max="5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T61"/>
  <sheetViews>
    <sheetView showGridLines="0" tabSelected="1" view="pageBreakPreview" zoomScaleNormal="100" zoomScaleSheetLayoutView="100" workbookViewId="0">
      <selection activeCell="B10" sqref="B10"/>
    </sheetView>
  </sheetViews>
  <sheetFormatPr defaultColWidth="9.28515625" defaultRowHeight="15" x14ac:dyDescent="0.25"/>
  <cols>
    <col min="1" max="1" width="3.7109375" style="116" customWidth="1"/>
    <col min="2" max="2" width="17.28515625" style="113" customWidth="1"/>
    <col min="3" max="3" width="3.7109375" style="114" customWidth="1"/>
    <col min="4" max="4" width="14.7109375" style="44" customWidth="1"/>
    <col min="5" max="7" width="8.28515625" style="44" customWidth="1"/>
    <col min="8" max="8" width="8.28515625" style="785" customWidth="1"/>
    <col min="9" max="9" width="8.28515625" style="44" customWidth="1"/>
    <col min="10" max="10" width="8.28515625" style="785" customWidth="1"/>
    <col min="11" max="11" width="8.28515625" style="44" customWidth="1"/>
    <col min="12" max="12" width="9.28515625" style="785"/>
    <col min="13" max="13" width="9.28515625" style="44"/>
    <col min="14" max="14" width="9.28515625" style="785"/>
    <col min="15" max="15" width="9.28515625" style="44"/>
    <col min="16" max="16" width="9.28515625" style="785"/>
    <col min="17" max="17" width="9.28515625" style="44"/>
    <col min="18" max="18" width="9.28515625" style="785"/>
    <col min="19" max="20" width="9.28515625" style="44"/>
    <col min="21" max="21" width="7.42578125" style="44" customWidth="1"/>
    <col min="22" max="22" width="7" style="44" customWidth="1"/>
    <col min="23" max="16384" width="9.28515625" style="44"/>
  </cols>
  <sheetData>
    <row r="1" spans="1:46" x14ac:dyDescent="0.25">
      <c r="A1" s="782"/>
      <c r="B1" s="783"/>
      <c r="C1" s="783"/>
      <c r="D1" s="115"/>
      <c r="E1" s="115"/>
      <c r="F1" s="115"/>
      <c r="G1" s="115"/>
      <c r="H1" s="784"/>
      <c r="I1" s="115"/>
      <c r="J1" s="784"/>
      <c r="K1" s="115"/>
    </row>
    <row r="2" spans="1:46" ht="13.15" customHeight="1" x14ac:dyDescent="0.25">
      <c r="A2" s="782">
        <v>1</v>
      </c>
      <c r="B2" s="782" t="s">
        <v>0</v>
      </c>
      <c r="C2" s="782">
        <v>15</v>
      </c>
      <c r="D2" s="4054" t="s">
        <v>384</v>
      </c>
      <c r="E2" s="4055"/>
      <c r="F2" s="4055"/>
      <c r="G2" s="4055"/>
      <c r="H2" s="4055"/>
      <c r="I2" s="4055"/>
      <c r="J2" s="4055"/>
      <c r="K2" s="4055"/>
      <c r="L2" s="4055"/>
      <c r="M2" s="4055"/>
      <c r="N2" s="4055"/>
      <c r="O2" s="4055"/>
      <c r="P2" s="4055"/>
      <c r="Q2" s="4055"/>
      <c r="R2" s="4055"/>
      <c r="S2" s="4055"/>
      <c r="T2" s="4055"/>
      <c r="U2" s="4056"/>
      <c r="V2" s="302"/>
    </row>
    <row r="3" spans="1:46" ht="13.15" customHeight="1" x14ac:dyDescent="0.25">
      <c r="A3" s="782">
        <v>2</v>
      </c>
      <c r="B3" s="782" t="s">
        <v>2</v>
      </c>
      <c r="C3" s="782"/>
      <c r="D3" s="4060" t="s">
        <v>385</v>
      </c>
      <c r="E3" s="4061"/>
      <c r="F3" s="4061"/>
      <c r="G3" s="4061"/>
      <c r="H3" s="4061"/>
      <c r="I3" s="4061"/>
      <c r="J3" s="4061"/>
      <c r="K3" s="4061"/>
      <c r="L3" s="4061"/>
      <c r="M3" s="4061"/>
      <c r="N3" s="4061"/>
      <c r="O3" s="4061"/>
      <c r="P3" s="4061"/>
      <c r="Q3" s="4061"/>
      <c r="R3" s="4061"/>
      <c r="S3" s="4061"/>
      <c r="T3" s="4061"/>
      <c r="U3" s="4062"/>
      <c r="V3" s="173"/>
    </row>
    <row r="4" spans="1:46" ht="13.15" customHeight="1" x14ac:dyDescent="0.25">
      <c r="A4" s="782">
        <v>3</v>
      </c>
      <c r="B4" s="782" t="s">
        <v>4</v>
      </c>
      <c r="C4" s="782"/>
      <c r="D4" s="4060" t="s">
        <v>386</v>
      </c>
      <c r="E4" s="4061"/>
      <c r="F4" s="4061"/>
      <c r="G4" s="4061"/>
      <c r="H4" s="4061"/>
      <c r="I4" s="4061"/>
      <c r="J4" s="4061"/>
      <c r="K4" s="4061"/>
      <c r="L4" s="4061"/>
      <c r="M4" s="4061"/>
      <c r="N4" s="4061"/>
      <c r="O4" s="4061"/>
      <c r="P4" s="4061"/>
      <c r="Q4" s="4061"/>
      <c r="R4" s="4061"/>
      <c r="S4" s="4061"/>
      <c r="T4" s="4061"/>
      <c r="U4" s="4062"/>
      <c r="V4" s="173"/>
    </row>
    <row r="5" spans="1:46" ht="13.5" customHeight="1" x14ac:dyDescent="0.25">
      <c r="B5" s="117"/>
      <c r="C5" s="116"/>
      <c r="D5" s="4060"/>
      <c r="E5" s="4061"/>
      <c r="F5" s="4061"/>
      <c r="G5" s="4061"/>
      <c r="H5" s="4061"/>
      <c r="I5" s="4061"/>
      <c r="J5" s="4061"/>
      <c r="K5" s="4061"/>
      <c r="L5" s="4061"/>
      <c r="M5" s="4061"/>
      <c r="N5" s="4061"/>
      <c r="O5" s="4061"/>
      <c r="P5" s="4061"/>
      <c r="Q5" s="4061"/>
      <c r="R5" s="4061"/>
      <c r="S5" s="4061"/>
      <c r="T5" s="4061"/>
      <c r="U5" s="4062"/>
      <c r="V5" s="4155"/>
      <c r="W5" s="4155"/>
      <c r="X5" s="4155"/>
      <c r="Y5" s="4155"/>
      <c r="Z5" s="4155"/>
      <c r="AA5" s="4155"/>
      <c r="AB5" s="4155"/>
      <c r="AC5" s="178"/>
      <c r="AD5" s="178"/>
      <c r="AE5" s="178"/>
      <c r="AF5" s="178"/>
      <c r="AG5" s="178"/>
      <c r="AH5" s="178"/>
      <c r="AI5" s="178"/>
      <c r="AJ5" s="178"/>
      <c r="AK5" s="178"/>
      <c r="AL5" s="178"/>
      <c r="AM5" s="178"/>
      <c r="AN5" s="178"/>
      <c r="AO5" s="178"/>
      <c r="AP5" s="178"/>
      <c r="AQ5" s="178"/>
      <c r="AR5" s="178"/>
      <c r="AS5" s="178"/>
      <c r="AT5" s="178"/>
    </row>
    <row r="6" spans="1:46" x14ac:dyDescent="0.25">
      <c r="A6" s="782">
        <v>4</v>
      </c>
      <c r="B6" s="782" t="s">
        <v>5</v>
      </c>
      <c r="C6" s="782"/>
      <c r="D6" s="115"/>
      <c r="E6" s="115"/>
      <c r="F6" s="115"/>
      <c r="G6" s="115"/>
      <c r="H6" s="784"/>
      <c r="I6" s="115"/>
      <c r="J6" s="784"/>
      <c r="K6" s="120"/>
      <c r="L6" s="786"/>
      <c r="M6" s="53"/>
      <c r="N6" s="786"/>
      <c r="O6" s="53"/>
      <c r="P6" s="786"/>
    </row>
    <row r="7" spans="1:46" x14ac:dyDescent="0.25">
      <c r="A7" s="782"/>
      <c r="B7" s="783"/>
      <c r="C7" s="783"/>
      <c r="D7" s="141" t="s">
        <v>112</v>
      </c>
      <c r="E7" s="141" t="s">
        <v>387</v>
      </c>
      <c r="F7" s="141"/>
      <c r="G7" s="141"/>
      <c r="H7" s="787"/>
      <c r="I7" s="120"/>
      <c r="J7" s="787"/>
      <c r="K7" s="120"/>
      <c r="L7" s="788"/>
      <c r="M7" s="115"/>
      <c r="N7" s="784"/>
      <c r="O7" s="115"/>
      <c r="P7" s="784"/>
      <c r="Q7" s="115"/>
      <c r="R7" s="44"/>
    </row>
    <row r="8" spans="1:46" x14ac:dyDescent="0.25">
      <c r="A8" s="782"/>
      <c r="B8" s="783"/>
      <c r="C8" s="179"/>
      <c r="D8" s="220" t="s">
        <v>69</v>
      </c>
      <c r="E8" s="789" t="s">
        <v>48</v>
      </c>
      <c r="F8" s="789" t="s">
        <v>49</v>
      </c>
      <c r="G8" s="789" t="s">
        <v>50</v>
      </c>
      <c r="H8" s="789" t="s">
        <v>51</v>
      </c>
      <c r="I8" s="789" t="s">
        <v>52</v>
      </c>
      <c r="J8" s="789" t="s">
        <v>53</v>
      </c>
      <c r="K8" s="789" t="s">
        <v>54</v>
      </c>
      <c r="L8" s="789" t="s">
        <v>55</v>
      </c>
      <c r="M8" s="789" t="s">
        <v>56</v>
      </c>
      <c r="N8" s="789" t="s">
        <v>57</v>
      </c>
      <c r="O8" s="789" t="s">
        <v>58</v>
      </c>
      <c r="P8" s="789" t="s">
        <v>59</v>
      </c>
      <c r="Q8" s="789" t="s">
        <v>60</v>
      </c>
      <c r="R8" s="789" t="s">
        <v>61</v>
      </c>
      <c r="S8" s="790" t="s">
        <v>62</v>
      </c>
      <c r="T8" s="791" t="s">
        <v>63</v>
      </c>
      <c r="U8" s="789">
        <v>2016</v>
      </c>
      <c r="V8" s="789" t="s">
        <v>65</v>
      </c>
      <c r="W8" s="792"/>
    </row>
    <row r="9" spans="1:46" x14ac:dyDescent="0.25">
      <c r="A9" s="782"/>
      <c r="B9" s="783"/>
      <c r="C9" s="179"/>
      <c r="D9" s="793" t="s">
        <v>388</v>
      </c>
      <c r="E9" s="794">
        <v>0.127</v>
      </c>
      <c r="F9" s="794">
        <v>0.251</v>
      </c>
      <c r="G9" s="794">
        <f>+(10+3.4+5)%</f>
        <v>0.184</v>
      </c>
      <c r="H9" s="794">
        <f>+(14.9+4+4.9)%</f>
        <v>0.23799999999999996</v>
      </c>
      <c r="I9" s="794">
        <f>+(11.8+3.7+5.6)%</f>
        <v>0.21100000000000002</v>
      </c>
      <c r="J9" s="794">
        <f>+(17.9+3.7+5.6)%</f>
        <v>0.27199999999999996</v>
      </c>
      <c r="K9" s="794">
        <f>(11.3+4.7+6.2)%</f>
        <v>0.222</v>
      </c>
      <c r="L9" s="794">
        <f>+(18.8+3.9+6.1)%</f>
        <v>0.28799999999999998</v>
      </c>
      <c r="M9" s="794">
        <f>+(13.6+4.7+5.9)%</f>
        <v>0.24200000000000002</v>
      </c>
      <c r="N9" s="794">
        <f>+(20.3+5+6.9)%</f>
        <v>0.32200000000000001</v>
      </c>
      <c r="O9" s="795">
        <f>(12.7+4.6+6.8)%</f>
        <v>0.24099999999999999</v>
      </c>
      <c r="P9" s="795">
        <f>+(18.5+4.8+7.5)%</f>
        <v>0.308</v>
      </c>
      <c r="Q9" s="794">
        <f>(12.3+4.6+7.3)%</f>
        <v>0.24199999999999999</v>
      </c>
      <c r="R9" s="794">
        <f>+(19.8+5.1+8.4)%</f>
        <v>0.33299999999999996</v>
      </c>
      <c r="S9" s="795">
        <v>0.26700000000000002</v>
      </c>
      <c r="T9" s="796">
        <v>0.27600000000000002</v>
      </c>
      <c r="U9" s="797">
        <v>0.28100000000000003</v>
      </c>
      <c r="V9" s="881"/>
      <c r="W9" s="53"/>
    </row>
    <row r="10" spans="1:46" x14ac:dyDescent="0.25">
      <c r="A10" s="782"/>
      <c r="B10" s="783"/>
      <c r="C10" s="179"/>
      <c r="D10" s="134" t="s">
        <v>389</v>
      </c>
      <c r="E10" s="798">
        <v>0.185</v>
      </c>
      <c r="F10" s="798">
        <v>0.191</v>
      </c>
      <c r="G10" s="798">
        <f>(10.8+5.7+6.3)%</f>
        <v>0.22800000000000001</v>
      </c>
      <c r="H10" s="798">
        <f>+(14.2+6.3+6.8)%</f>
        <v>0.27300000000000002</v>
      </c>
      <c r="I10" s="798">
        <f>+(13.1+5.4+7.2)%</f>
        <v>0.25700000000000001</v>
      </c>
      <c r="J10" s="798">
        <f>+(14.5+6+7)%</f>
        <v>0.27500000000000002</v>
      </c>
      <c r="K10" s="798">
        <f>+(13.4+5.8+7.7)%</f>
        <v>0.26899999999999996</v>
      </c>
      <c r="L10" s="798">
        <f>+(18.1+6.1+8.2)%</f>
        <v>0.32400000000000007</v>
      </c>
      <c r="M10" s="798">
        <f>+(17.3+6.9+8.3)%</f>
        <v>0.32500000000000001</v>
      </c>
      <c r="N10" s="798">
        <f>+(20+6.4+9.1)%</f>
        <v>0.35499999999999998</v>
      </c>
      <c r="O10" s="799">
        <f>+(12.7+4.6+6.8)%</f>
        <v>0.24099999999999999</v>
      </c>
      <c r="P10" s="799">
        <f>+(12.8+7+9.6)%</f>
        <v>0.29399999999999998</v>
      </c>
      <c r="Q10" s="800">
        <f>+(18.4+7.1+9.5)%</f>
        <v>0.35</v>
      </c>
      <c r="R10" s="800">
        <f>(23+7+10.1)%</f>
        <v>0.40100000000000002</v>
      </c>
      <c r="S10" s="801">
        <v>0.376</v>
      </c>
      <c r="T10" s="802">
        <v>0.38800000000000001</v>
      </c>
      <c r="U10" s="801">
        <v>0.40400000000000003</v>
      </c>
      <c r="V10" s="882"/>
      <c r="W10" s="53"/>
    </row>
    <row r="11" spans="1:46" ht="12.75" customHeight="1" x14ac:dyDescent="0.25">
      <c r="A11" s="782"/>
      <c r="B11" s="783"/>
      <c r="C11" s="179"/>
      <c r="D11" s="138"/>
      <c r="E11" s="803"/>
      <c r="F11" s="803"/>
      <c r="G11" s="803"/>
      <c r="H11" s="803"/>
      <c r="I11" s="803"/>
      <c r="J11" s="803"/>
      <c r="K11" s="803"/>
      <c r="L11" s="803"/>
      <c r="M11" s="803"/>
      <c r="N11" s="803"/>
      <c r="O11" s="804"/>
      <c r="P11" s="804"/>
      <c r="Q11" s="803"/>
      <c r="R11" s="803"/>
      <c r="S11" s="145"/>
      <c r="T11" s="145"/>
    </row>
    <row r="12" spans="1:46" ht="12.75" customHeight="1" x14ac:dyDescent="0.25">
      <c r="A12" s="782"/>
      <c r="B12" s="783"/>
      <c r="C12" s="179"/>
      <c r="D12" s="805" t="s">
        <v>6</v>
      </c>
      <c r="E12" s="806" t="s">
        <v>390</v>
      </c>
      <c r="F12" s="803"/>
      <c r="G12" s="803"/>
      <c r="H12" s="803"/>
      <c r="I12" s="803"/>
      <c r="J12" s="803"/>
      <c r="K12" s="803"/>
      <c r="L12" s="803"/>
      <c r="M12" s="803"/>
      <c r="N12" s="803"/>
      <c r="O12" s="804"/>
      <c r="P12" s="804"/>
      <c r="Q12" s="803"/>
      <c r="R12" s="803"/>
      <c r="S12" s="145"/>
      <c r="T12" s="145"/>
    </row>
    <row r="13" spans="1:46" ht="12.75" customHeight="1" x14ac:dyDescent="0.25">
      <c r="A13" s="782"/>
      <c r="B13" s="783"/>
      <c r="C13" s="179"/>
      <c r="D13" s="807" t="s">
        <v>69</v>
      </c>
      <c r="E13" s="789" t="s">
        <v>48</v>
      </c>
      <c r="F13" s="789" t="s">
        <v>49</v>
      </c>
      <c r="G13" s="789" t="s">
        <v>50</v>
      </c>
      <c r="H13" s="789" t="s">
        <v>51</v>
      </c>
      <c r="I13" s="789" t="s">
        <v>52</v>
      </c>
      <c r="J13" s="789" t="s">
        <v>53</v>
      </c>
      <c r="K13" s="789" t="s">
        <v>54</v>
      </c>
      <c r="L13" s="789" t="s">
        <v>55</v>
      </c>
      <c r="M13" s="789" t="s">
        <v>56</v>
      </c>
      <c r="N13" s="789" t="s">
        <v>57</v>
      </c>
      <c r="O13" s="790" t="s">
        <v>58</v>
      </c>
      <c r="P13" s="790" t="s">
        <v>59</v>
      </c>
      <c r="Q13" s="789" t="s">
        <v>60</v>
      </c>
      <c r="R13" s="789" t="s">
        <v>61</v>
      </c>
      <c r="S13" s="790" t="s">
        <v>62</v>
      </c>
      <c r="T13" s="789" t="s">
        <v>63</v>
      </c>
      <c r="U13" s="789">
        <v>2016</v>
      </c>
      <c r="V13" s="789" t="s">
        <v>65</v>
      </c>
      <c r="W13" s="792"/>
    </row>
    <row r="14" spans="1:46" x14ac:dyDescent="0.25">
      <c r="A14" s="782"/>
      <c r="B14" s="783"/>
      <c r="C14" s="179"/>
      <c r="D14" s="808" t="s">
        <v>391</v>
      </c>
      <c r="E14" s="794">
        <v>0.124</v>
      </c>
      <c r="F14" s="794">
        <v>0.11899999999999999</v>
      </c>
      <c r="G14" s="794">
        <v>0.13700000000000001</v>
      </c>
      <c r="H14" s="794">
        <v>0.14000000000000001</v>
      </c>
      <c r="I14" s="794">
        <v>0.151</v>
      </c>
      <c r="J14" s="794">
        <v>0.17</v>
      </c>
      <c r="K14" s="794">
        <v>0.216</v>
      </c>
      <c r="L14" s="794">
        <v>0.20599999999999999</v>
      </c>
      <c r="M14" s="794">
        <v>0.182</v>
      </c>
      <c r="N14" s="794">
        <v>0.184</v>
      </c>
      <c r="O14" s="794">
        <v>0.19</v>
      </c>
      <c r="P14" s="795">
        <v>0.19</v>
      </c>
      <c r="Q14" s="794">
        <v>0.19800000000000001</v>
      </c>
      <c r="R14" s="794">
        <v>0.20599999999999999</v>
      </c>
      <c r="S14" s="795">
        <v>0.20899999999999999</v>
      </c>
      <c r="T14" s="796">
        <v>0.214</v>
      </c>
      <c r="U14" s="797">
        <v>0.22</v>
      </c>
      <c r="V14" s="883">
        <v>0.22900000000000001</v>
      </c>
      <c r="W14" s="67"/>
    </row>
    <row r="15" spans="1:46" x14ac:dyDescent="0.25">
      <c r="A15" s="782"/>
      <c r="B15" s="783"/>
      <c r="C15" s="179"/>
      <c r="D15" s="809" t="s">
        <v>389</v>
      </c>
      <c r="E15" s="798">
        <v>0.21</v>
      </c>
      <c r="F15" s="798">
        <v>0.17699999999999999</v>
      </c>
      <c r="G15" s="798">
        <v>0.216</v>
      </c>
      <c r="H15" s="798">
        <v>0.223</v>
      </c>
      <c r="I15" s="798">
        <v>0.23699999999999999</v>
      </c>
      <c r="J15" s="798">
        <v>0.23699999999999999</v>
      </c>
      <c r="K15" s="798">
        <v>0.27400000000000002</v>
      </c>
      <c r="L15" s="798">
        <v>0.253</v>
      </c>
      <c r="M15" s="798">
        <v>0.28299999999999997</v>
      </c>
      <c r="N15" s="798">
        <v>0.27200000000000002</v>
      </c>
      <c r="O15" s="798">
        <v>0.19</v>
      </c>
      <c r="P15" s="799">
        <v>0.28199999999999997</v>
      </c>
      <c r="Q15" s="798">
        <v>0.307</v>
      </c>
      <c r="R15" s="798">
        <v>0.29899999999999999</v>
      </c>
      <c r="S15" s="799">
        <v>0.32100000000000001</v>
      </c>
      <c r="T15" s="810">
        <v>0.32400000000000001</v>
      </c>
      <c r="U15" s="799">
        <v>0.33329999999999999</v>
      </c>
      <c r="V15" s="798">
        <v>0.33800000000000002</v>
      </c>
      <c r="W15" s="53"/>
    </row>
    <row r="16" spans="1:46" x14ac:dyDescent="0.25">
      <c r="A16" s="782"/>
      <c r="B16" s="783"/>
      <c r="C16" s="179"/>
      <c r="D16" s="811"/>
      <c r="E16" s="803"/>
      <c r="F16" s="803"/>
      <c r="G16" s="803"/>
      <c r="H16" s="812"/>
      <c r="I16" s="803"/>
      <c r="J16" s="812"/>
      <c r="K16" s="803"/>
      <c r="L16" s="812"/>
      <c r="M16" s="803"/>
      <c r="N16" s="812"/>
      <c r="O16" s="803"/>
      <c r="P16" s="813"/>
      <c r="Q16" s="803"/>
      <c r="R16" s="812"/>
    </row>
    <row r="17" spans="1:17" x14ac:dyDescent="0.25">
      <c r="A17" s="782"/>
      <c r="B17" s="783"/>
      <c r="C17" s="179"/>
      <c r="D17" s="138"/>
      <c r="E17" s="814"/>
      <c r="F17" s="814"/>
      <c r="G17" s="814"/>
      <c r="H17" s="812"/>
      <c r="I17" s="814"/>
      <c r="J17" s="812"/>
      <c r="K17" s="814"/>
      <c r="L17" s="812"/>
      <c r="M17" s="814"/>
      <c r="N17" s="812"/>
      <c r="O17" s="815"/>
      <c r="P17" s="813"/>
      <c r="Q17" s="815"/>
    </row>
    <row r="18" spans="1:17" x14ac:dyDescent="0.25">
      <c r="A18" s="782">
        <v>5</v>
      </c>
      <c r="B18" s="782" t="s">
        <v>90</v>
      </c>
      <c r="C18" s="782"/>
      <c r="D18" s="138"/>
      <c r="E18" s="814"/>
      <c r="F18" s="814"/>
      <c r="G18" s="814"/>
      <c r="H18" s="812"/>
      <c r="I18" s="814"/>
      <c r="J18" s="812"/>
      <c r="K18" s="814"/>
      <c r="L18" s="812"/>
      <c r="M18" s="814"/>
      <c r="N18" s="812"/>
      <c r="O18" s="815"/>
      <c r="P18" s="813"/>
      <c r="Q18" s="815"/>
    </row>
    <row r="19" spans="1:17" x14ac:dyDescent="0.25">
      <c r="A19" s="782"/>
      <c r="B19" s="783"/>
      <c r="C19" s="179"/>
      <c r="D19" s="138"/>
      <c r="E19" s="814"/>
      <c r="F19" s="814"/>
      <c r="G19" s="814"/>
      <c r="H19" s="812"/>
      <c r="I19" s="814"/>
      <c r="J19" s="812"/>
      <c r="K19" s="814"/>
      <c r="L19" s="812"/>
      <c r="M19" s="814"/>
      <c r="N19" s="812"/>
      <c r="O19" s="815"/>
      <c r="P19" s="813"/>
      <c r="Q19" s="815"/>
    </row>
    <row r="20" spans="1:17" x14ac:dyDescent="0.25">
      <c r="A20" s="782"/>
      <c r="B20" s="783"/>
      <c r="C20" s="179"/>
      <c r="D20" s="138"/>
      <c r="E20" s="814"/>
      <c r="F20" s="814"/>
      <c r="G20" s="814"/>
      <c r="H20" s="812"/>
      <c r="I20" s="814"/>
      <c r="J20" s="812"/>
      <c r="K20" s="814"/>
      <c r="L20" s="812"/>
      <c r="M20" s="814"/>
      <c r="N20" s="812"/>
      <c r="O20" s="815"/>
      <c r="P20" s="813"/>
      <c r="Q20" s="815"/>
    </row>
    <row r="21" spans="1:17" x14ac:dyDescent="0.25">
      <c r="A21" s="782"/>
      <c r="B21" s="783"/>
      <c r="C21" s="179"/>
      <c r="D21" s="138"/>
      <c r="E21" s="814"/>
      <c r="F21" s="814"/>
      <c r="G21" s="814"/>
      <c r="H21" s="812"/>
      <c r="I21" s="814"/>
      <c r="J21" s="812"/>
      <c r="K21" s="814"/>
      <c r="L21" s="812"/>
      <c r="M21" s="814"/>
      <c r="N21" s="812"/>
      <c r="O21" s="815"/>
      <c r="P21" s="813"/>
      <c r="Q21" s="815"/>
    </row>
    <row r="22" spans="1:17" x14ac:dyDescent="0.25">
      <c r="A22" s="782"/>
      <c r="B22" s="783"/>
      <c r="C22" s="179"/>
      <c r="D22" s="138"/>
      <c r="E22" s="814"/>
      <c r="F22" s="814"/>
      <c r="G22" s="814"/>
      <c r="H22" s="812"/>
      <c r="I22" s="814"/>
      <c r="J22" s="812"/>
      <c r="K22" s="814"/>
      <c r="L22" s="812"/>
      <c r="M22" s="814"/>
      <c r="N22" s="812"/>
      <c r="O22" s="815"/>
      <c r="P22" s="813"/>
      <c r="Q22" s="815"/>
    </row>
    <row r="23" spans="1:17" x14ac:dyDescent="0.25">
      <c r="A23" s="782"/>
      <c r="B23" s="783"/>
      <c r="C23" s="179"/>
      <c r="D23" s="138"/>
      <c r="E23" s="814"/>
      <c r="F23" s="814"/>
      <c r="G23" s="814"/>
      <c r="H23" s="812"/>
      <c r="I23" s="814"/>
      <c r="J23" s="812"/>
      <c r="K23" s="814"/>
      <c r="L23" s="812"/>
      <c r="M23" s="814"/>
      <c r="N23" s="812"/>
      <c r="O23" s="815"/>
      <c r="P23" s="813"/>
      <c r="Q23" s="815"/>
    </row>
    <row r="24" spans="1:17" x14ac:dyDescent="0.25">
      <c r="A24" s="782"/>
      <c r="B24" s="783"/>
      <c r="C24" s="179"/>
      <c r="D24" s="138"/>
      <c r="E24" s="814"/>
      <c r="F24" s="814"/>
      <c r="G24" s="814"/>
      <c r="H24" s="812"/>
      <c r="I24" s="814"/>
      <c r="J24" s="812"/>
      <c r="K24" s="814"/>
      <c r="L24" s="812"/>
      <c r="M24" s="814"/>
      <c r="N24" s="812"/>
      <c r="O24" s="815"/>
      <c r="P24" s="813"/>
      <c r="Q24" s="815"/>
    </row>
    <row r="25" spans="1:17" x14ac:dyDescent="0.25">
      <c r="A25" s="782"/>
      <c r="B25" s="783"/>
      <c r="C25" s="179"/>
      <c r="D25" s="138"/>
      <c r="E25" s="814"/>
      <c r="F25" s="814"/>
      <c r="G25" s="814"/>
      <c r="H25" s="812"/>
      <c r="I25" s="814"/>
      <c r="J25" s="812"/>
      <c r="K25" s="814"/>
      <c r="L25" s="812"/>
      <c r="M25" s="814"/>
      <c r="N25" s="812"/>
      <c r="O25" s="815"/>
      <c r="P25" s="813"/>
      <c r="Q25" s="815"/>
    </row>
    <row r="26" spans="1:17" x14ac:dyDescent="0.25">
      <c r="A26" s="782"/>
      <c r="B26" s="783"/>
      <c r="C26" s="179"/>
      <c r="D26" s="138"/>
      <c r="E26" s="814"/>
      <c r="F26" s="814"/>
      <c r="G26" s="814"/>
      <c r="H26" s="812"/>
      <c r="I26" s="814"/>
      <c r="J26" s="812"/>
      <c r="K26" s="814"/>
      <c r="L26" s="812"/>
      <c r="M26" s="814"/>
      <c r="N26" s="812"/>
      <c r="O26" s="815"/>
      <c r="P26" s="813"/>
      <c r="Q26" s="815"/>
    </row>
    <row r="27" spans="1:17" x14ac:dyDescent="0.25">
      <c r="A27" s="782"/>
      <c r="B27" s="783"/>
      <c r="C27" s="179"/>
      <c r="D27" s="138"/>
      <c r="E27" s="814"/>
      <c r="F27" s="814"/>
      <c r="G27" s="814"/>
      <c r="H27" s="812"/>
      <c r="I27" s="814"/>
      <c r="J27" s="812"/>
      <c r="K27" s="814"/>
      <c r="L27" s="812"/>
      <c r="M27" s="814"/>
      <c r="N27" s="812"/>
      <c r="O27" s="815"/>
      <c r="P27" s="813"/>
      <c r="Q27" s="815"/>
    </row>
    <row r="28" spans="1:17" x14ac:dyDescent="0.25">
      <c r="A28" s="782"/>
      <c r="B28" s="783"/>
      <c r="C28" s="179"/>
      <c r="D28" s="138"/>
      <c r="E28" s="814"/>
      <c r="F28" s="814"/>
      <c r="G28" s="814"/>
      <c r="H28" s="812"/>
      <c r="I28" s="814"/>
      <c r="J28" s="812"/>
      <c r="K28" s="814"/>
      <c r="L28" s="812"/>
      <c r="M28" s="814"/>
      <c r="N28" s="812"/>
      <c r="O28" s="815"/>
      <c r="P28" s="813"/>
      <c r="Q28" s="815"/>
    </row>
    <row r="29" spans="1:17" x14ac:dyDescent="0.25">
      <c r="A29" s="782"/>
      <c r="B29" s="783"/>
      <c r="C29" s="179"/>
      <c r="D29" s="138"/>
      <c r="E29" s="814"/>
      <c r="F29" s="814"/>
      <c r="G29" s="814"/>
      <c r="H29" s="812"/>
      <c r="I29" s="814"/>
      <c r="J29" s="812"/>
      <c r="K29" s="814"/>
      <c r="L29" s="812"/>
      <c r="M29" s="814"/>
      <c r="N29" s="812"/>
      <c r="O29" s="815"/>
      <c r="P29" s="813"/>
      <c r="Q29" s="815"/>
    </row>
    <row r="30" spans="1:17" x14ac:dyDescent="0.25">
      <c r="A30" s="782"/>
      <c r="B30" s="783"/>
      <c r="C30" s="179"/>
      <c r="D30" s="138"/>
      <c r="E30" s="814"/>
      <c r="F30" s="814"/>
      <c r="G30" s="814"/>
      <c r="H30" s="812"/>
      <c r="I30" s="814"/>
      <c r="J30" s="812"/>
      <c r="K30" s="814"/>
      <c r="L30" s="812"/>
      <c r="M30" s="814"/>
      <c r="N30" s="812"/>
      <c r="O30" s="815"/>
      <c r="P30" s="813"/>
      <c r="Q30" s="815"/>
    </row>
    <row r="31" spans="1:17" x14ac:dyDescent="0.25">
      <c r="A31" s="782"/>
      <c r="B31" s="783"/>
      <c r="C31" s="179"/>
      <c r="D31" s="138"/>
      <c r="E31" s="814"/>
      <c r="F31" s="814"/>
      <c r="G31" s="814"/>
      <c r="H31" s="812"/>
      <c r="I31" s="814"/>
      <c r="J31" s="812"/>
      <c r="K31" s="814"/>
      <c r="L31" s="812"/>
      <c r="M31" s="814"/>
      <c r="N31" s="812"/>
      <c r="O31" s="815"/>
      <c r="P31" s="813"/>
      <c r="Q31" s="815"/>
    </row>
    <row r="32" spans="1:17" ht="12.75" customHeight="1" x14ac:dyDescent="0.25">
      <c r="A32" s="782"/>
      <c r="B32" s="783"/>
      <c r="C32" s="179"/>
      <c r="D32" s="138"/>
      <c r="E32" s="814"/>
      <c r="F32" s="814"/>
      <c r="G32" s="814"/>
      <c r="H32" s="816"/>
      <c r="I32" s="138"/>
      <c r="J32" s="817"/>
      <c r="K32" s="138"/>
      <c r="L32" s="816"/>
      <c r="M32" s="139"/>
      <c r="N32" s="816"/>
      <c r="O32" s="53"/>
      <c r="P32" s="786"/>
    </row>
    <row r="33" spans="1:28" x14ac:dyDescent="0.25">
      <c r="A33" s="782">
        <v>6</v>
      </c>
      <c r="B33" s="782" t="s">
        <v>29</v>
      </c>
      <c r="C33" s="782"/>
      <c r="D33" s="4048" t="s">
        <v>392</v>
      </c>
      <c r="E33" s="4049"/>
      <c r="F33" s="4049"/>
      <c r="G33" s="4049"/>
      <c r="H33" s="4049"/>
      <c r="I33" s="4049"/>
      <c r="J33" s="4049"/>
      <c r="K33" s="4049"/>
      <c r="L33" s="4049"/>
      <c r="M33" s="4049"/>
      <c r="N33" s="4049"/>
      <c r="O33" s="4049"/>
      <c r="P33" s="4049"/>
      <c r="Q33" s="4049"/>
      <c r="R33" s="4049"/>
      <c r="S33" s="4049"/>
      <c r="T33" s="4049"/>
      <c r="U33" s="4050"/>
      <c r="V33" s="142"/>
    </row>
    <row r="34" spans="1:28" ht="13.15" customHeight="1" x14ac:dyDescent="0.25">
      <c r="A34" s="818">
        <v>7</v>
      </c>
      <c r="B34" s="818" t="s">
        <v>32</v>
      </c>
      <c r="C34" s="818"/>
      <c r="D34" s="4066" t="s">
        <v>393</v>
      </c>
      <c r="E34" s="4067"/>
      <c r="F34" s="4067"/>
      <c r="G34" s="4067"/>
      <c r="H34" s="4067"/>
      <c r="I34" s="4067"/>
      <c r="J34" s="4067"/>
      <c r="K34" s="4067"/>
      <c r="L34" s="4067"/>
      <c r="M34" s="4067"/>
      <c r="N34" s="4067"/>
      <c r="O34" s="4067"/>
      <c r="P34" s="4067"/>
      <c r="Q34" s="4067"/>
      <c r="R34" s="4067"/>
      <c r="S34" s="4067"/>
      <c r="T34" s="4067"/>
      <c r="U34" s="4068"/>
      <c r="V34" s="170"/>
    </row>
    <row r="35" spans="1:28" ht="67.5" customHeight="1" x14ac:dyDescent="0.25">
      <c r="A35" s="818">
        <v>8</v>
      </c>
      <c r="B35" s="818" t="s">
        <v>34</v>
      </c>
      <c r="C35" s="818"/>
      <c r="D35" s="4066" t="s">
        <v>394</v>
      </c>
      <c r="E35" s="4067"/>
      <c r="F35" s="4067"/>
      <c r="G35" s="4067"/>
      <c r="H35" s="4067"/>
      <c r="I35" s="4067"/>
      <c r="J35" s="4067"/>
      <c r="K35" s="4067"/>
      <c r="L35" s="4067"/>
      <c r="M35" s="4067"/>
      <c r="N35" s="4067"/>
      <c r="O35" s="4067"/>
      <c r="P35" s="4067"/>
      <c r="Q35" s="4067"/>
      <c r="R35" s="4067"/>
      <c r="S35" s="4067"/>
      <c r="T35" s="4067"/>
      <c r="U35" s="4068"/>
      <c r="V35" s="170"/>
      <c r="AB35" s="145"/>
    </row>
    <row r="36" spans="1:28" ht="13.15" customHeight="1" x14ac:dyDescent="0.25">
      <c r="A36" s="782">
        <v>9</v>
      </c>
      <c r="B36" s="782" t="s">
        <v>31</v>
      </c>
      <c r="C36" s="782"/>
      <c r="D36" s="4048" t="s">
        <v>395</v>
      </c>
      <c r="E36" s="4049"/>
      <c r="F36" s="4049"/>
      <c r="G36" s="4049"/>
      <c r="H36" s="4049"/>
      <c r="I36" s="4049"/>
      <c r="J36" s="4049"/>
      <c r="K36" s="4049"/>
      <c r="L36" s="4049"/>
      <c r="M36" s="4049"/>
      <c r="N36" s="4049"/>
      <c r="O36" s="4049"/>
      <c r="P36" s="4049"/>
      <c r="Q36" s="4049"/>
      <c r="R36" s="4049"/>
      <c r="S36" s="4049"/>
      <c r="T36" s="4049"/>
      <c r="U36" s="4050"/>
      <c r="V36" s="142"/>
    </row>
    <row r="37" spans="1:28" x14ac:dyDescent="0.25">
      <c r="D37" s="819"/>
      <c r="L37" s="816"/>
      <c r="M37" s="139"/>
      <c r="N37" s="816"/>
      <c r="O37" s="53"/>
      <c r="P37" s="786"/>
    </row>
    <row r="38" spans="1:28" x14ac:dyDescent="0.25">
      <c r="L38" s="816"/>
      <c r="M38" s="139"/>
      <c r="N38" s="816"/>
      <c r="O38" s="53"/>
      <c r="P38" s="786"/>
    </row>
    <row r="39" spans="1:28" x14ac:dyDescent="0.25">
      <c r="D39" s="115"/>
      <c r="E39" s="120"/>
      <c r="F39" s="120"/>
      <c r="G39" s="120"/>
      <c r="H39" s="788"/>
      <c r="I39" s="120"/>
      <c r="J39" s="788"/>
      <c r="K39" s="115"/>
      <c r="L39" s="816"/>
      <c r="M39" s="139"/>
      <c r="N39" s="816"/>
      <c r="O39" s="53"/>
      <c r="P39" s="786"/>
    </row>
    <row r="40" spans="1:28" x14ac:dyDescent="0.25">
      <c r="L40" s="786"/>
      <c r="M40" s="53"/>
      <c r="N40" s="786"/>
      <c r="O40" s="53"/>
      <c r="P40" s="786"/>
    </row>
    <row r="41" spans="1:28" x14ac:dyDescent="0.25">
      <c r="L41" s="816"/>
      <c r="M41" s="53"/>
      <c r="N41" s="816"/>
    </row>
    <row r="43" spans="1:28" x14ac:dyDescent="0.25">
      <c r="B43" s="3869"/>
      <c r="C43" s="3775"/>
      <c r="D43" s="3776"/>
      <c r="E43" s="3776"/>
      <c r="F43" s="3776"/>
      <c r="G43" s="3776"/>
      <c r="H43" s="3776"/>
      <c r="I43" s="3776"/>
      <c r="J43" s="3776"/>
      <c r="K43" s="3776"/>
      <c r="L43" s="3776"/>
      <c r="M43" s="3776"/>
      <c r="N43" s="3776"/>
      <c r="O43" s="3776"/>
      <c r="P43" s="3776"/>
      <c r="Q43" s="3776"/>
      <c r="R43" s="3776"/>
      <c r="S43" s="3776"/>
      <c r="T43" s="3776"/>
      <c r="U43" s="3776"/>
      <c r="V43" s="3776"/>
      <c r="W43" s="3776"/>
    </row>
    <row r="44" spans="1:28" x14ac:dyDescent="0.25">
      <c r="B44" s="3869"/>
      <c r="C44" s="3775"/>
      <c r="D44" s="3776"/>
      <c r="E44" s="3776"/>
      <c r="F44" s="3776"/>
      <c r="G44" s="3776"/>
      <c r="H44" s="3776"/>
      <c r="I44" s="3776"/>
      <c r="J44" s="3776"/>
      <c r="K44" s="3776"/>
      <c r="L44" s="3776"/>
      <c r="M44" s="3776"/>
      <c r="N44" s="3776"/>
      <c r="O44" s="3776"/>
      <c r="P44" s="3776"/>
      <c r="Q44" s="3776"/>
      <c r="R44" s="3776"/>
      <c r="S44" s="3776"/>
      <c r="T44" s="3776"/>
      <c r="U44" s="3776"/>
      <c r="V44" s="3776"/>
      <c r="W44" s="3776"/>
    </row>
    <row r="45" spans="1:28" x14ac:dyDescent="0.25">
      <c r="B45" s="3869"/>
      <c r="C45" s="3775"/>
      <c r="D45" s="3776"/>
      <c r="E45" s="3776"/>
      <c r="F45" s="3776"/>
      <c r="G45" s="3776"/>
      <c r="H45" s="3776"/>
      <c r="I45" s="3776"/>
      <c r="J45" s="3776"/>
      <c r="K45" s="3776"/>
      <c r="L45" s="3776"/>
      <c r="M45" s="3776"/>
      <c r="N45" s="3776"/>
      <c r="O45" s="3776"/>
      <c r="P45" s="3776"/>
      <c r="Q45" s="3776"/>
      <c r="R45" s="3776"/>
      <c r="S45" s="3776"/>
      <c r="T45" s="3776"/>
      <c r="U45" s="3776"/>
      <c r="V45" s="3776"/>
      <c r="W45" s="3776"/>
    </row>
    <row r="46" spans="1:28" x14ac:dyDescent="0.25">
      <c r="B46" s="3869"/>
      <c r="C46" s="3775"/>
      <c r="D46" s="3920" t="s">
        <v>112</v>
      </c>
      <c r="E46" s="3920" t="s">
        <v>396</v>
      </c>
      <c r="F46" s="3920"/>
      <c r="G46" s="3920"/>
      <c r="H46" s="3920"/>
      <c r="I46" s="3921"/>
      <c r="J46" s="3920"/>
      <c r="K46" s="3921"/>
      <c r="L46" s="3921"/>
      <c r="M46" s="3922"/>
      <c r="N46" s="3922"/>
      <c r="O46" s="3922"/>
      <c r="P46" s="3922"/>
      <c r="Q46" s="3922"/>
      <c r="R46" s="3776"/>
      <c r="S46" s="3776"/>
      <c r="T46" s="3776"/>
      <c r="U46" s="3776"/>
      <c r="V46" s="3776"/>
      <c r="W46" s="3776"/>
    </row>
    <row r="47" spans="1:28" x14ac:dyDescent="0.25">
      <c r="B47" s="3869"/>
      <c r="C47" s="3775"/>
      <c r="D47" s="3870"/>
      <c r="E47" s="3923" t="s">
        <v>48</v>
      </c>
      <c r="F47" s="3923" t="s">
        <v>49</v>
      </c>
      <c r="G47" s="3923" t="s">
        <v>50</v>
      </c>
      <c r="H47" s="3923" t="s">
        <v>51</v>
      </c>
      <c r="I47" s="3923" t="s">
        <v>52</v>
      </c>
      <c r="J47" s="3923" t="s">
        <v>53</v>
      </c>
      <c r="K47" s="3923" t="s">
        <v>54</v>
      </c>
      <c r="L47" s="3923" t="s">
        <v>55</v>
      </c>
      <c r="M47" s="3923" t="s">
        <v>56</v>
      </c>
      <c r="N47" s="3923" t="s">
        <v>57</v>
      </c>
      <c r="O47" s="3923" t="s">
        <v>58</v>
      </c>
      <c r="P47" s="3923" t="s">
        <v>59</v>
      </c>
      <c r="Q47" s="3923" t="s">
        <v>60</v>
      </c>
      <c r="R47" s="3923">
        <v>2013</v>
      </c>
      <c r="S47" s="3923" t="s">
        <v>62</v>
      </c>
      <c r="T47" s="3924" t="s">
        <v>63</v>
      </c>
      <c r="U47" s="3923" t="s">
        <v>64</v>
      </c>
      <c r="V47" s="3776"/>
      <c r="W47" s="3776"/>
    </row>
    <row r="48" spans="1:28" ht="23.25" x14ac:dyDescent="0.25">
      <c r="B48" s="3869"/>
      <c r="C48" s="3775"/>
      <c r="D48" s="3925" t="s">
        <v>397</v>
      </c>
      <c r="E48" s="3926">
        <v>0.127</v>
      </c>
      <c r="F48" s="3926">
        <v>0.251</v>
      </c>
      <c r="G48" s="3926">
        <f>+(10+3.4+5)%</f>
        <v>0.184</v>
      </c>
      <c r="H48" s="3926">
        <f>+(14.9+4+4.9)%</f>
        <v>0.23799999999999996</v>
      </c>
      <c r="I48" s="3926">
        <f>+(11.8+3.7+5.6)%</f>
        <v>0.21100000000000002</v>
      </c>
      <c r="J48" s="3926">
        <f>+(17.9+3.7+5.6)%</f>
        <v>0.27199999999999996</v>
      </c>
      <c r="K48" s="3926">
        <f>(11.3+4.7+6.2)%</f>
        <v>0.222</v>
      </c>
      <c r="L48" s="3926">
        <f>+(18.8+3.9+6.1)%</f>
        <v>0.28799999999999998</v>
      </c>
      <c r="M48" s="3926">
        <f>+(13.6+4.7+5.9)%</f>
        <v>0.24200000000000002</v>
      </c>
      <c r="N48" s="3926">
        <f>+(20.3+5+6.9)%</f>
        <v>0.32200000000000001</v>
      </c>
      <c r="O48" s="3927">
        <f>(12.7+4.6+6.8)%</f>
        <v>0.24099999999999999</v>
      </c>
      <c r="P48" s="3927">
        <f>+(18.5+4.8+7.5)%</f>
        <v>0.308</v>
      </c>
      <c r="Q48" s="3926">
        <f>(12.3+4.6+7.3)%</f>
        <v>0.24199999999999999</v>
      </c>
      <c r="R48" s="3926">
        <f>+(19.8+5.1+8.4)%</f>
        <v>0.33299999999999996</v>
      </c>
      <c r="S48" s="3928">
        <v>0.26700000000000002</v>
      </c>
      <c r="T48" s="3928">
        <v>0.27600000000000002</v>
      </c>
      <c r="U48" s="3928">
        <v>0.28100000000000003</v>
      </c>
      <c r="V48" s="3776"/>
      <c r="W48" s="3776"/>
    </row>
    <row r="49" spans="2:29" ht="23.25" x14ac:dyDescent="0.25">
      <c r="B49" s="3869"/>
      <c r="C49" s="3775"/>
      <c r="D49" s="3929" t="s">
        <v>398</v>
      </c>
      <c r="E49" s="3930">
        <v>0.185</v>
      </c>
      <c r="F49" s="3930">
        <v>0.191</v>
      </c>
      <c r="G49" s="3930">
        <f>(10.8+5.7+6.3)%</f>
        <v>0.22800000000000001</v>
      </c>
      <c r="H49" s="3930">
        <f>+(14.2+6.3+6.8)%</f>
        <v>0.27300000000000002</v>
      </c>
      <c r="I49" s="3930">
        <f>+(13.1+5.4+7.2)%</f>
        <v>0.25700000000000001</v>
      </c>
      <c r="J49" s="3930">
        <f>+(14.5+6+7)%</f>
        <v>0.27500000000000002</v>
      </c>
      <c r="K49" s="3930">
        <f>+(13.4+5.8+7.7)%</f>
        <v>0.26899999999999996</v>
      </c>
      <c r="L49" s="3930">
        <f>+(18.1+6.1+8.2)%</f>
        <v>0.32400000000000007</v>
      </c>
      <c r="M49" s="3930">
        <f>+(17.3+6.9+8.3)%</f>
        <v>0.32500000000000001</v>
      </c>
      <c r="N49" s="3930">
        <f>+(20+6.4+9.1)%</f>
        <v>0.35499999999999998</v>
      </c>
      <c r="O49" s="3931">
        <f>+(12.7+4.6+6.8)%</f>
        <v>0.24099999999999999</v>
      </c>
      <c r="P49" s="3931">
        <f>+(12.8+7+9.6)%</f>
        <v>0.29399999999999998</v>
      </c>
      <c r="Q49" s="3932">
        <f>+(18.4+7.1+9.5)%</f>
        <v>0.35</v>
      </c>
      <c r="R49" s="3932">
        <f>(23+7+10.1)%</f>
        <v>0.40100000000000002</v>
      </c>
      <c r="S49" s="3933">
        <v>0.376</v>
      </c>
      <c r="T49" s="3933">
        <v>0.38800000000000001</v>
      </c>
      <c r="U49" s="3933">
        <v>0.40400000000000003</v>
      </c>
      <c r="V49" s="3776"/>
      <c r="W49" s="3776"/>
    </row>
    <row r="50" spans="2:29" x14ac:dyDescent="0.25">
      <c r="B50" s="3869"/>
      <c r="C50" s="3775"/>
      <c r="D50" s="3925"/>
      <c r="E50" s="3926"/>
      <c r="F50" s="3926"/>
      <c r="G50" s="3926"/>
      <c r="H50" s="3926"/>
      <c r="I50" s="3926"/>
      <c r="J50" s="3926"/>
      <c r="K50" s="3926"/>
      <c r="L50" s="3926"/>
      <c r="M50" s="3926"/>
      <c r="N50" s="3926"/>
      <c r="O50" s="3927"/>
      <c r="P50" s="3927"/>
      <c r="Q50" s="3927"/>
      <c r="R50" s="3776"/>
      <c r="S50" s="3776"/>
      <c r="T50" s="3776"/>
      <c r="U50" s="3776"/>
      <c r="V50" s="3776"/>
      <c r="W50" s="3776"/>
    </row>
    <row r="51" spans="2:29" x14ac:dyDescent="0.25">
      <c r="B51" s="3869"/>
      <c r="C51" s="3775"/>
      <c r="D51" s="3934" t="s">
        <v>6</v>
      </c>
      <c r="E51" s="3935" t="s">
        <v>390</v>
      </c>
      <c r="F51" s="3926"/>
      <c r="G51" s="3926"/>
      <c r="H51" s="3926"/>
      <c r="I51" s="3926"/>
      <c r="J51" s="3926"/>
      <c r="K51" s="3926"/>
      <c r="L51" s="3926"/>
      <c r="M51" s="3926"/>
      <c r="N51" s="3926"/>
      <c r="O51" s="3927"/>
      <c r="P51" s="3927"/>
      <c r="Q51" s="3927"/>
      <c r="R51" s="3776"/>
      <c r="S51" s="3776"/>
      <c r="T51" s="3776"/>
      <c r="U51" s="3776"/>
      <c r="V51" s="3776"/>
      <c r="W51" s="3776"/>
    </row>
    <row r="52" spans="2:29" x14ac:dyDescent="0.25">
      <c r="B52" s="3869"/>
      <c r="C52" s="3775"/>
      <c r="D52" s="3936"/>
      <c r="E52" s="3923" t="s">
        <v>48</v>
      </c>
      <c r="F52" s="3923" t="s">
        <v>49</v>
      </c>
      <c r="G52" s="3923" t="s">
        <v>50</v>
      </c>
      <c r="H52" s="3923" t="s">
        <v>51</v>
      </c>
      <c r="I52" s="3923" t="s">
        <v>52</v>
      </c>
      <c r="J52" s="3923" t="s">
        <v>53</v>
      </c>
      <c r="K52" s="3923" t="s">
        <v>54</v>
      </c>
      <c r="L52" s="3923" t="s">
        <v>55</v>
      </c>
      <c r="M52" s="3923" t="s">
        <v>56</v>
      </c>
      <c r="N52" s="3923" t="s">
        <v>57</v>
      </c>
      <c r="O52" s="3937" t="s">
        <v>58</v>
      </c>
      <c r="P52" s="3937" t="s">
        <v>59</v>
      </c>
      <c r="Q52" s="3937" t="s">
        <v>60</v>
      </c>
      <c r="R52" s="3937">
        <v>2013</v>
      </c>
      <c r="S52" s="3923" t="s">
        <v>62</v>
      </c>
      <c r="T52" s="3923" t="s">
        <v>63</v>
      </c>
      <c r="U52" s="3923" t="s">
        <v>64</v>
      </c>
      <c r="V52" s="3776"/>
      <c r="W52" s="3776"/>
    </row>
    <row r="53" spans="2:29" ht="23.25" x14ac:dyDescent="0.25">
      <c r="B53" s="3869"/>
      <c r="C53" s="3775"/>
      <c r="D53" s="3925" t="s">
        <v>399</v>
      </c>
      <c r="E53" s="3926">
        <v>0.124</v>
      </c>
      <c r="F53" s="3926">
        <v>0.11899999999999999</v>
      </c>
      <c r="G53" s="3926">
        <v>0.13700000000000001</v>
      </c>
      <c r="H53" s="3926">
        <v>0.14000000000000001</v>
      </c>
      <c r="I53" s="3926">
        <v>0.151</v>
      </c>
      <c r="J53" s="3926">
        <v>0.17</v>
      </c>
      <c r="K53" s="3926">
        <v>0.216</v>
      </c>
      <c r="L53" s="3926">
        <v>0.20599999999999999</v>
      </c>
      <c r="M53" s="3926">
        <v>0.182</v>
      </c>
      <c r="N53" s="3926">
        <v>0.184</v>
      </c>
      <c r="O53" s="3926">
        <v>0.19</v>
      </c>
      <c r="P53" s="3927">
        <v>0.19</v>
      </c>
      <c r="Q53" s="3926">
        <v>0.19800000000000001</v>
      </c>
      <c r="R53" s="3926">
        <v>0.20599999999999999</v>
      </c>
      <c r="S53" s="3928">
        <v>0.20899999999999999</v>
      </c>
      <c r="T53" s="3928">
        <v>0.214</v>
      </c>
      <c r="U53" s="3928">
        <v>0.22</v>
      </c>
      <c r="V53" s="3776"/>
      <c r="W53" s="3776"/>
    </row>
    <row r="54" spans="2:29" ht="23.25" x14ac:dyDescent="0.25">
      <c r="B54" s="3869"/>
      <c r="C54" s="3775"/>
      <c r="D54" s="3929" t="s">
        <v>400</v>
      </c>
      <c r="E54" s="3930">
        <v>0.21</v>
      </c>
      <c r="F54" s="3930">
        <v>0.17699999999999999</v>
      </c>
      <c r="G54" s="3930">
        <v>0.216</v>
      </c>
      <c r="H54" s="3930">
        <v>0.223</v>
      </c>
      <c r="I54" s="3930">
        <v>0.23699999999999999</v>
      </c>
      <c r="J54" s="3930">
        <v>0.23699999999999999</v>
      </c>
      <c r="K54" s="3930">
        <v>0.27400000000000002</v>
      </c>
      <c r="L54" s="3930">
        <v>0.253</v>
      </c>
      <c r="M54" s="3930">
        <v>0.28299999999999997</v>
      </c>
      <c r="N54" s="3930">
        <v>0.27200000000000002</v>
      </c>
      <c r="O54" s="3930">
        <v>0.19</v>
      </c>
      <c r="P54" s="3931">
        <v>0.28199999999999997</v>
      </c>
      <c r="Q54" s="3930">
        <v>0.307</v>
      </c>
      <c r="R54" s="3930">
        <v>0.29899999999999999</v>
      </c>
      <c r="S54" s="3938">
        <v>0.32100000000000001</v>
      </c>
      <c r="T54" s="3938">
        <v>0.32400000000000001</v>
      </c>
      <c r="U54" s="3938">
        <v>0.33329999999999999</v>
      </c>
      <c r="V54" s="3776"/>
      <c r="W54" s="3776"/>
    </row>
    <row r="55" spans="2:29" x14ac:dyDescent="0.25">
      <c r="B55" s="3869"/>
      <c r="C55" s="3775"/>
      <c r="D55" s="3776"/>
      <c r="E55" s="3776"/>
      <c r="F55" s="3776"/>
      <c r="G55" s="3776"/>
      <c r="H55" s="3776"/>
      <c r="I55" s="3776"/>
      <c r="J55" s="3776"/>
      <c r="K55" s="3776"/>
      <c r="L55" s="3776"/>
      <c r="M55" s="3776"/>
      <c r="N55" s="3776"/>
      <c r="O55" s="3776"/>
      <c r="P55" s="3776"/>
      <c r="Q55" s="3776"/>
      <c r="R55" s="3776"/>
      <c r="S55" s="3776"/>
      <c r="T55" s="3776"/>
      <c r="U55" s="3776"/>
      <c r="V55" s="3776"/>
      <c r="W55" s="3776"/>
    </row>
    <row r="56" spans="2:29" x14ac:dyDescent="0.25">
      <c r="B56" s="3869"/>
      <c r="C56" s="3775"/>
      <c r="D56" s="3776"/>
      <c r="E56" s="3776"/>
      <c r="F56" s="3776"/>
      <c r="G56" s="3776"/>
      <c r="H56" s="3776"/>
      <c r="I56" s="3776"/>
      <c r="J56" s="3776"/>
      <c r="K56" s="3776"/>
      <c r="L56" s="3776"/>
      <c r="M56" s="3776"/>
      <c r="N56" s="3776"/>
      <c r="O56" s="3776"/>
      <c r="P56" s="3776"/>
      <c r="Q56" s="3776"/>
      <c r="R56" s="3776"/>
      <c r="S56" s="3776"/>
      <c r="T56" s="3776"/>
      <c r="U56" s="3776"/>
      <c r="V56" s="3776"/>
      <c r="W56" s="3776"/>
    </row>
    <row r="57" spans="2:29" x14ac:dyDescent="0.25">
      <c r="B57" s="3869"/>
      <c r="C57" s="3775"/>
      <c r="D57" s="3776"/>
      <c r="E57" s="3776"/>
      <c r="F57" s="3776"/>
      <c r="G57" s="3776"/>
      <c r="H57" s="3776"/>
      <c r="I57" s="3776"/>
      <c r="J57" s="3776"/>
      <c r="K57" s="3776"/>
      <c r="L57" s="3776"/>
      <c r="M57" s="3776"/>
      <c r="N57" s="3776"/>
      <c r="O57" s="3776"/>
      <c r="P57" s="3776"/>
      <c r="Q57" s="3776"/>
      <c r="R57" s="3776"/>
      <c r="S57" s="3776"/>
      <c r="T57" s="3776"/>
      <c r="U57" s="3776"/>
      <c r="V57" s="3776"/>
      <c r="W57" s="3776"/>
    </row>
    <row r="58" spans="2:29" x14ac:dyDescent="0.25">
      <c r="B58" s="3869"/>
      <c r="C58" s="3775"/>
      <c r="D58" s="3776"/>
      <c r="E58" s="3776"/>
      <c r="F58" s="3776"/>
      <c r="G58" s="3776"/>
      <c r="H58" s="3776"/>
      <c r="I58" s="3776"/>
      <c r="J58" s="3776"/>
      <c r="K58" s="3776"/>
      <c r="L58" s="3776"/>
      <c r="M58" s="3776"/>
      <c r="N58" s="3776"/>
      <c r="O58" s="3776"/>
      <c r="P58" s="3776"/>
      <c r="Q58" s="3776"/>
      <c r="R58" s="3776"/>
      <c r="S58" s="3776"/>
      <c r="T58" s="3776"/>
      <c r="U58" s="3776"/>
      <c r="V58" s="3776"/>
      <c r="W58" s="3776"/>
    </row>
    <row r="59" spans="2:29" x14ac:dyDescent="0.25">
      <c r="B59" s="3869"/>
      <c r="C59" s="3775"/>
      <c r="D59" s="3776"/>
      <c r="E59" s="3776"/>
      <c r="F59" s="3776"/>
      <c r="G59" s="3776"/>
      <c r="H59" s="3776"/>
      <c r="I59" s="3776"/>
      <c r="J59" s="3776"/>
      <c r="K59" s="3776"/>
      <c r="L59" s="3776"/>
      <c r="M59" s="3776"/>
      <c r="N59" s="3776"/>
      <c r="O59" s="3776"/>
      <c r="P59" s="3776"/>
      <c r="Q59" s="3776"/>
      <c r="R59" s="3776"/>
      <c r="S59" s="3776"/>
      <c r="T59" s="3776"/>
      <c r="U59" s="3776"/>
      <c r="V59" s="3776"/>
      <c r="W59" s="3776"/>
    </row>
    <row r="61" spans="2:29" x14ac:dyDescent="0.25">
      <c r="AC61" s="44" t="s">
        <v>97</v>
      </c>
    </row>
  </sheetData>
  <mergeCells count="9">
    <mergeCell ref="D33:U33"/>
    <mergeCell ref="D34:U34"/>
    <mergeCell ref="D35:U35"/>
    <mergeCell ref="D36:U36"/>
    <mergeCell ref="D2:U2"/>
    <mergeCell ref="D3:U3"/>
    <mergeCell ref="D4:U4"/>
    <mergeCell ref="D5:U5"/>
    <mergeCell ref="V5:AB5"/>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97"/>
  <sheetViews>
    <sheetView showGridLines="0" view="pageBreakPreview" zoomScaleNormal="100" zoomScaleSheetLayoutView="100" workbookViewId="0">
      <selection activeCell="M40" sqref="M40"/>
    </sheetView>
  </sheetViews>
  <sheetFormatPr defaultColWidth="9.140625" defaultRowHeight="15" x14ac:dyDescent="0.2"/>
  <cols>
    <col min="1" max="1" width="3.7109375" style="1351" customWidth="1"/>
    <col min="2" max="2" width="14.42578125" style="1566" customWidth="1"/>
    <col min="3" max="3" width="3.7109375" style="1566" customWidth="1"/>
    <col min="4" max="4" width="9.140625" style="1515"/>
    <col min="5" max="26" width="9.140625" style="1513"/>
    <col min="27" max="16384" width="9.140625" style="1514"/>
  </cols>
  <sheetData>
    <row r="1" spans="1:34" x14ac:dyDescent="0.2">
      <c r="A1" s="782"/>
      <c r="B1" s="783"/>
      <c r="C1" s="783"/>
      <c r="D1" s="1511"/>
      <c r="E1" s="1512"/>
      <c r="F1" s="1512"/>
      <c r="G1" s="1512"/>
      <c r="H1" s="1512"/>
      <c r="I1" s="1512"/>
      <c r="J1" s="1512"/>
      <c r="K1" s="1512"/>
      <c r="L1" s="1512"/>
      <c r="M1" s="1512"/>
      <c r="N1" s="1512"/>
      <c r="O1" s="1512"/>
      <c r="P1" s="1512"/>
    </row>
    <row r="2" spans="1:34" ht="12.75" customHeight="1" x14ac:dyDescent="0.2">
      <c r="A2" s="782">
        <v>1</v>
      </c>
      <c r="B2" s="782" t="s">
        <v>0</v>
      </c>
      <c r="C2" s="782">
        <v>20</v>
      </c>
      <c r="D2" s="4159" t="s">
        <v>646</v>
      </c>
      <c r="E2" s="4160"/>
      <c r="F2" s="4160"/>
      <c r="G2" s="4160"/>
      <c r="H2" s="4160"/>
      <c r="I2" s="4160"/>
      <c r="J2" s="4160"/>
      <c r="K2" s="4160"/>
      <c r="L2" s="4160"/>
      <c r="M2" s="4160"/>
      <c r="N2" s="4160"/>
      <c r="O2" s="4160"/>
      <c r="P2" s="4160"/>
      <c r="Q2" s="4160"/>
      <c r="R2" s="4160"/>
      <c r="S2" s="4160"/>
      <c r="T2" s="4160"/>
      <c r="U2" s="4160"/>
      <c r="V2" s="4160"/>
      <c r="W2" s="4160"/>
      <c r="X2" s="4160"/>
      <c r="Y2" s="4160"/>
      <c r="Z2" s="4160"/>
      <c r="AA2" s="4160"/>
      <c r="AB2" s="4160"/>
      <c r="AC2" s="4160"/>
      <c r="AD2" s="4160"/>
      <c r="AE2" s="4160"/>
      <c r="AF2" s="4160"/>
      <c r="AG2" s="4160"/>
      <c r="AH2" s="4161"/>
    </row>
    <row r="3" spans="1:34" ht="12.75" customHeight="1" x14ac:dyDescent="0.2">
      <c r="A3" s="782">
        <v>2</v>
      </c>
      <c r="B3" s="782" t="s">
        <v>2</v>
      </c>
      <c r="C3" s="782"/>
      <c r="D3" s="4159" t="s">
        <v>647</v>
      </c>
      <c r="E3" s="4160"/>
      <c r="F3" s="4160"/>
      <c r="G3" s="4160"/>
      <c r="H3" s="4160"/>
      <c r="I3" s="4160"/>
      <c r="J3" s="4160"/>
      <c r="K3" s="4160"/>
      <c r="L3" s="4160"/>
      <c r="M3" s="4160"/>
      <c r="N3" s="4160"/>
      <c r="O3" s="4160"/>
      <c r="P3" s="4160"/>
      <c r="Q3" s="4160"/>
      <c r="R3" s="4160"/>
      <c r="S3" s="4160"/>
      <c r="T3" s="4160"/>
      <c r="U3" s="4160"/>
      <c r="V3" s="4160"/>
      <c r="W3" s="4160"/>
      <c r="X3" s="4160"/>
      <c r="Y3" s="4160"/>
      <c r="Z3" s="4160"/>
      <c r="AA3" s="4160"/>
      <c r="AB3" s="4160"/>
      <c r="AC3" s="4160"/>
      <c r="AD3" s="4160"/>
      <c r="AE3" s="4160"/>
      <c r="AF3" s="4160"/>
      <c r="AG3" s="4160"/>
      <c r="AH3" s="4161"/>
    </row>
    <row r="4" spans="1:34" ht="12.75" customHeight="1" x14ac:dyDescent="0.2">
      <c r="A4" s="782">
        <v>3</v>
      </c>
      <c r="B4" s="782" t="s">
        <v>4</v>
      </c>
      <c r="C4" s="782"/>
      <c r="D4" s="4159" t="s">
        <v>648</v>
      </c>
      <c r="E4" s="4160"/>
      <c r="F4" s="4160"/>
      <c r="G4" s="4160"/>
      <c r="H4" s="4160"/>
      <c r="I4" s="4160"/>
      <c r="J4" s="4160"/>
      <c r="K4" s="4160"/>
      <c r="L4" s="4160"/>
      <c r="M4" s="4160"/>
      <c r="N4" s="4160"/>
      <c r="O4" s="4160"/>
      <c r="P4" s="4160"/>
      <c r="Q4" s="4160"/>
      <c r="R4" s="4160"/>
      <c r="S4" s="4160"/>
      <c r="T4" s="4160"/>
      <c r="U4" s="4160"/>
      <c r="V4" s="4160"/>
      <c r="W4" s="4160"/>
      <c r="X4" s="4160"/>
      <c r="Y4" s="4160"/>
      <c r="Z4" s="4160"/>
      <c r="AA4" s="4160"/>
      <c r="AB4" s="4160"/>
      <c r="AC4" s="4160"/>
      <c r="AD4" s="4160"/>
      <c r="AE4" s="4160"/>
      <c r="AF4" s="4160"/>
      <c r="AG4" s="4160"/>
      <c r="AH4" s="4161"/>
    </row>
    <row r="5" spans="1:34" ht="12.75" x14ac:dyDescent="0.2">
      <c r="A5" s="782"/>
      <c r="B5" s="902"/>
      <c r="C5" s="902"/>
    </row>
    <row r="6" spans="1:34" x14ac:dyDescent="0.2">
      <c r="A6" s="782">
        <v>4</v>
      </c>
      <c r="B6" s="1516" t="s">
        <v>5</v>
      </c>
      <c r="C6" s="899"/>
      <c r="D6" s="1517" t="s">
        <v>40</v>
      </c>
      <c r="E6" s="1517" t="s">
        <v>649</v>
      </c>
      <c r="F6" s="1518"/>
      <c r="G6" s="1519"/>
      <c r="H6" s="1518"/>
      <c r="I6" s="1520"/>
      <c r="J6" s="1518"/>
      <c r="K6" s="1519"/>
      <c r="L6" s="1518"/>
      <c r="M6" s="1519"/>
      <c r="N6" s="1518"/>
      <c r="O6" s="1520"/>
      <c r="P6" s="1518"/>
      <c r="Q6" s="1521"/>
      <c r="R6" s="1521"/>
      <c r="S6" s="1522"/>
      <c r="T6" s="1522"/>
      <c r="U6" s="1522"/>
      <c r="V6" s="1522"/>
      <c r="W6" s="1522"/>
      <c r="X6" s="1522"/>
    </row>
    <row r="7" spans="1:34" x14ac:dyDescent="0.2">
      <c r="A7" s="782"/>
      <c r="B7" s="899"/>
      <c r="C7" s="899"/>
      <c r="D7" s="1523"/>
      <c r="E7" s="4162" t="s">
        <v>137</v>
      </c>
      <c r="F7" s="4163"/>
      <c r="G7" s="4162" t="s">
        <v>138</v>
      </c>
      <c r="H7" s="4162"/>
      <c r="I7" s="4162" t="s">
        <v>139</v>
      </c>
      <c r="J7" s="4162"/>
      <c r="K7" s="4162" t="s">
        <v>140</v>
      </c>
      <c r="L7" s="4162"/>
      <c r="M7" s="4162" t="s">
        <v>141</v>
      </c>
      <c r="N7" s="4162"/>
      <c r="O7" s="4162" t="s">
        <v>142</v>
      </c>
      <c r="P7" s="4162"/>
      <c r="Q7" s="4162" t="s">
        <v>143</v>
      </c>
      <c r="R7" s="4162"/>
      <c r="S7" s="4162" t="s">
        <v>144</v>
      </c>
      <c r="T7" s="4162"/>
      <c r="U7" s="4164">
        <v>2009</v>
      </c>
      <c r="V7" s="4164"/>
      <c r="W7" s="4164" t="s">
        <v>58</v>
      </c>
      <c r="X7" s="4164"/>
      <c r="Y7" s="4164" t="s">
        <v>59</v>
      </c>
      <c r="Z7" s="4164"/>
      <c r="AA7" s="4164" t="s">
        <v>60</v>
      </c>
      <c r="AB7" s="4164"/>
      <c r="AC7" s="4164" t="s">
        <v>61</v>
      </c>
      <c r="AD7" s="4164"/>
      <c r="AE7" s="4164" t="s">
        <v>62</v>
      </c>
      <c r="AF7" s="4164"/>
      <c r="AG7" s="4164" t="s">
        <v>63</v>
      </c>
      <c r="AH7" s="4165"/>
    </row>
    <row r="8" spans="1:34" s="1530" customFormat="1" ht="56.25" x14ac:dyDescent="0.2">
      <c r="A8" s="1524"/>
      <c r="B8" s="1525"/>
      <c r="C8" s="1525"/>
      <c r="D8" s="1526"/>
      <c r="E8" s="1527" t="s">
        <v>650</v>
      </c>
      <c r="F8" s="1528" t="s">
        <v>651</v>
      </c>
      <c r="G8" s="1527" t="s">
        <v>650</v>
      </c>
      <c r="H8" s="1528" t="s">
        <v>651</v>
      </c>
      <c r="I8" s="1527" t="s">
        <v>650</v>
      </c>
      <c r="J8" s="1528" t="s">
        <v>651</v>
      </c>
      <c r="K8" s="1527" t="s">
        <v>650</v>
      </c>
      <c r="L8" s="1528" t="s">
        <v>651</v>
      </c>
      <c r="M8" s="1527" t="s">
        <v>650</v>
      </c>
      <c r="N8" s="1528" t="s">
        <v>651</v>
      </c>
      <c r="O8" s="1527" t="s">
        <v>650</v>
      </c>
      <c r="P8" s="1528" t="s">
        <v>651</v>
      </c>
      <c r="Q8" s="1527" t="s">
        <v>650</v>
      </c>
      <c r="R8" s="1528" t="s">
        <v>651</v>
      </c>
      <c r="S8" s="1527" t="s">
        <v>650</v>
      </c>
      <c r="T8" s="1528" t="s">
        <v>651</v>
      </c>
      <c r="U8" s="1527" t="s">
        <v>650</v>
      </c>
      <c r="V8" s="1528" t="s">
        <v>651</v>
      </c>
      <c r="W8" s="1527" t="s">
        <v>650</v>
      </c>
      <c r="X8" s="1528" t="s">
        <v>652</v>
      </c>
      <c r="Y8" s="1527" t="s">
        <v>650</v>
      </c>
      <c r="Z8" s="1528" t="s">
        <v>652</v>
      </c>
      <c r="AA8" s="1527" t="s">
        <v>650</v>
      </c>
      <c r="AB8" s="1528" t="s">
        <v>652</v>
      </c>
      <c r="AC8" s="1527" t="s">
        <v>650</v>
      </c>
      <c r="AD8" s="1528" t="s">
        <v>652</v>
      </c>
      <c r="AE8" s="1527" t="s">
        <v>650</v>
      </c>
      <c r="AF8" s="1528" t="s">
        <v>652</v>
      </c>
      <c r="AG8" s="1527" t="s">
        <v>650</v>
      </c>
      <c r="AH8" s="1529" t="s">
        <v>652</v>
      </c>
    </row>
    <row r="9" spans="1:34" x14ac:dyDescent="0.2">
      <c r="A9" s="1524"/>
      <c r="B9" s="1525"/>
      <c r="C9" s="1525"/>
      <c r="D9" s="1531" t="s">
        <v>653</v>
      </c>
      <c r="E9" s="1532">
        <v>3456</v>
      </c>
      <c r="F9" s="1533">
        <v>742</v>
      </c>
      <c r="G9" s="1532">
        <v>3003</v>
      </c>
      <c r="H9" s="1533">
        <v>804</v>
      </c>
      <c r="I9" s="1532">
        <v>3059</v>
      </c>
      <c r="J9" s="1533">
        <v>860</v>
      </c>
      <c r="K9" s="1532">
        <v>2764</v>
      </c>
      <c r="L9" s="1533">
        <v>878</v>
      </c>
      <c r="M9" s="1532">
        <v>2317</v>
      </c>
      <c r="N9" s="1533">
        <v>911</v>
      </c>
      <c r="O9" s="1532">
        <v>1895</v>
      </c>
      <c r="P9" s="1533">
        <v>999</v>
      </c>
      <c r="Q9" s="1532">
        <v>1493</v>
      </c>
      <c r="R9" s="1533">
        <v>1058.01</v>
      </c>
      <c r="S9" s="1532">
        <v>1062</v>
      </c>
      <c r="T9" s="1533">
        <v>1080.45</v>
      </c>
      <c r="U9" s="1532">
        <v>1031</v>
      </c>
      <c r="V9" s="1533">
        <v>1386</v>
      </c>
      <c r="W9" s="1532">
        <v>808</v>
      </c>
      <c r="X9" s="1533">
        <v>1448</v>
      </c>
      <c r="Y9" s="1532">
        <v>661</v>
      </c>
      <c r="Z9" s="1533">
        <v>1369</v>
      </c>
      <c r="AA9" s="1532">
        <v>575</v>
      </c>
      <c r="AB9" s="1533">
        <v>1641</v>
      </c>
      <c r="AC9" s="1532">
        <v>526</v>
      </c>
      <c r="AD9" s="1533">
        <v>1480</v>
      </c>
      <c r="AE9" s="1532">
        <v>591</v>
      </c>
      <c r="AF9" s="1533">
        <v>2168</v>
      </c>
      <c r="AG9" s="1532">
        <v>424</v>
      </c>
      <c r="AH9" s="1534">
        <v>2225</v>
      </c>
    </row>
    <row r="10" spans="1:34" x14ac:dyDescent="0.2">
      <c r="A10" s="1524"/>
      <c r="B10" s="1525"/>
      <c r="C10" s="1525"/>
      <c r="D10" s="1531" t="s">
        <v>654</v>
      </c>
      <c r="E10" s="1532">
        <v>3950</v>
      </c>
      <c r="F10" s="1533">
        <v>883</v>
      </c>
      <c r="G10" s="1532">
        <v>4221</v>
      </c>
      <c r="H10" s="1533">
        <v>963</v>
      </c>
      <c r="I10" s="1532">
        <v>3935</v>
      </c>
      <c r="J10" s="1533">
        <v>1129</v>
      </c>
      <c r="K10" s="1532">
        <v>3848</v>
      </c>
      <c r="L10" s="1533">
        <v>1076</v>
      </c>
      <c r="M10" s="1532">
        <v>3745</v>
      </c>
      <c r="N10" s="1533">
        <v>1103</v>
      </c>
      <c r="O10" s="1532">
        <v>3784</v>
      </c>
      <c r="P10" s="1533">
        <v>1214</v>
      </c>
      <c r="Q10" s="1532">
        <v>3407</v>
      </c>
      <c r="R10" s="1533">
        <v>1261.1500000000001</v>
      </c>
      <c r="S10" s="1532">
        <v>2732</v>
      </c>
      <c r="T10" s="1533">
        <v>1401.29</v>
      </c>
      <c r="U10" s="1532">
        <v>2436</v>
      </c>
      <c r="V10" s="1533">
        <v>1564</v>
      </c>
      <c r="W10" s="1532">
        <v>1944</v>
      </c>
      <c r="X10" s="1533">
        <v>1859</v>
      </c>
      <c r="Y10" s="1532">
        <v>1793</v>
      </c>
      <c r="Z10" s="1533">
        <v>1952</v>
      </c>
      <c r="AA10" s="1532">
        <v>1422</v>
      </c>
      <c r="AB10" s="1533">
        <v>2155</v>
      </c>
      <c r="AC10" s="1532">
        <v>1342</v>
      </c>
      <c r="AD10" s="1533">
        <v>2218</v>
      </c>
      <c r="AE10" s="1532">
        <v>1125</v>
      </c>
      <c r="AF10" s="1533">
        <v>2886</v>
      </c>
      <c r="AG10" s="1532">
        <v>1034</v>
      </c>
      <c r="AH10" s="1534">
        <v>3352</v>
      </c>
    </row>
    <row r="11" spans="1:34" x14ac:dyDescent="0.2">
      <c r="A11" s="1524"/>
      <c r="B11" s="1525"/>
      <c r="C11" s="1525"/>
      <c r="D11" s="1531" t="s">
        <v>655</v>
      </c>
      <c r="E11" s="1532">
        <v>4062</v>
      </c>
      <c r="F11" s="1533">
        <v>1092</v>
      </c>
      <c r="G11" s="1532">
        <v>4149</v>
      </c>
      <c r="H11" s="1533">
        <v>1200</v>
      </c>
      <c r="I11" s="1532">
        <v>4257</v>
      </c>
      <c r="J11" s="1533">
        <v>1355</v>
      </c>
      <c r="K11" s="1532">
        <v>4250</v>
      </c>
      <c r="L11" s="1533">
        <v>1412</v>
      </c>
      <c r="M11" s="1532">
        <v>3979</v>
      </c>
      <c r="N11" s="1533">
        <v>1434</v>
      </c>
      <c r="O11" s="1532">
        <v>3878</v>
      </c>
      <c r="P11" s="1533">
        <v>1521</v>
      </c>
      <c r="Q11" s="1532">
        <v>3693</v>
      </c>
      <c r="R11" s="1533">
        <v>1612.75</v>
      </c>
      <c r="S11" s="1532">
        <v>2953</v>
      </c>
      <c r="T11" s="1533">
        <v>1794.81</v>
      </c>
      <c r="U11" s="1532">
        <v>2610</v>
      </c>
      <c r="V11" s="1533">
        <v>2116</v>
      </c>
      <c r="W11" s="1532">
        <v>2394</v>
      </c>
      <c r="X11" s="1533">
        <v>2153</v>
      </c>
      <c r="Y11" s="1532">
        <v>2117</v>
      </c>
      <c r="Z11" s="1533">
        <v>2545</v>
      </c>
      <c r="AA11" s="1532">
        <v>2171</v>
      </c>
      <c r="AB11" s="1533">
        <v>2465</v>
      </c>
      <c r="AC11" s="1532">
        <v>2140</v>
      </c>
      <c r="AD11" s="1533">
        <v>2585</v>
      </c>
      <c r="AE11" s="1532">
        <v>1949</v>
      </c>
      <c r="AF11" s="1533">
        <v>3307</v>
      </c>
      <c r="AG11" s="1532">
        <v>2196</v>
      </c>
      <c r="AH11" s="1534">
        <v>3357</v>
      </c>
    </row>
    <row r="12" spans="1:34" x14ac:dyDescent="0.2">
      <c r="A12" s="1524"/>
      <c r="B12" s="1525"/>
      <c r="C12" s="1525"/>
      <c r="D12" s="1531"/>
      <c r="E12" s="1532">
        <f t="shared" ref="E12:AH12" si="0">SUM(E9:E11)</f>
        <v>11468</v>
      </c>
      <c r="F12" s="1533">
        <f t="shared" si="0"/>
        <v>2717</v>
      </c>
      <c r="G12" s="1532">
        <f t="shared" si="0"/>
        <v>11373</v>
      </c>
      <c r="H12" s="1533">
        <f t="shared" si="0"/>
        <v>2967</v>
      </c>
      <c r="I12" s="1532">
        <f t="shared" si="0"/>
        <v>11251</v>
      </c>
      <c r="J12" s="1533">
        <f t="shared" si="0"/>
        <v>3344</v>
      </c>
      <c r="K12" s="1532">
        <f t="shared" si="0"/>
        <v>10862</v>
      </c>
      <c r="L12" s="1533">
        <f t="shared" si="0"/>
        <v>3366</v>
      </c>
      <c r="M12" s="1532">
        <f t="shared" si="0"/>
        <v>10041</v>
      </c>
      <c r="N12" s="1533">
        <f t="shared" si="0"/>
        <v>3448</v>
      </c>
      <c r="O12" s="1532">
        <f t="shared" si="0"/>
        <v>9557</v>
      </c>
      <c r="P12" s="1533">
        <f t="shared" si="0"/>
        <v>3734</v>
      </c>
      <c r="Q12" s="1532">
        <f t="shared" si="0"/>
        <v>8593</v>
      </c>
      <c r="R12" s="1533">
        <f t="shared" si="0"/>
        <v>3931.91</v>
      </c>
      <c r="S12" s="1532">
        <f t="shared" si="0"/>
        <v>6747</v>
      </c>
      <c r="T12" s="1533">
        <f t="shared" si="0"/>
        <v>4276.5499999999993</v>
      </c>
      <c r="U12" s="1532">
        <f t="shared" si="0"/>
        <v>6077</v>
      </c>
      <c r="V12" s="1533">
        <f t="shared" si="0"/>
        <v>5066</v>
      </c>
      <c r="W12" s="1532">
        <f t="shared" si="0"/>
        <v>5146</v>
      </c>
      <c r="X12" s="1533">
        <f t="shared" si="0"/>
        <v>5460</v>
      </c>
      <c r="Y12" s="1532">
        <f t="shared" si="0"/>
        <v>4571</v>
      </c>
      <c r="Z12" s="1533">
        <f t="shared" si="0"/>
        <v>5866</v>
      </c>
      <c r="AA12" s="1532">
        <f t="shared" si="0"/>
        <v>4168</v>
      </c>
      <c r="AB12" s="1533">
        <f t="shared" si="0"/>
        <v>6261</v>
      </c>
      <c r="AC12" s="1532">
        <f t="shared" si="0"/>
        <v>4008</v>
      </c>
      <c r="AD12" s="1533">
        <f t="shared" si="0"/>
        <v>6283</v>
      </c>
      <c r="AE12" s="1532">
        <f t="shared" si="0"/>
        <v>3665</v>
      </c>
      <c r="AF12" s="1533">
        <f t="shared" si="0"/>
        <v>8361</v>
      </c>
      <c r="AG12" s="1532">
        <f t="shared" si="0"/>
        <v>3654</v>
      </c>
      <c r="AH12" s="1534">
        <f t="shared" si="0"/>
        <v>8934</v>
      </c>
    </row>
    <row r="13" spans="1:34" x14ac:dyDescent="0.2">
      <c r="A13" s="1524"/>
      <c r="B13" s="1525"/>
      <c r="C13" s="1525"/>
      <c r="D13" s="1531" t="s">
        <v>656</v>
      </c>
      <c r="E13" s="1532">
        <v>3896</v>
      </c>
      <c r="F13" s="1533">
        <v>1541</v>
      </c>
      <c r="G13" s="1532">
        <v>4066</v>
      </c>
      <c r="H13" s="1533">
        <v>1596</v>
      </c>
      <c r="I13" s="1532">
        <v>4179</v>
      </c>
      <c r="J13" s="1533">
        <v>1761</v>
      </c>
      <c r="K13" s="1532">
        <v>4465</v>
      </c>
      <c r="L13" s="1533">
        <v>1792</v>
      </c>
      <c r="M13" s="1532">
        <v>4582</v>
      </c>
      <c r="N13" s="1533">
        <v>1888</v>
      </c>
      <c r="O13" s="1532">
        <v>4603</v>
      </c>
      <c r="P13" s="1533">
        <v>1940</v>
      </c>
      <c r="Q13" s="1532">
        <v>4488</v>
      </c>
      <c r="R13" s="1533">
        <v>2021.99</v>
      </c>
      <c r="S13" s="1532">
        <v>4557</v>
      </c>
      <c r="T13" s="1533">
        <v>2535.6799999999998</v>
      </c>
      <c r="U13" s="1532">
        <v>4641</v>
      </c>
      <c r="V13" s="1533">
        <v>2580</v>
      </c>
      <c r="W13" s="1532">
        <v>4744</v>
      </c>
      <c r="X13" s="1533">
        <v>2966</v>
      </c>
      <c r="Y13" s="1532">
        <v>4248</v>
      </c>
      <c r="Z13" s="1533">
        <v>3141</v>
      </c>
      <c r="AA13" s="1532">
        <v>4526</v>
      </c>
      <c r="AB13" s="1533">
        <v>3355</v>
      </c>
      <c r="AC13" s="1532">
        <v>4332</v>
      </c>
      <c r="AD13" s="1533">
        <v>3205</v>
      </c>
      <c r="AE13" s="1532">
        <v>4642</v>
      </c>
      <c r="AF13" s="1533">
        <v>4068</v>
      </c>
      <c r="AG13" s="1532">
        <v>4909</v>
      </c>
      <c r="AH13" s="1534">
        <v>4156</v>
      </c>
    </row>
    <row r="14" spans="1:34" x14ac:dyDescent="0.2">
      <c r="A14" s="1524"/>
      <c r="B14" s="1525"/>
      <c r="C14" s="1525"/>
      <c r="D14" s="1531" t="s">
        <v>657</v>
      </c>
      <c r="E14" s="1532">
        <v>3634</v>
      </c>
      <c r="F14" s="1533">
        <v>2195</v>
      </c>
      <c r="G14" s="1532">
        <v>3703</v>
      </c>
      <c r="H14" s="1533">
        <v>2239</v>
      </c>
      <c r="I14" s="1532">
        <v>3725</v>
      </c>
      <c r="J14" s="1533">
        <v>2421</v>
      </c>
      <c r="K14" s="1532">
        <v>3978</v>
      </c>
      <c r="L14" s="1533">
        <v>2436</v>
      </c>
      <c r="M14" s="1532">
        <v>4132</v>
      </c>
      <c r="N14" s="1533">
        <v>2518</v>
      </c>
      <c r="O14" s="1532">
        <v>4176</v>
      </c>
      <c r="P14" s="1533">
        <v>2681</v>
      </c>
      <c r="Q14" s="1532">
        <v>4320</v>
      </c>
      <c r="R14" s="1533">
        <v>2903.23</v>
      </c>
      <c r="S14" s="1532">
        <v>4843</v>
      </c>
      <c r="T14" s="1533">
        <v>3122.33</v>
      </c>
      <c r="U14" s="1532">
        <v>5153</v>
      </c>
      <c r="V14" s="1533">
        <v>3627</v>
      </c>
      <c r="W14" s="1532">
        <v>5636</v>
      </c>
      <c r="X14" s="1533">
        <v>3965</v>
      </c>
      <c r="Y14" s="1532">
        <v>6080</v>
      </c>
      <c r="Z14" s="1533">
        <v>4200</v>
      </c>
      <c r="AA14" s="1532">
        <v>5965</v>
      </c>
      <c r="AB14" s="1533">
        <v>4259</v>
      </c>
      <c r="AC14" s="1532">
        <v>6087</v>
      </c>
      <c r="AD14" s="1533">
        <v>4344</v>
      </c>
      <c r="AE14" s="1532">
        <v>5992</v>
      </c>
      <c r="AF14" s="1533">
        <v>5016</v>
      </c>
      <c r="AG14" s="1532">
        <v>6409</v>
      </c>
      <c r="AH14" s="1534">
        <v>5636</v>
      </c>
    </row>
    <row r="15" spans="1:34" x14ac:dyDescent="0.2">
      <c r="A15" s="1524"/>
      <c r="B15" s="1525"/>
      <c r="C15" s="1525"/>
      <c r="D15" s="1531" t="s">
        <v>658</v>
      </c>
      <c r="E15" s="1532">
        <v>3621</v>
      </c>
      <c r="F15" s="1533">
        <v>3555</v>
      </c>
      <c r="G15" s="1532">
        <v>3716</v>
      </c>
      <c r="H15" s="1533">
        <v>3625</v>
      </c>
      <c r="I15" s="1532">
        <v>3842</v>
      </c>
      <c r="J15" s="1533">
        <v>3970</v>
      </c>
      <c r="K15" s="1532">
        <v>4246</v>
      </c>
      <c r="L15" s="1533">
        <v>4057</v>
      </c>
      <c r="M15" s="1532">
        <v>4451</v>
      </c>
      <c r="N15" s="1533">
        <v>4194</v>
      </c>
      <c r="O15" s="1532">
        <v>4454</v>
      </c>
      <c r="P15" s="1533">
        <v>4404</v>
      </c>
      <c r="Q15" s="1532">
        <v>4976</v>
      </c>
      <c r="R15" s="1533">
        <v>4723.03</v>
      </c>
      <c r="S15" s="1532">
        <v>5597</v>
      </c>
      <c r="T15" s="1533">
        <v>5386</v>
      </c>
      <c r="U15" s="1532">
        <v>6086</v>
      </c>
      <c r="V15" s="1533">
        <v>5990</v>
      </c>
      <c r="W15" s="1532">
        <v>6891</v>
      </c>
      <c r="X15" s="1533">
        <v>6573</v>
      </c>
      <c r="Y15" s="1532">
        <v>7828</v>
      </c>
      <c r="Z15" s="1533">
        <v>6454</v>
      </c>
      <c r="AA15" s="1532">
        <v>7898</v>
      </c>
      <c r="AB15" s="1533">
        <v>6680</v>
      </c>
      <c r="AC15" s="1532">
        <v>8836</v>
      </c>
      <c r="AD15" s="1533">
        <v>6822</v>
      </c>
      <c r="AE15" s="1532">
        <v>8893</v>
      </c>
      <c r="AF15" s="1533">
        <v>7391</v>
      </c>
      <c r="AG15" s="1532">
        <v>8707</v>
      </c>
      <c r="AH15" s="1534">
        <v>7876</v>
      </c>
    </row>
    <row r="16" spans="1:34" x14ac:dyDescent="0.2">
      <c r="A16" s="1524"/>
      <c r="B16" s="1525"/>
      <c r="C16" s="1525"/>
      <c r="D16" s="1531" t="s">
        <v>659</v>
      </c>
      <c r="E16" s="1532">
        <v>1717</v>
      </c>
      <c r="F16" s="1533">
        <v>5349</v>
      </c>
      <c r="G16" s="1532">
        <v>1886</v>
      </c>
      <c r="H16" s="1533">
        <v>5662</v>
      </c>
      <c r="I16" s="1532">
        <v>1886</v>
      </c>
      <c r="J16" s="1533">
        <v>5991</v>
      </c>
      <c r="K16" s="1532">
        <v>1877</v>
      </c>
      <c r="L16" s="1533">
        <v>6437</v>
      </c>
      <c r="M16" s="1532">
        <v>2174</v>
      </c>
      <c r="N16" s="1533">
        <v>6444</v>
      </c>
      <c r="O16" s="1532">
        <v>2413</v>
      </c>
      <c r="P16" s="1533">
        <v>6841</v>
      </c>
      <c r="Q16" s="1532">
        <v>2653</v>
      </c>
      <c r="R16" s="1533">
        <v>7579.38</v>
      </c>
      <c r="S16" s="1532">
        <v>2957</v>
      </c>
      <c r="T16" s="1533">
        <v>8677.33</v>
      </c>
      <c r="U16" s="1532">
        <v>3182</v>
      </c>
      <c r="V16" s="1533">
        <v>9694</v>
      </c>
      <c r="W16" s="1532">
        <v>3621</v>
      </c>
      <c r="X16" s="1533">
        <v>10081</v>
      </c>
      <c r="Y16" s="1532">
        <v>4014</v>
      </c>
      <c r="Z16" s="1533">
        <v>11022</v>
      </c>
      <c r="AA16" s="1532">
        <v>4003</v>
      </c>
      <c r="AB16" s="1533">
        <v>11244</v>
      </c>
      <c r="AC16" s="1532">
        <v>4572</v>
      </c>
      <c r="AD16" s="1533">
        <v>11882</v>
      </c>
      <c r="AE16" s="1532">
        <v>4906</v>
      </c>
      <c r="AF16" s="1533">
        <v>12949</v>
      </c>
      <c r="AG16" s="1532">
        <v>5194</v>
      </c>
      <c r="AH16" s="1534">
        <v>13311</v>
      </c>
    </row>
    <row r="17" spans="1:34" x14ac:dyDescent="0.2">
      <c r="A17" s="1524"/>
      <c r="B17" s="1525"/>
      <c r="C17" s="1525"/>
      <c r="D17" s="1531"/>
      <c r="E17" s="1532">
        <f t="shared" ref="E17:AH17" si="1">SUM(E13:E16)</f>
        <v>12868</v>
      </c>
      <c r="F17" s="1533">
        <f t="shared" si="1"/>
        <v>12640</v>
      </c>
      <c r="G17" s="1532">
        <f t="shared" si="1"/>
        <v>13371</v>
      </c>
      <c r="H17" s="1533">
        <f t="shared" si="1"/>
        <v>13122</v>
      </c>
      <c r="I17" s="1532">
        <f t="shared" si="1"/>
        <v>13632</v>
      </c>
      <c r="J17" s="1533">
        <f t="shared" si="1"/>
        <v>14143</v>
      </c>
      <c r="K17" s="1532">
        <f t="shared" si="1"/>
        <v>14566</v>
      </c>
      <c r="L17" s="1533">
        <f t="shared" si="1"/>
        <v>14722</v>
      </c>
      <c r="M17" s="1532">
        <f t="shared" si="1"/>
        <v>15339</v>
      </c>
      <c r="N17" s="1533">
        <f t="shared" si="1"/>
        <v>15044</v>
      </c>
      <c r="O17" s="1532">
        <f t="shared" si="1"/>
        <v>15646</v>
      </c>
      <c r="P17" s="1533">
        <f t="shared" si="1"/>
        <v>15866</v>
      </c>
      <c r="Q17" s="1532">
        <f t="shared" si="1"/>
        <v>16437</v>
      </c>
      <c r="R17" s="1533">
        <f t="shared" si="1"/>
        <v>17227.63</v>
      </c>
      <c r="S17" s="1532">
        <f t="shared" si="1"/>
        <v>17954</v>
      </c>
      <c r="T17" s="1533">
        <f t="shared" si="1"/>
        <v>19721.34</v>
      </c>
      <c r="U17" s="1532">
        <f t="shared" si="1"/>
        <v>19062</v>
      </c>
      <c r="V17" s="1533">
        <f t="shared" si="1"/>
        <v>21891</v>
      </c>
      <c r="W17" s="1532">
        <f t="shared" si="1"/>
        <v>20892</v>
      </c>
      <c r="X17" s="1533">
        <f t="shared" si="1"/>
        <v>23585</v>
      </c>
      <c r="Y17" s="1532">
        <f t="shared" si="1"/>
        <v>22170</v>
      </c>
      <c r="Z17" s="1533">
        <f t="shared" si="1"/>
        <v>24817</v>
      </c>
      <c r="AA17" s="1532">
        <f t="shared" si="1"/>
        <v>22392</v>
      </c>
      <c r="AB17" s="1533">
        <f t="shared" si="1"/>
        <v>25538</v>
      </c>
      <c r="AC17" s="1532">
        <f t="shared" si="1"/>
        <v>23827</v>
      </c>
      <c r="AD17" s="1533">
        <f t="shared" si="1"/>
        <v>26253</v>
      </c>
      <c r="AE17" s="1532">
        <f t="shared" si="1"/>
        <v>24433</v>
      </c>
      <c r="AF17" s="1533">
        <f t="shared" si="1"/>
        <v>29424</v>
      </c>
      <c r="AG17" s="1532">
        <f t="shared" si="1"/>
        <v>25219</v>
      </c>
      <c r="AH17" s="1534">
        <f t="shared" si="1"/>
        <v>30979</v>
      </c>
    </row>
    <row r="18" spans="1:34" x14ac:dyDescent="0.2">
      <c r="A18" s="1524"/>
      <c r="B18" s="1525"/>
      <c r="C18" s="1525"/>
      <c r="D18" s="1531" t="s">
        <v>660</v>
      </c>
      <c r="E18" s="1532">
        <v>1663</v>
      </c>
      <c r="F18" s="1533">
        <v>7212</v>
      </c>
      <c r="G18" s="1532">
        <v>1705</v>
      </c>
      <c r="H18" s="1533">
        <v>7537</v>
      </c>
      <c r="I18" s="1532">
        <v>1745</v>
      </c>
      <c r="J18" s="1533">
        <v>8396</v>
      </c>
      <c r="K18" s="1532">
        <v>1462</v>
      </c>
      <c r="L18" s="1533">
        <v>8429</v>
      </c>
      <c r="M18" s="1532">
        <v>1609</v>
      </c>
      <c r="N18" s="1533">
        <v>9174</v>
      </c>
      <c r="O18" s="1532">
        <v>1759</v>
      </c>
      <c r="P18" s="1533">
        <v>9252</v>
      </c>
      <c r="Q18" s="1532">
        <v>1928</v>
      </c>
      <c r="R18" s="1533">
        <v>10014.94</v>
      </c>
      <c r="S18" s="1532">
        <v>2158</v>
      </c>
      <c r="T18" s="1533">
        <v>12336.69</v>
      </c>
      <c r="U18" s="1532">
        <v>2449</v>
      </c>
      <c r="V18" s="1533">
        <v>13188</v>
      </c>
      <c r="W18" s="1532">
        <v>2830</v>
      </c>
      <c r="X18" s="1533">
        <v>13979</v>
      </c>
      <c r="Y18" s="1532">
        <v>2921</v>
      </c>
      <c r="Z18" s="1533">
        <v>14877</v>
      </c>
      <c r="AA18" s="1532">
        <v>2994</v>
      </c>
      <c r="AB18" s="1533">
        <v>15736</v>
      </c>
      <c r="AC18" s="1532">
        <v>3276</v>
      </c>
      <c r="AD18" s="1533">
        <v>16754</v>
      </c>
      <c r="AE18" s="1532">
        <v>3321</v>
      </c>
      <c r="AF18" s="1533">
        <v>17313</v>
      </c>
      <c r="AG18" s="1532">
        <v>3300</v>
      </c>
      <c r="AH18" s="1534">
        <v>19516</v>
      </c>
    </row>
    <row r="19" spans="1:34" x14ac:dyDescent="0.2">
      <c r="A19" s="1524"/>
      <c r="B19" s="1525"/>
      <c r="C19" s="1525"/>
      <c r="D19" s="1531" t="s">
        <v>661</v>
      </c>
      <c r="E19" s="1532">
        <v>1559</v>
      </c>
      <c r="F19" s="1533">
        <v>9568</v>
      </c>
      <c r="G19" s="1532">
        <v>1666</v>
      </c>
      <c r="H19" s="1533">
        <v>10234</v>
      </c>
      <c r="I19" s="1532">
        <v>1699</v>
      </c>
      <c r="J19" s="1533">
        <v>11561</v>
      </c>
      <c r="K19" s="1532">
        <v>1799</v>
      </c>
      <c r="L19" s="1533">
        <v>11499</v>
      </c>
      <c r="M19" s="1532">
        <v>1971</v>
      </c>
      <c r="N19" s="1533">
        <v>11864</v>
      </c>
      <c r="O19" s="1532">
        <v>2085</v>
      </c>
      <c r="P19" s="1533">
        <v>12558</v>
      </c>
      <c r="Q19" s="1532">
        <v>2228</v>
      </c>
      <c r="R19" s="1533">
        <v>13507.32</v>
      </c>
      <c r="S19" s="1532">
        <v>2546</v>
      </c>
      <c r="T19" s="1533">
        <v>16296.05</v>
      </c>
      <c r="U19" s="1532">
        <v>2895</v>
      </c>
      <c r="V19" s="1533">
        <v>17809</v>
      </c>
      <c r="W19" s="1532">
        <v>3038</v>
      </c>
      <c r="X19" s="1533">
        <v>18860</v>
      </c>
      <c r="Y19" s="1532">
        <v>3093</v>
      </c>
      <c r="Z19" s="1533">
        <v>20667</v>
      </c>
      <c r="AA19" s="1532">
        <v>3278</v>
      </c>
      <c r="AB19" s="1533">
        <v>21555</v>
      </c>
      <c r="AC19" s="1532">
        <v>3703</v>
      </c>
      <c r="AD19" s="1533">
        <v>23539</v>
      </c>
      <c r="AE19" s="1532">
        <v>3777</v>
      </c>
      <c r="AF19" s="1533">
        <v>24716</v>
      </c>
      <c r="AG19" s="1532">
        <v>3706</v>
      </c>
      <c r="AH19" s="1534">
        <v>26957</v>
      </c>
    </row>
    <row r="20" spans="1:34" x14ac:dyDescent="0.2">
      <c r="A20" s="1524"/>
      <c r="B20" s="1525"/>
      <c r="C20" s="1525"/>
      <c r="D20" s="1535" t="s">
        <v>662</v>
      </c>
      <c r="E20" s="1536">
        <v>1455</v>
      </c>
      <c r="F20" s="1537">
        <v>13416</v>
      </c>
      <c r="G20" s="1536">
        <v>1469</v>
      </c>
      <c r="H20" s="1537">
        <v>15072</v>
      </c>
      <c r="I20" s="1536">
        <v>1446</v>
      </c>
      <c r="J20" s="1537">
        <v>17173</v>
      </c>
      <c r="K20" s="1536">
        <v>1621</v>
      </c>
      <c r="L20" s="1537">
        <v>18643</v>
      </c>
      <c r="M20" s="1536">
        <v>1695</v>
      </c>
      <c r="N20" s="1537">
        <v>18822</v>
      </c>
      <c r="O20" s="1536">
        <v>1857</v>
      </c>
      <c r="P20" s="1537">
        <v>19817</v>
      </c>
      <c r="Q20" s="1536">
        <v>1923</v>
      </c>
      <c r="R20" s="1537">
        <v>20278.25</v>
      </c>
      <c r="S20" s="1536">
        <v>1898</v>
      </c>
      <c r="T20" s="1537">
        <v>23053.57</v>
      </c>
      <c r="U20" s="1536">
        <v>2015</v>
      </c>
      <c r="V20" s="1537">
        <v>26602</v>
      </c>
      <c r="W20" s="1536">
        <v>2114</v>
      </c>
      <c r="X20" s="1537">
        <v>28038</v>
      </c>
      <c r="Y20" s="1536">
        <v>2177</v>
      </c>
      <c r="Z20" s="1537">
        <v>30559</v>
      </c>
      <c r="AA20" s="1536">
        <v>2102</v>
      </c>
      <c r="AB20" s="1537">
        <v>31111</v>
      </c>
      <c r="AC20" s="1536">
        <v>2400</v>
      </c>
      <c r="AD20" s="1537">
        <v>36883</v>
      </c>
      <c r="AE20" s="1536">
        <v>2345</v>
      </c>
      <c r="AF20" s="1537">
        <v>39097</v>
      </c>
      <c r="AG20" s="1536">
        <v>2381</v>
      </c>
      <c r="AH20" s="1538">
        <v>41587</v>
      </c>
    </row>
    <row r="21" spans="1:34" x14ac:dyDescent="0.2">
      <c r="A21" s="1524"/>
      <c r="B21" s="1525"/>
      <c r="C21" s="1525"/>
      <c r="D21" s="1539"/>
      <c r="E21" s="1540">
        <f t="shared" ref="E21:AH21" si="2">SUM(E18:E20)</f>
        <v>4677</v>
      </c>
      <c r="F21" s="1540">
        <f t="shared" si="2"/>
        <v>30196</v>
      </c>
      <c r="G21" s="1540">
        <f t="shared" si="2"/>
        <v>4840</v>
      </c>
      <c r="H21" s="1540">
        <f t="shared" si="2"/>
        <v>32843</v>
      </c>
      <c r="I21" s="1540">
        <f t="shared" si="2"/>
        <v>4890</v>
      </c>
      <c r="J21" s="1540">
        <f t="shared" si="2"/>
        <v>37130</v>
      </c>
      <c r="K21" s="1540">
        <f t="shared" si="2"/>
        <v>4882</v>
      </c>
      <c r="L21" s="1540">
        <f t="shared" si="2"/>
        <v>38571</v>
      </c>
      <c r="M21" s="1540">
        <f t="shared" si="2"/>
        <v>5275</v>
      </c>
      <c r="N21" s="1540">
        <f t="shared" si="2"/>
        <v>39860</v>
      </c>
      <c r="O21" s="1540">
        <f t="shared" si="2"/>
        <v>5701</v>
      </c>
      <c r="P21" s="1540">
        <f t="shared" si="2"/>
        <v>41627</v>
      </c>
      <c r="Q21" s="1540">
        <f t="shared" si="2"/>
        <v>6079</v>
      </c>
      <c r="R21" s="1540">
        <f t="shared" si="2"/>
        <v>43800.51</v>
      </c>
      <c r="S21" s="1540">
        <f t="shared" si="2"/>
        <v>6602</v>
      </c>
      <c r="T21" s="1540">
        <f t="shared" si="2"/>
        <v>51686.31</v>
      </c>
      <c r="U21" s="1540">
        <f t="shared" si="2"/>
        <v>7359</v>
      </c>
      <c r="V21" s="1540">
        <f t="shared" si="2"/>
        <v>57599</v>
      </c>
      <c r="W21" s="1540">
        <f t="shared" si="2"/>
        <v>7982</v>
      </c>
      <c r="X21" s="1540">
        <f t="shared" si="2"/>
        <v>60877</v>
      </c>
      <c r="Y21" s="1540">
        <f t="shared" si="2"/>
        <v>8191</v>
      </c>
      <c r="Z21" s="1540">
        <f t="shared" si="2"/>
        <v>66103</v>
      </c>
      <c r="AA21" s="1540">
        <f t="shared" si="2"/>
        <v>8374</v>
      </c>
      <c r="AB21" s="1540">
        <f t="shared" si="2"/>
        <v>68402</v>
      </c>
      <c r="AC21" s="1540">
        <f t="shared" si="2"/>
        <v>9379</v>
      </c>
      <c r="AD21" s="1540">
        <f t="shared" si="2"/>
        <v>77176</v>
      </c>
      <c r="AE21" s="1540">
        <f t="shared" si="2"/>
        <v>9443</v>
      </c>
      <c r="AF21" s="1540">
        <f t="shared" si="2"/>
        <v>81126</v>
      </c>
      <c r="AG21" s="1540">
        <f t="shared" si="2"/>
        <v>9387</v>
      </c>
      <c r="AH21" s="1541">
        <f t="shared" si="2"/>
        <v>88060</v>
      </c>
    </row>
    <row r="22" spans="1:34" ht="12.75" x14ac:dyDescent="0.2">
      <c r="A22" s="1524"/>
      <c r="B22" s="1542"/>
      <c r="C22" s="1542"/>
      <c r="D22" s="1543" t="s">
        <v>67</v>
      </c>
      <c r="E22" s="1544" t="s">
        <v>663</v>
      </c>
      <c r="F22" s="1545"/>
      <c r="G22" s="1546"/>
      <c r="H22" s="1545"/>
      <c r="I22" s="1547"/>
      <c r="J22" s="1545"/>
      <c r="K22" s="1546"/>
      <c r="L22" s="1545"/>
      <c r="M22" s="1546"/>
      <c r="N22" s="1545"/>
      <c r="O22" s="1547"/>
      <c r="P22" s="1545"/>
      <c r="Q22" s="1548"/>
      <c r="R22" s="1548"/>
      <c r="S22" s="1549"/>
      <c r="T22" s="1549"/>
      <c r="U22" s="1549"/>
      <c r="V22" s="1549"/>
      <c r="W22" s="1549"/>
      <c r="X22" s="1549"/>
      <c r="Y22" s="1522"/>
      <c r="Z22" s="1522"/>
    </row>
    <row r="23" spans="1:34" ht="12.75" x14ac:dyDescent="0.2">
      <c r="A23" s="1524"/>
      <c r="B23" s="1542"/>
      <c r="C23" s="1542"/>
      <c r="D23" s="1550"/>
      <c r="E23" s="4166" t="s">
        <v>19</v>
      </c>
      <c r="F23" s="4167"/>
      <c r="G23" s="4166" t="s">
        <v>20</v>
      </c>
      <c r="H23" s="4167"/>
      <c r="I23" s="4166" t="s">
        <v>664</v>
      </c>
      <c r="J23" s="4167"/>
      <c r="K23" s="4166" t="s">
        <v>665</v>
      </c>
      <c r="L23" s="4167"/>
      <c r="M23" s="4166" t="s">
        <v>23</v>
      </c>
      <c r="N23" s="4167"/>
      <c r="O23" s="4166" t="s">
        <v>24</v>
      </c>
      <c r="P23" s="4167"/>
      <c r="Q23" s="4166" t="s">
        <v>25</v>
      </c>
      <c r="R23" s="4167"/>
      <c r="S23" s="4166" t="s">
        <v>26</v>
      </c>
      <c r="T23" s="4167"/>
      <c r="U23" s="4166" t="s">
        <v>27</v>
      </c>
      <c r="V23" s="4167"/>
      <c r="W23" s="4168" t="s">
        <v>257</v>
      </c>
      <c r="X23" s="4169"/>
      <c r="Y23" s="1551"/>
      <c r="Z23" s="1551"/>
    </row>
    <row r="24" spans="1:34" ht="45" x14ac:dyDescent="0.2">
      <c r="A24" s="1524"/>
      <c r="B24" s="1542"/>
      <c r="C24" s="1542"/>
      <c r="D24" s="1552"/>
      <c r="E24" s="1527" t="s">
        <v>666</v>
      </c>
      <c r="F24" s="1528" t="s">
        <v>651</v>
      </c>
      <c r="G24" s="1527" t="s">
        <v>667</v>
      </c>
      <c r="H24" s="1528" t="s">
        <v>651</v>
      </c>
      <c r="I24" s="1527" t="s">
        <v>667</v>
      </c>
      <c r="J24" s="1528" t="s">
        <v>651</v>
      </c>
      <c r="K24" s="1527" t="s">
        <v>667</v>
      </c>
      <c r="L24" s="1528" t="s">
        <v>651</v>
      </c>
      <c r="M24" s="1527" t="s">
        <v>666</v>
      </c>
      <c r="N24" s="1528" t="s">
        <v>651</v>
      </c>
      <c r="O24" s="1527" t="s">
        <v>666</v>
      </c>
      <c r="P24" s="1528" t="s">
        <v>651</v>
      </c>
      <c r="Q24" s="1527" t="s">
        <v>666</v>
      </c>
      <c r="R24" s="1528" t="s">
        <v>651</v>
      </c>
      <c r="S24" s="1527" t="s">
        <v>666</v>
      </c>
      <c r="T24" s="1528" t="s">
        <v>651</v>
      </c>
      <c r="U24" s="1527" t="s">
        <v>666</v>
      </c>
      <c r="V24" s="1528" t="s">
        <v>651</v>
      </c>
      <c r="W24" s="1527" t="s">
        <v>667</v>
      </c>
      <c r="X24" s="1529" t="s">
        <v>651</v>
      </c>
      <c r="Y24" s="1514"/>
      <c r="Z24" s="1514"/>
    </row>
    <row r="25" spans="1:34" ht="12.75" x14ac:dyDescent="0.2">
      <c r="A25" s="782"/>
      <c r="B25" s="902"/>
      <c r="C25" s="1542"/>
      <c r="D25" s="1553" t="s">
        <v>653</v>
      </c>
      <c r="E25" s="1554">
        <v>415</v>
      </c>
      <c r="F25" s="1533">
        <v>1335</v>
      </c>
      <c r="G25" s="1554">
        <v>4</v>
      </c>
      <c r="H25" s="1533">
        <v>850</v>
      </c>
      <c r="I25" s="1555">
        <v>0</v>
      </c>
      <c r="J25" s="1533">
        <v>0</v>
      </c>
      <c r="K25" s="1554">
        <v>184</v>
      </c>
      <c r="L25" s="1533">
        <v>1480</v>
      </c>
      <c r="M25" s="1555">
        <v>8</v>
      </c>
      <c r="N25" s="1533">
        <v>2516</v>
      </c>
      <c r="O25" s="1555">
        <v>10</v>
      </c>
      <c r="P25" s="1533">
        <v>965</v>
      </c>
      <c r="Q25" s="1555">
        <v>22</v>
      </c>
      <c r="R25" s="1533">
        <v>962</v>
      </c>
      <c r="S25" s="1555">
        <v>19</v>
      </c>
      <c r="T25" s="1533">
        <v>1299</v>
      </c>
      <c r="U25" s="1555">
        <v>0</v>
      </c>
      <c r="V25" s="1533">
        <v>0</v>
      </c>
      <c r="W25" s="1554">
        <v>661</v>
      </c>
      <c r="X25" s="1534">
        <v>1369</v>
      </c>
      <c r="Y25" s="1514"/>
      <c r="Z25" s="1514"/>
    </row>
    <row r="26" spans="1:34" ht="12.75" x14ac:dyDescent="0.2">
      <c r="A26" s="1524"/>
      <c r="B26" s="1542"/>
      <c r="C26" s="1542"/>
      <c r="D26" s="1553" t="s">
        <v>654</v>
      </c>
      <c r="E26" s="1554">
        <v>607</v>
      </c>
      <c r="F26" s="1533">
        <v>1669</v>
      </c>
      <c r="G26" s="1554">
        <v>16</v>
      </c>
      <c r="H26" s="1533">
        <v>1046</v>
      </c>
      <c r="I26" s="1554">
        <v>66</v>
      </c>
      <c r="J26" s="1533">
        <v>1436</v>
      </c>
      <c r="K26" s="1554">
        <v>737</v>
      </c>
      <c r="L26" s="1533">
        <v>2300</v>
      </c>
      <c r="M26" s="1555">
        <v>164</v>
      </c>
      <c r="N26" s="1533">
        <v>2474</v>
      </c>
      <c r="O26" s="1555">
        <v>77</v>
      </c>
      <c r="P26" s="1533">
        <v>1136</v>
      </c>
      <c r="Q26" s="1555">
        <v>87</v>
      </c>
      <c r="R26" s="1533">
        <v>1486</v>
      </c>
      <c r="S26" s="1555">
        <v>38</v>
      </c>
      <c r="T26" s="1533">
        <v>1548</v>
      </c>
      <c r="U26" s="1555">
        <v>1</v>
      </c>
      <c r="V26" s="1533">
        <v>415</v>
      </c>
      <c r="W26" s="1554">
        <v>1793</v>
      </c>
      <c r="X26" s="1534">
        <v>1952</v>
      </c>
      <c r="Y26" s="1514"/>
      <c r="Z26" s="1514"/>
    </row>
    <row r="27" spans="1:34" ht="12.75" x14ac:dyDescent="0.2">
      <c r="A27" s="1524"/>
      <c r="B27" s="1542"/>
      <c r="C27" s="1542"/>
      <c r="D27" s="1553" t="s">
        <v>655</v>
      </c>
      <c r="E27" s="1554">
        <v>492</v>
      </c>
      <c r="F27" s="1533">
        <v>2099</v>
      </c>
      <c r="G27" s="1554">
        <v>80</v>
      </c>
      <c r="H27" s="1533">
        <v>1836</v>
      </c>
      <c r="I27" s="1554">
        <v>88</v>
      </c>
      <c r="J27" s="1533">
        <v>2587</v>
      </c>
      <c r="K27" s="1555">
        <v>766</v>
      </c>
      <c r="L27" s="1533">
        <v>2915</v>
      </c>
      <c r="M27" s="1555">
        <v>371</v>
      </c>
      <c r="N27" s="1533">
        <v>2871</v>
      </c>
      <c r="O27" s="1555">
        <v>112</v>
      </c>
      <c r="P27" s="1533">
        <v>1849</v>
      </c>
      <c r="Q27" s="1555">
        <v>128</v>
      </c>
      <c r="R27" s="1533">
        <v>2062</v>
      </c>
      <c r="S27" s="1555">
        <v>64</v>
      </c>
      <c r="T27" s="1533">
        <v>2961</v>
      </c>
      <c r="U27" s="1555">
        <v>16</v>
      </c>
      <c r="V27" s="1533">
        <v>1441</v>
      </c>
      <c r="W27" s="1554">
        <v>2117</v>
      </c>
      <c r="X27" s="1534">
        <v>2545</v>
      </c>
      <c r="Y27" s="1514"/>
      <c r="Z27" s="1514"/>
    </row>
    <row r="28" spans="1:34" ht="12.75" x14ac:dyDescent="0.2">
      <c r="A28" s="1524"/>
      <c r="B28" s="1542"/>
      <c r="C28" s="1542"/>
      <c r="D28" s="1553" t="s">
        <v>656</v>
      </c>
      <c r="E28" s="1554">
        <v>721</v>
      </c>
      <c r="F28" s="1533">
        <v>2581</v>
      </c>
      <c r="G28" s="1554">
        <v>266</v>
      </c>
      <c r="H28" s="1533">
        <v>2241</v>
      </c>
      <c r="I28" s="1554">
        <v>293</v>
      </c>
      <c r="J28" s="1533">
        <v>3073</v>
      </c>
      <c r="K28" s="1554">
        <v>1082</v>
      </c>
      <c r="L28" s="1533">
        <v>3584</v>
      </c>
      <c r="M28" s="1554">
        <v>803</v>
      </c>
      <c r="N28" s="1533">
        <v>3865</v>
      </c>
      <c r="O28" s="1555">
        <v>439</v>
      </c>
      <c r="P28" s="1533">
        <v>2581</v>
      </c>
      <c r="Q28" s="1555">
        <v>443</v>
      </c>
      <c r="R28" s="1533">
        <v>3177</v>
      </c>
      <c r="S28" s="1555">
        <v>110</v>
      </c>
      <c r="T28" s="1533">
        <v>1913</v>
      </c>
      <c r="U28" s="1555">
        <v>92</v>
      </c>
      <c r="V28" s="1533">
        <v>2797</v>
      </c>
      <c r="W28" s="1554">
        <v>4248</v>
      </c>
      <c r="X28" s="1534">
        <v>3141</v>
      </c>
      <c r="Y28" s="1514"/>
      <c r="Z28" s="1514"/>
    </row>
    <row r="29" spans="1:34" ht="12.75" x14ac:dyDescent="0.2">
      <c r="A29" s="1524"/>
      <c r="B29" s="1542"/>
      <c r="C29" s="1542"/>
      <c r="D29" s="1556" t="s">
        <v>657</v>
      </c>
      <c r="E29" s="1554">
        <v>653</v>
      </c>
      <c r="F29" s="1533">
        <v>3565</v>
      </c>
      <c r="G29" s="1554">
        <v>584</v>
      </c>
      <c r="H29" s="1533">
        <v>3371</v>
      </c>
      <c r="I29" s="1554">
        <v>843</v>
      </c>
      <c r="J29" s="1533">
        <v>3913</v>
      </c>
      <c r="K29" s="1555">
        <v>1038</v>
      </c>
      <c r="L29" s="1533">
        <v>4756</v>
      </c>
      <c r="M29" s="1554">
        <v>1230</v>
      </c>
      <c r="N29" s="1533">
        <v>4740</v>
      </c>
      <c r="O29" s="1555">
        <v>651</v>
      </c>
      <c r="P29" s="1533">
        <v>4334</v>
      </c>
      <c r="Q29" s="1555">
        <v>670</v>
      </c>
      <c r="R29" s="1533">
        <v>4621</v>
      </c>
      <c r="S29" s="1555">
        <v>184</v>
      </c>
      <c r="T29" s="1533">
        <v>2869</v>
      </c>
      <c r="U29" s="1555">
        <v>228</v>
      </c>
      <c r="V29" s="1533">
        <v>3206</v>
      </c>
      <c r="W29" s="1554">
        <v>6080</v>
      </c>
      <c r="X29" s="1534">
        <v>4200</v>
      </c>
      <c r="Y29" s="1514"/>
      <c r="Z29" s="1514"/>
    </row>
    <row r="30" spans="1:34" ht="12.75" x14ac:dyDescent="0.2">
      <c r="A30" s="1524"/>
      <c r="B30" s="1542"/>
      <c r="C30" s="1542"/>
      <c r="D30" s="1553" t="s">
        <v>658</v>
      </c>
      <c r="E30" s="1554">
        <v>839</v>
      </c>
      <c r="F30" s="1533">
        <v>4769</v>
      </c>
      <c r="G30" s="1554">
        <v>626</v>
      </c>
      <c r="H30" s="1533">
        <v>4651</v>
      </c>
      <c r="I30" s="1554">
        <v>2171</v>
      </c>
      <c r="J30" s="1533">
        <v>7269</v>
      </c>
      <c r="K30" s="1554">
        <v>1277</v>
      </c>
      <c r="L30" s="1533">
        <v>7680</v>
      </c>
      <c r="M30" s="1555">
        <v>720</v>
      </c>
      <c r="N30" s="1533">
        <v>6740</v>
      </c>
      <c r="O30" s="1555">
        <v>610</v>
      </c>
      <c r="P30" s="1533">
        <v>7607</v>
      </c>
      <c r="Q30" s="1555">
        <v>469</v>
      </c>
      <c r="R30" s="1533">
        <v>6622</v>
      </c>
      <c r="S30" s="1555">
        <v>157</v>
      </c>
      <c r="T30" s="1533">
        <v>4875</v>
      </c>
      <c r="U30" s="1555">
        <v>957</v>
      </c>
      <c r="V30" s="1533">
        <v>4856</v>
      </c>
      <c r="W30" s="1554">
        <v>7828</v>
      </c>
      <c r="X30" s="1534">
        <v>6454</v>
      </c>
      <c r="Y30" s="1514"/>
      <c r="Z30" s="1514"/>
    </row>
    <row r="31" spans="1:34" ht="12.75" x14ac:dyDescent="0.2">
      <c r="A31" s="1524"/>
      <c r="B31" s="1542"/>
      <c r="C31" s="1542"/>
      <c r="D31" s="1553" t="s">
        <v>659</v>
      </c>
      <c r="E31" s="1554">
        <v>339</v>
      </c>
      <c r="F31" s="1533">
        <v>9309</v>
      </c>
      <c r="G31" s="1554">
        <v>143</v>
      </c>
      <c r="H31" s="1533">
        <v>7720</v>
      </c>
      <c r="I31" s="1554">
        <v>1465</v>
      </c>
      <c r="J31" s="1533">
        <v>12073</v>
      </c>
      <c r="K31" s="1555">
        <v>581</v>
      </c>
      <c r="L31" s="1533">
        <v>13135</v>
      </c>
      <c r="M31" s="1555">
        <v>204</v>
      </c>
      <c r="N31" s="1533">
        <v>10656</v>
      </c>
      <c r="O31" s="1555">
        <v>243</v>
      </c>
      <c r="P31" s="1533">
        <v>14512</v>
      </c>
      <c r="Q31" s="1555">
        <v>169</v>
      </c>
      <c r="R31" s="1533">
        <v>12217</v>
      </c>
      <c r="S31" s="1555">
        <v>41</v>
      </c>
      <c r="T31" s="1533">
        <v>8968</v>
      </c>
      <c r="U31" s="1555">
        <v>828</v>
      </c>
      <c r="V31" s="1533">
        <v>7879</v>
      </c>
      <c r="W31" s="1554">
        <v>4014</v>
      </c>
      <c r="X31" s="1534">
        <v>11022</v>
      </c>
      <c r="Y31" s="1514"/>
      <c r="Z31" s="1514"/>
    </row>
    <row r="32" spans="1:34" ht="12.75" x14ac:dyDescent="0.2">
      <c r="A32" s="1524"/>
      <c r="B32" s="1542"/>
      <c r="C32" s="1542"/>
      <c r="D32" s="1553" t="s">
        <v>660</v>
      </c>
      <c r="E32" s="1554">
        <v>244</v>
      </c>
      <c r="F32" s="1533">
        <v>13015</v>
      </c>
      <c r="G32" s="1554">
        <v>149</v>
      </c>
      <c r="H32" s="1533">
        <v>12020</v>
      </c>
      <c r="I32" s="1554">
        <v>1100</v>
      </c>
      <c r="J32" s="1533">
        <v>16826</v>
      </c>
      <c r="K32" s="1555">
        <v>441</v>
      </c>
      <c r="L32" s="1533">
        <v>16408</v>
      </c>
      <c r="M32" s="1555">
        <v>93</v>
      </c>
      <c r="N32" s="1533">
        <v>15065</v>
      </c>
      <c r="O32" s="1555">
        <v>126</v>
      </c>
      <c r="P32" s="1533">
        <v>16600</v>
      </c>
      <c r="Q32" s="1555">
        <v>130</v>
      </c>
      <c r="R32" s="1533">
        <v>17701</v>
      </c>
      <c r="S32" s="1555">
        <v>61</v>
      </c>
      <c r="T32" s="1533">
        <v>15419</v>
      </c>
      <c r="U32" s="1555">
        <v>577</v>
      </c>
      <c r="V32" s="1533">
        <v>10418</v>
      </c>
      <c r="W32" s="1554">
        <v>2921</v>
      </c>
      <c r="X32" s="1534">
        <v>14877</v>
      </c>
      <c r="Y32" s="1514"/>
      <c r="Z32" s="1514"/>
    </row>
    <row r="33" spans="1:26" ht="12.75" x14ac:dyDescent="0.2">
      <c r="A33" s="1524"/>
      <c r="B33" s="1542"/>
      <c r="C33" s="1542"/>
      <c r="D33" s="1553" t="s">
        <v>661</v>
      </c>
      <c r="E33" s="1554">
        <v>216</v>
      </c>
      <c r="F33" s="1533">
        <v>17555</v>
      </c>
      <c r="G33" s="1554">
        <v>144</v>
      </c>
      <c r="H33" s="1533">
        <v>15256</v>
      </c>
      <c r="I33" s="1554">
        <v>1095</v>
      </c>
      <c r="J33" s="1533">
        <v>24309</v>
      </c>
      <c r="K33" s="1555">
        <v>581</v>
      </c>
      <c r="L33" s="1533">
        <v>20583</v>
      </c>
      <c r="M33" s="1555">
        <v>83</v>
      </c>
      <c r="N33" s="1533">
        <v>18889</v>
      </c>
      <c r="O33" s="1555">
        <v>135</v>
      </c>
      <c r="P33" s="1533">
        <v>24534</v>
      </c>
      <c r="Q33" s="1555">
        <v>136</v>
      </c>
      <c r="R33" s="1533">
        <v>22241</v>
      </c>
      <c r="S33" s="1555">
        <v>71</v>
      </c>
      <c r="T33" s="1533">
        <v>18547</v>
      </c>
      <c r="U33" s="1555">
        <v>633</v>
      </c>
      <c r="V33" s="1533">
        <v>16043</v>
      </c>
      <c r="W33" s="1554">
        <v>3093</v>
      </c>
      <c r="X33" s="1534">
        <v>20667</v>
      </c>
      <c r="Y33" s="1514"/>
      <c r="Z33" s="1514"/>
    </row>
    <row r="34" spans="1:26" ht="12.75" x14ac:dyDescent="0.2">
      <c r="A34" s="1524"/>
      <c r="B34" s="1542"/>
      <c r="C34" s="1542"/>
      <c r="D34" s="1557" t="s">
        <v>662</v>
      </c>
      <c r="E34" s="1558">
        <v>145</v>
      </c>
      <c r="F34" s="1537">
        <v>24747</v>
      </c>
      <c r="G34" s="1558">
        <v>66</v>
      </c>
      <c r="H34" s="1537">
        <v>24208</v>
      </c>
      <c r="I34" s="1558">
        <v>1080</v>
      </c>
      <c r="J34" s="1537">
        <v>33005</v>
      </c>
      <c r="K34" s="1559">
        <v>430</v>
      </c>
      <c r="L34" s="1537">
        <v>31712</v>
      </c>
      <c r="M34" s="1559">
        <v>49</v>
      </c>
      <c r="N34" s="1537">
        <v>22690</v>
      </c>
      <c r="O34" s="1559">
        <v>84</v>
      </c>
      <c r="P34" s="1537">
        <v>30066</v>
      </c>
      <c r="Q34" s="1559">
        <v>50</v>
      </c>
      <c r="R34" s="1537">
        <v>29793</v>
      </c>
      <c r="S34" s="1559">
        <v>51</v>
      </c>
      <c r="T34" s="1537">
        <v>24157</v>
      </c>
      <c r="U34" s="1559">
        <v>222</v>
      </c>
      <c r="V34" s="1537">
        <v>25663</v>
      </c>
      <c r="W34" s="1558">
        <v>2177</v>
      </c>
      <c r="X34" s="1538">
        <v>30559</v>
      </c>
      <c r="Y34" s="1514"/>
      <c r="Z34" s="1514"/>
    </row>
    <row r="35" spans="1:26" ht="12.75" x14ac:dyDescent="0.2">
      <c r="A35" s="1524"/>
      <c r="B35" s="1542"/>
      <c r="C35" s="1542"/>
      <c r="D35" s="1539"/>
      <c r="E35" s="1560"/>
      <c r="F35" s="1561"/>
      <c r="G35" s="1560"/>
      <c r="H35" s="1561"/>
      <c r="I35" s="1560"/>
      <c r="J35" s="1561"/>
      <c r="K35" s="1562"/>
      <c r="L35" s="1561"/>
      <c r="M35" s="1562"/>
      <c r="N35" s="1561"/>
      <c r="O35" s="1562"/>
      <c r="P35" s="1561"/>
      <c r="Q35" s="1562"/>
      <c r="R35" s="1561"/>
      <c r="S35" s="1562"/>
      <c r="T35" s="1561"/>
      <c r="U35" s="1562"/>
      <c r="V35" s="1561"/>
      <c r="W35" s="1560"/>
      <c r="X35" s="1561"/>
      <c r="Y35" s="1514"/>
      <c r="Z35" s="1514"/>
    </row>
    <row r="36" spans="1:26" ht="12.75" x14ac:dyDescent="0.2">
      <c r="A36" s="1524"/>
      <c r="B36" s="1542"/>
      <c r="C36" s="1542"/>
      <c r="D36" s="1539"/>
      <c r="E36" s="1560"/>
      <c r="F36" s="1561"/>
      <c r="G36" s="1560"/>
      <c r="H36" s="1561"/>
      <c r="I36" s="1560"/>
      <c r="J36" s="1561"/>
      <c r="K36" s="1562"/>
      <c r="L36" s="1561"/>
      <c r="M36" s="1562"/>
      <c r="N36" s="1561"/>
      <c r="O36" s="1562"/>
      <c r="P36" s="1561"/>
      <c r="Q36" s="1562"/>
      <c r="R36" s="1561"/>
      <c r="S36" s="1562"/>
      <c r="T36" s="1561"/>
      <c r="U36" s="1562"/>
      <c r="V36" s="1561"/>
      <c r="W36" s="1560"/>
      <c r="X36" s="1561"/>
      <c r="Y36" s="1514"/>
      <c r="Z36" s="1514"/>
    </row>
    <row r="37" spans="1:26" ht="12.75" x14ac:dyDescent="0.2">
      <c r="A37" s="1524"/>
      <c r="B37" s="1542"/>
      <c r="C37" s="1542"/>
      <c r="D37" s="1543" t="s">
        <v>67</v>
      </c>
      <c r="E37" s="1544" t="s">
        <v>668</v>
      </c>
      <c r="F37" s="1545"/>
      <c r="G37" s="1546"/>
      <c r="H37" s="1545"/>
      <c r="I37" s="1547"/>
      <c r="J37" s="1545"/>
      <c r="K37" s="1546"/>
      <c r="L37" s="1545"/>
      <c r="M37" s="1546"/>
      <c r="N37" s="1545"/>
      <c r="O37" s="1547"/>
      <c r="P37" s="1545"/>
      <c r="Q37" s="1548"/>
      <c r="R37" s="1548"/>
      <c r="S37" s="1549"/>
      <c r="T37" s="1549"/>
      <c r="U37" s="1549"/>
      <c r="V37" s="1549"/>
      <c r="W37" s="1549"/>
      <c r="X37" s="1549"/>
      <c r="Y37" s="1522"/>
      <c r="Z37" s="1522"/>
    </row>
    <row r="38" spans="1:26" ht="12.75" x14ac:dyDescent="0.2">
      <c r="A38" s="1524"/>
      <c r="B38" s="1542"/>
      <c r="C38" s="1542"/>
      <c r="D38" s="1550"/>
      <c r="E38" s="4166" t="s">
        <v>19</v>
      </c>
      <c r="F38" s="4167"/>
      <c r="G38" s="4166" t="s">
        <v>20</v>
      </c>
      <c r="H38" s="4167"/>
      <c r="I38" s="4166" t="s">
        <v>664</v>
      </c>
      <c r="J38" s="4167"/>
      <c r="K38" s="4166" t="s">
        <v>665</v>
      </c>
      <c r="L38" s="4167"/>
      <c r="M38" s="4166" t="s">
        <v>23</v>
      </c>
      <c r="N38" s="4167"/>
      <c r="O38" s="4166" t="s">
        <v>24</v>
      </c>
      <c r="P38" s="4167"/>
      <c r="Q38" s="4166" t="s">
        <v>25</v>
      </c>
      <c r="R38" s="4167"/>
      <c r="S38" s="4166" t="s">
        <v>26</v>
      </c>
      <c r="T38" s="4167"/>
      <c r="U38" s="4166" t="s">
        <v>27</v>
      </c>
      <c r="V38" s="4167"/>
      <c r="W38" s="4168" t="s">
        <v>257</v>
      </c>
      <c r="X38" s="4169"/>
      <c r="Y38" s="1551"/>
      <c r="Z38" s="1551"/>
    </row>
    <row r="39" spans="1:26" ht="45" x14ac:dyDescent="0.2">
      <c r="A39" s="1524"/>
      <c r="B39" s="1542"/>
      <c r="C39" s="1542"/>
      <c r="D39" s="1552"/>
      <c r="E39" s="1527" t="s">
        <v>666</v>
      </c>
      <c r="F39" s="1528" t="s">
        <v>651</v>
      </c>
      <c r="G39" s="1527" t="s">
        <v>667</v>
      </c>
      <c r="H39" s="1528" t="s">
        <v>651</v>
      </c>
      <c r="I39" s="1527" t="s">
        <v>667</v>
      </c>
      <c r="J39" s="1528" t="s">
        <v>651</v>
      </c>
      <c r="K39" s="1527" t="s">
        <v>667</v>
      </c>
      <c r="L39" s="1528" t="s">
        <v>651</v>
      </c>
      <c r="M39" s="1527" t="s">
        <v>666</v>
      </c>
      <c r="N39" s="1528" t="s">
        <v>651</v>
      </c>
      <c r="O39" s="1527" t="s">
        <v>666</v>
      </c>
      <c r="P39" s="1528" t="s">
        <v>651</v>
      </c>
      <c r="Q39" s="1527" t="s">
        <v>666</v>
      </c>
      <c r="R39" s="1528" t="s">
        <v>651</v>
      </c>
      <c r="S39" s="1527" t="s">
        <v>666</v>
      </c>
      <c r="T39" s="1528" t="s">
        <v>651</v>
      </c>
      <c r="U39" s="1527" t="s">
        <v>666</v>
      </c>
      <c r="V39" s="1528" t="s">
        <v>651</v>
      </c>
      <c r="W39" s="1527" t="s">
        <v>667</v>
      </c>
      <c r="X39" s="1529" t="s">
        <v>651</v>
      </c>
      <c r="Y39" s="1514"/>
      <c r="Z39" s="1514"/>
    </row>
    <row r="40" spans="1:26" ht="12.75" x14ac:dyDescent="0.2">
      <c r="A40" s="782"/>
      <c r="B40" s="902"/>
      <c r="C40" s="1542"/>
      <c r="D40" s="1553" t="s">
        <v>653</v>
      </c>
      <c r="E40" s="1554">
        <v>368</v>
      </c>
      <c r="F40" s="1533">
        <v>1509</v>
      </c>
      <c r="G40" s="1554">
        <v>5</v>
      </c>
      <c r="H40" s="1533">
        <v>1942</v>
      </c>
      <c r="I40" s="1555">
        <v>0</v>
      </c>
      <c r="J40" s="1533">
        <v>0</v>
      </c>
      <c r="K40" s="1554">
        <v>143</v>
      </c>
      <c r="L40" s="1533">
        <v>2097</v>
      </c>
      <c r="M40" s="1555">
        <v>7</v>
      </c>
      <c r="N40" s="1533">
        <v>1637</v>
      </c>
      <c r="O40" s="1555">
        <v>19</v>
      </c>
      <c r="P40" s="1533">
        <v>1164</v>
      </c>
      <c r="Q40" s="1555">
        <v>27</v>
      </c>
      <c r="R40" s="1533">
        <v>1488</v>
      </c>
      <c r="S40" s="1555">
        <v>7</v>
      </c>
      <c r="T40" s="1533">
        <v>968</v>
      </c>
      <c r="U40" s="1555">
        <v>0</v>
      </c>
      <c r="V40" s="1533">
        <v>0</v>
      </c>
      <c r="W40" s="1532">
        <v>575</v>
      </c>
      <c r="X40" s="1534">
        <v>1641</v>
      </c>
      <c r="Y40" s="1514"/>
      <c r="Z40" s="1514"/>
    </row>
    <row r="41" spans="1:26" ht="12.75" x14ac:dyDescent="0.2">
      <c r="A41" s="1524"/>
      <c r="B41" s="1542"/>
      <c r="C41" s="1542"/>
      <c r="D41" s="1553" t="s">
        <v>654</v>
      </c>
      <c r="E41" s="1554">
        <v>581</v>
      </c>
      <c r="F41" s="1533">
        <v>1632</v>
      </c>
      <c r="G41" s="1554">
        <v>36</v>
      </c>
      <c r="H41" s="1533">
        <v>1387</v>
      </c>
      <c r="I41" s="1554">
        <v>37</v>
      </c>
      <c r="J41" s="1533">
        <v>1970</v>
      </c>
      <c r="K41" s="1554">
        <v>459</v>
      </c>
      <c r="L41" s="1533">
        <v>2517</v>
      </c>
      <c r="M41" s="1555">
        <v>142</v>
      </c>
      <c r="N41" s="1533">
        <v>2437</v>
      </c>
      <c r="O41" s="1555">
        <v>100</v>
      </c>
      <c r="P41" s="1533">
        <v>2649</v>
      </c>
      <c r="Q41" s="1555">
        <v>37</v>
      </c>
      <c r="R41" s="1533">
        <v>4901</v>
      </c>
      <c r="S41" s="1555">
        <v>23</v>
      </c>
      <c r="T41" s="1533">
        <v>1645</v>
      </c>
      <c r="U41" s="1555">
        <v>6</v>
      </c>
      <c r="V41" s="1533">
        <v>1099</v>
      </c>
      <c r="W41" s="1532">
        <v>1422</v>
      </c>
      <c r="X41" s="1534">
        <v>2155</v>
      </c>
      <c r="Y41" s="1514"/>
      <c r="Z41" s="1514"/>
    </row>
    <row r="42" spans="1:26" ht="12.75" x14ac:dyDescent="0.2">
      <c r="A42" s="1524"/>
      <c r="B42" s="1542"/>
      <c r="C42" s="1542"/>
      <c r="D42" s="1553" t="s">
        <v>655</v>
      </c>
      <c r="E42" s="1554">
        <v>537</v>
      </c>
      <c r="F42" s="1533">
        <v>2000</v>
      </c>
      <c r="G42" s="1554">
        <v>79</v>
      </c>
      <c r="H42" s="1533">
        <v>1780</v>
      </c>
      <c r="I42" s="1554">
        <v>177</v>
      </c>
      <c r="J42" s="1533">
        <v>2747</v>
      </c>
      <c r="K42" s="1555">
        <v>715</v>
      </c>
      <c r="L42" s="1533">
        <v>2665</v>
      </c>
      <c r="M42" s="1555">
        <v>289</v>
      </c>
      <c r="N42" s="1533">
        <v>2852</v>
      </c>
      <c r="O42" s="1555">
        <v>180</v>
      </c>
      <c r="P42" s="1533">
        <v>2605</v>
      </c>
      <c r="Q42" s="1555">
        <v>145</v>
      </c>
      <c r="R42" s="1533">
        <v>2123</v>
      </c>
      <c r="S42" s="1555">
        <v>42</v>
      </c>
      <c r="T42" s="1533">
        <v>3038</v>
      </c>
      <c r="U42" s="1555">
        <v>7</v>
      </c>
      <c r="V42" s="1533">
        <v>2437</v>
      </c>
      <c r="W42" s="1532">
        <v>2171</v>
      </c>
      <c r="X42" s="1534">
        <v>2465</v>
      </c>
      <c r="Y42" s="1514"/>
      <c r="Z42" s="1514"/>
    </row>
    <row r="43" spans="1:26" ht="12.75" x14ac:dyDescent="0.2">
      <c r="A43" s="1524"/>
      <c r="B43" s="1542"/>
      <c r="C43" s="1542"/>
      <c r="D43" s="1553" t="s">
        <v>656</v>
      </c>
      <c r="E43" s="1554">
        <v>786</v>
      </c>
      <c r="F43" s="1533">
        <v>2833</v>
      </c>
      <c r="G43" s="1554">
        <v>264</v>
      </c>
      <c r="H43" s="1533">
        <v>2344</v>
      </c>
      <c r="I43" s="1554">
        <v>211</v>
      </c>
      <c r="J43" s="1533">
        <v>3568</v>
      </c>
      <c r="K43" s="1554">
        <v>1180</v>
      </c>
      <c r="L43" s="1533">
        <v>3975</v>
      </c>
      <c r="M43" s="1554">
        <v>1115</v>
      </c>
      <c r="N43" s="1533">
        <v>3644</v>
      </c>
      <c r="O43" s="1555">
        <v>385</v>
      </c>
      <c r="P43" s="1533">
        <v>3158</v>
      </c>
      <c r="Q43" s="1555">
        <v>402</v>
      </c>
      <c r="R43" s="1533">
        <v>2945</v>
      </c>
      <c r="S43" s="1555">
        <v>125</v>
      </c>
      <c r="T43" s="1533">
        <v>2345</v>
      </c>
      <c r="U43" s="1555">
        <v>59</v>
      </c>
      <c r="V43" s="1533">
        <v>2442</v>
      </c>
      <c r="W43" s="1532">
        <v>4526</v>
      </c>
      <c r="X43" s="1534">
        <v>3355</v>
      </c>
      <c r="Y43" s="1514"/>
      <c r="Z43" s="1514"/>
    </row>
    <row r="44" spans="1:26" ht="12.75" x14ac:dyDescent="0.2">
      <c r="A44" s="1524"/>
      <c r="B44" s="1542"/>
      <c r="C44" s="1542"/>
      <c r="D44" s="1556" t="s">
        <v>657</v>
      </c>
      <c r="E44" s="1554">
        <v>647</v>
      </c>
      <c r="F44" s="1533">
        <v>3270</v>
      </c>
      <c r="G44" s="1554">
        <v>629</v>
      </c>
      <c r="H44" s="1533">
        <v>3087</v>
      </c>
      <c r="I44" s="1554">
        <v>806</v>
      </c>
      <c r="J44" s="1533">
        <v>4362</v>
      </c>
      <c r="K44" s="1555">
        <v>1118</v>
      </c>
      <c r="L44" s="1533">
        <v>4983</v>
      </c>
      <c r="M44" s="1554">
        <v>1101</v>
      </c>
      <c r="N44" s="1533">
        <v>5045</v>
      </c>
      <c r="O44" s="1555">
        <v>655</v>
      </c>
      <c r="P44" s="1533">
        <v>4532</v>
      </c>
      <c r="Q44" s="1555">
        <v>625</v>
      </c>
      <c r="R44" s="1533">
        <v>4209</v>
      </c>
      <c r="S44" s="1555">
        <v>209</v>
      </c>
      <c r="T44" s="1533">
        <v>2821</v>
      </c>
      <c r="U44" s="1555">
        <v>175</v>
      </c>
      <c r="V44" s="1533">
        <v>2954</v>
      </c>
      <c r="W44" s="1532">
        <v>5965</v>
      </c>
      <c r="X44" s="1534">
        <v>4259</v>
      </c>
      <c r="Y44" s="1514"/>
      <c r="Z44" s="1514"/>
    </row>
    <row r="45" spans="1:26" ht="12.75" x14ac:dyDescent="0.2">
      <c r="A45" s="1524"/>
      <c r="B45" s="1542"/>
      <c r="C45" s="1542"/>
      <c r="D45" s="1553" t="s">
        <v>658</v>
      </c>
      <c r="E45" s="1554">
        <v>813</v>
      </c>
      <c r="F45" s="1533">
        <v>5551</v>
      </c>
      <c r="G45" s="1554">
        <v>643</v>
      </c>
      <c r="H45" s="1533">
        <v>5399</v>
      </c>
      <c r="I45" s="1554">
        <v>2250</v>
      </c>
      <c r="J45" s="1533">
        <v>6830</v>
      </c>
      <c r="K45" s="1554">
        <v>1341</v>
      </c>
      <c r="L45" s="1533">
        <v>8097</v>
      </c>
      <c r="M45" s="1555">
        <v>584</v>
      </c>
      <c r="N45" s="1533">
        <v>7822</v>
      </c>
      <c r="O45" s="1555">
        <v>582</v>
      </c>
      <c r="P45" s="1533">
        <v>7726</v>
      </c>
      <c r="Q45" s="1555">
        <v>567</v>
      </c>
      <c r="R45" s="1533">
        <v>7028</v>
      </c>
      <c r="S45" s="1555">
        <v>184</v>
      </c>
      <c r="T45" s="1533">
        <v>4380</v>
      </c>
      <c r="U45" s="1555">
        <v>935</v>
      </c>
      <c r="V45" s="1533">
        <v>5030</v>
      </c>
      <c r="W45" s="1532">
        <v>7898</v>
      </c>
      <c r="X45" s="1534">
        <v>6680</v>
      </c>
      <c r="Y45" s="1514"/>
      <c r="Z45" s="1514"/>
    </row>
    <row r="46" spans="1:26" ht="12.75" x14ac:dyDescent="0.2">
      <c r="A46" s="1524"/>
      <c r="B46" s="1542"/>
      <c r="C46" s="1542"/>
      <c r="D46" s="1553" t="s">
        <v>659</v>
      </c>
      <c r="E46" s="1554">
        <v>298</v>
      </c>
      <c r="F46" s="1533">
        <v>8781</v>
      </c>
      <c r="G46" s="1554">
        <v>160</v>
      </c>
      <c r="H46" s="1533">
        <v>8776</v>
      </c>
      <c r="I46" s="1554">
        <v>1421</v>
      </c>
      <c r="J46" s="1533">
        <v>12095</v>
      </c>
      <c r="K46" s="1555">
        <v>604</v>
      </c>
      <c r="L46" s="1533">
        <v>12682</v>
      </c>
      <c r="M46" s="1555">
        <v>235</v>
      </c>
      <c r="N46" s="1533">
        <v>12969</v>
      </c>
      <c r="O46" s="1555">
        <v>253</v>
      </c>
      <c r="P46" s="1533">
        <v>14388</v>
      </c>
      <c r="Q46" s="1555">
        <v>170</v>
      </c>
      <c r="R46" s="1533">
        <v>13363</v>
      </c>
      <c r="S46" s="1555">
        <v>53</v>
      </c>
      <c r="T46" s="1533">
        <v>9038</v>
      </c>
      <c r="U46" s="1555">
        <v>810</v>
      </c>
      <c r="V46" s="1533">
        <v>8290</v>
      </c>
      <c r="W46" s="1532">
        <v>4003</v>
      </c>
      <c r="X46" s="1534">
        <v>11244</v>
      </c>
      <c r="Y46" s="1514"/>
      <c r="Z46" s="1514"/>
    </row>
    <row r="47" spans="1:26" ht="12.75" x14ac:dyDescent="0.2">
      <c r="A47" s="1524"/>
      <c r="B47" s="1542"/>
      <c r="C47" s="1542"/>
      <c r="D47" s="1553" t="s">
        <v>660</v>
      </c>
      <c r="E47" s="1554">
        <v>244</v>
      </c>
      <c r="F47" s="1533">
        <v>13739</v>
      </c>
      <c r="G47" s="1554">
        <v>80</v>
      </c>
      <c r="H47" s="1533">
        <v>12233</v>
      </c>
      <c r="I47" s="1554">
        <v>1098</v>
      </c>
      <c r="J47" s="1533">
        <v>17788</v>
      </c>
      <c r="K47" s="1555">
        <v>509</v>
      </c>
      <c r="L47" s="1533">
        <v>16437</v>
      </c>
      <c r="M47" s="1555">
        <v>114</v>
      </c>
      <c r="N47" s="1533">
        <v>13448</v>
      </c>
      <c r="O47" s="1555">
        <v>137</v>
      </c>
      <c r="P47" s="1533">
        <v>19924</v>
      </c>
      <c r="Q47" s="1555">
        <v>137</v>
      </c>
      <c r="R47" s="1533">
        <v>15850</v>
      </c>
      <c r="S47" s="1555">
        <v>44</v>
      </c>
      <c r="T47" s="1533">
        <v>18394</v>
      </c>
      <c r="U47" s="1555">
        <v>632</v>
      </c>
      <c r="V47" s="1533">
        <v>12113</v>
      </c>
      <c r="W47" s="1532">
        <v>2994</v>
      </c>
      <c r="X47" s="1534">
        <v>15736</v>
      </c>
      <c r="Y47" s="1514"/>
      <c r="Z47" s="1514"/>
    </row>
    <row r="48" spans="1:26" ht="12.75" x14ac:dyDescent="0.2">
      <c r="A48" s="1524"/>
      <c r="B48" s="1542"/>
      <c r="C48" s="1542"/>
      <c r="D48" s="1553" t="s">
        <v>661</v>
      </c>
      <c r="E48" s="1554">
        <v>247</v>
      </c>
      <c r="F48" s="1533">
        <v>18582</v>
      </c>
      <c r="G48" s="1554">
        <v>114</v>
      </c>
      <c r="H48" s="1533">
        <v>17456</v>
      </c>
      <c r="I48" s="1554">
        <v>1254</v>
      </c>
      <c r="J48" s="1533">
        <v>23766</v>
      </c>
      <c r="K48" s="1555">
        <v>576</v>
      </c>
      <c r="L48" s="1533">
        <v>21510</v>
      </c>
      <c r="M48" s="1555">
        <v>90</v>
      </c>
      <c r="N48" s="1533">
        <v>25858</v>
      </c>
      <c r="O48" s="1555">
        <v>117</v>
      </c>
      <c r="P48" s="1533">
        <v>25665</v>
      </c>
      <c r="Q48" s="1555">
        <v>141</v>
      </c>
      <c r="R48" s="1533">
        <v>22885</v>
      </c>
      <c r="S48" s="1555">
        <v>83</v>
      </c>
      <c r="T48" s="1533">
        <v>21322</v>
      </c>
      <c r="U48" s="1555">
        <v>655</v>
      </c>
      <c r="V48" s="1533">
        <v>17615</v>
      </c>
      <c r="W48" s="1532">
        <v>3278</v>
      </c>
      <c r="X48" s="1534">
        <v>21555</v>
      </c>
      <c r="Y48" s="1514"/>
      <c r="Z48" s="1514"/>
    </row>
    <row r="49" spans="1:26" ht="12.75" x14ac:dyDescent="0.2">
      <c r="A49" s="1524"/>
      <c r="B49" s="1542"/>
      <c r="C49" s="1542"/>
      <c r="D49" s="1557" t="s">
        <v>662</v>
      </c>
      <c r="E49" s="1558">
        <v>151</v>
      </c>
      <c r="F49" s="1537">
        <v>25087</v>
      </c>
      <c r="G49" s="1558">
        <v>69</v>
      </c>
      <c r="H49" s="1537">
        <v>22865</v>
      </c>
      <c r="I49" s="1558">
        <v>946</v>
      </c>
      <c r="J49" s="1537">
        <v>34241</v>
      </c>
      <c r="K49" s="1559">
        <v>473</v>
      </c>
      <c r="L49" s="1537">
        <v>31149</v>
      </c>
      <c r="M49" s="1559">
        <v>47</v>
      </c>
      <c r="N49" s="1537">
        <v>25991</v>
      </c>
      <c r="O49" s="1559">
        <v>59</v>
      </c>
      <c r="P49" s="1537">
        <v>34313</v>
      </c>
      <c r="Q49" s="1559">
        <v>53</v>
      </c>
      <c r="R49" s="1537">
        <v>25852</v>
      </c>
      <c r="S49" s="1559">
        <v>27</v>
      </c>
      <c r="T49" s="1537">
        <v>25791</v>
      </c>
      <c r="U49" s="1559">
        <v>278</v>
      </c>
      <c r="V49" s="1537">
        <v>27412</v>
      </c>
      <c r="W49" s="1536">
        <v>2102</v>
      </c>
      <c r="X49" s="1538">
        <v>31111</v>
      </c>
      <c r="Y49" s="1514"/>
      <c r="Z49" s="1514"/>
    </row>
    <row r="50" spans="1:26" x14ac:dyDescent="0.2">
      <c r="A50" s="782"/>
      <c r="B50" s="899"/>
      <c r="C50" s="899"/>
      <c r="D50" s="1562"/>
      <c r="E50" s="1562"/>
      <c r="F50" s="1563"/>
      <c r="G50" s="1562"/>
      <c r="H50" s="1563"/>
      <c r="I50" s="1562"/>
      <c r="J50" s="1563"/>
      <c r="K50" s="1562"/>
      <c r="L50" s="1563"/>
      <c r="M50" s="1562"/>
      <c r="N50" s="1563"/>
      <c r="O50" s="1562"/>
      <c r="P50" s="1563"/>
      <c r="Q50" s="1521"/>
      <c r="R50" s="1521"/>
      <c r="S50" s="1522"/>
      <c r="T50" s="1522"/>
      <c r="U50" s="1522"/>
      <c r="V50" s="1522"/>
      <c r="W50" s="1564"/>
      <c r="X50" s="1522"/>
      <c r="Y50" s="1522"/>
      <c r="Z50" s="1522"/>
    </row>
    <row r="51" spans="1:26" ht="12.75" x14ac:dyDescent="0.2">
      <c r="A51" s="1524"/>
      <c r="B51" s="1542"/>
      <c r="C51" s="1542"/>
      <c r="D51" s="1543" t="s">
        <v>67</v>
      </c>
      <c r="E51" s="1544" t="s">
        <v>669</v>
      </c>
      <c r="F51" s="1545"/>
      <c r="G51" s="1546"/>
      <c r="H51" s="1545"/>
      <c r="I51" s="1547"/>
      <c r="J51" s="1545"/>
      <c r="K51" s="1546"/>
      <c r="L51" s="1545"/>
      <c r="M51" s="1546"/>
      <c r="N51" s="1545"/>
      <c r="O51" s="1547"/>
      <c r="P51" s="1545"/>
      <c r="Q51" s="1548"/>
      <c r="R51" s="1548"/>
      <c r="S51" s="1549"/>
      <c r="T51" s="1549"/>
      <c r="U51" s="1549"/>
      <c r="V51" s="1549"/>
      <c r="W51" s="1549"/>
      <c r="X51" s="1549"/>
      <c r="Y51" s="1522"/>
      <c r="Z51" s="1522"/>
    </row>
    <row r="52" spans="1:26" ht="12.75" x14ac:dyDescent="0.2">
      <c r="A52" s="1524"/>
      <c r="B52" s="1542"/>
      <c r="C52" s="1542"/>
      <c r="D52" s="1550"/>
      <c r="E52" s="4166" t="s">
        <v>19</v>
      </c>
      <c r="F52" s="4167"/>
      <c r="G52" s="4166" t="s">
        <v>20</v>
      </c>
      <c r="H52" s="4167"/>
      <c r="I52" s="4166" t="s">
        <v>664</v>
      </c>
      <c r="J52" s="4167"/>
      <c r="K52" s="4166" t="s">
        <v>665</v>
      </c>
      <c r="L52" s="4167"/>
      <c r="M52" s="4166" t="s">
        <v>23</v>
      </c>
      <c r="N52" s="4167"/>
      <c r="O52" s="4166" t="s">
        <v>24</v>
      </c>
      <c r="P52" s="4167"/>
      <c r="Q52" s="4166" t="s">
        <v>25</v>
      </c>
      <c r="R52" s="4167"/>
      <c r="S52" s="4166" t="s">
        <v>26</v>
      </c>
      <c r="T52" s="4167"/>
      <c r="U52" s="4166" t="s">
        <v>27</v>
      </c>
      <c r="V52" s="4167"/>
      <c r="W52" s="4168" t="s">
        <v>257</v>
      </c>
      <c r="X52" s="4169"/>
      <c r="Y52" s="1551"/>
      <c r="Z52" s="1551"/>
    </row>
    <row r="53" spans="1:26" ht="45" x14ac:dyDescent="0.2">
      <c r="A53" s="1524"/>
      <c r="B53" s="1542"/>
      <c r="C53" s="1542"/>
      <c r="D53" s="1552"/>
      <c r="E53" s="1527" t="s">
        <v>666</v>
      </c>
      <c r="F53" s="1528" t="s">
        <v>651</v>
      </c>
      <c r="G53" s="1527" t="s">
        <v>667</v>
      </c>
      <c r="H53" s="1528" t="s">
        <v>651</v>
      </c>
      <c r="I53" s="1527" t="s">
        <v>667</v>
      </c>
      <c r="J53" s="1528" t="s">
        <v>651</v>
      </c>
      <c r="K53" s="1527" t="s">
        <v>667</v>
      </c>
      <c r="L53" s="1528" t="s">
        <v>651</v>
      </c>
      <c r="M53" s="1527" t="s">
        <v>666</v>
      </c>
      <c r="N53" s="1528" t="s">
        <v>651</v>
      </c>
      <c r="O53" s="1527" t="s">
        <v>666</v>
      </c>
      <c r="P53" s="1528" t="s">
        <v>651</v>
      </c>
      <c r="Q53" s="1527" t="s">
        <v>666</v>
      </c>
      <c r="R53" s="1528" t="s">
        <v>651</v>
      </c>
      <c r="S53" s="1527" t="s">
        <v>666</v>
      </c>
      <c r="T53" s="1528" t="s">
        <v>651</v>
      </c>
      <c r="U53" s="1527" t="s">
        <v>666</v>
      </c>
      <c r="V53" s="1528" t="s">
        <v>651</v>
      </c>
      <c r="W53" s="1527" t="s">
        <v>667</v>
      </c>
      <c r="X53" s="1529" t="s">
        <v>651</v>
      </c>
      <c r="Y53" s="1514"/>
      <c r="Z53" s="1514"/>
    </row>
    <row r="54" spans="1:26" ht="12.75" x14ac:dyDescent="0.2">
      <c r="A54" s="782"/>
      <c r="B54" s="902"/>
      <c r="C54" s="1542"/>
      <c r="D54" s="1553" t="s">
        <v>653</v>
      </c>
      <c r="E54" s="1554">
        <v>319</v>
      </c>
      <c r="F54" s="1533">
        <v>1332</v>
      </c>
      <c r="G54" s="1554">
        <v>2</v>
      </c>
      <c r="H54" s="1533">
        <v>1500</v>
      </c>
      <c r="I54" s="1555">
        <v>0</v>
      </c>
      <c r="J54" s="1533">
        <v>0</v>
      </c>
      <c r="K54" s="1554">
        <v>148</v>
      </c>
      <c r="L54" s="1533">
        <v>1769</v>
      </c>
      <c r="M54" s="1555">
        <v>16</v>
      </c>
      <c r="N54" s="1533">
        <v>1874</v>
      </c>
      <c r="O54" s="1555">
        <v>19</v>
      </c>
      <c r="P54" s="1533">
        <v>1108</v>
      </c>
      <c r="Q54" s="1555">
        <v>22</v>
      </c>
      <c r="R54" s="1533">
        <v>1724</v>
      </c>
      <c r="S54" s="1555">
        <v>1</v>
      </c>
      <c r="T54" s="1533">
        <v>1150</v>
      </c>
      <c r="U54" s="1555">
        <v>0</v>
      </c>
      <c r="V54" s="1533">
        <v>0</v>
      </c>
      <c r="W54" s="1554">
        <v>526</v>
      </c>
      <c r="X54" s="1534">
        <v>1480</v>
      </c>
      <c r="Y54" s="1514"/>
      <c r="Z54" s="1514"/>
    </row>
    <row r="55" spans="1:26" ht="12.75" x14ac:dyDescent="0.2">
      <c r="A55" s="1524"/>
      <c r="B55" s="1542"/>
      <c r="C55" s="1542"/>
      <c r="D55" s="1553" t="s">
        <v>654</v>
      </c>
      <c r="E55" s="1554">
        <v>493</v>
      </c>
      <c r="F55" s="1533">
        <v>1520</v>
      </c>
      <c r="G55" s="1554">
        <v>42</v>
      </c>
      <c r="H55" s="1533">
        <v>4113</v>
      </c>
      <c r="I55" s="1554">
        <v>46</v>
      </c>
      <c r="J55" s="1533">
        <v>1923</v>
      </c>
      <c r="K55" s="1554">
        <v>450</v>
      </c>
      <c r="L55" s="1533">
        <v>2434</v>
      </c>
      <c r="M55" s="1555">
        <v>137</v>
      </c>
      <c r="N55" s="1533">
        <v>2532</v>
      </c>
      <c r="O55" s="1555">
        <v>94</v>
      </c>
      <c r="P55" s="1533">
        <v>3292</v>
      </c>
      <c r="Q55" s="1555">
        <v>51</v>
      </c>
      <c r="R55" s="1533">
        <v>3121</v>
      </c>
      <c r="S55" s="1555">
        <v>18</v>
      </c>
      <c r="T55" s="1533">
        <v>1771</v>
      </c>
      <c r="U55" s="1555">
        <v>11</v>
      </c>
      <c r="V55" s="1533">
        <v>2082</v>
      </c>
      <c r="W55" s="1554">
        <v>1342</v>
      </c>
      <c r="X55" s="1534">
        <v>2218</v>
      </c>
      <c r="Y55" s="1514"/>
      <c r="Z55" s="1514"/>
    </row>
    <row r="56" spans="1:26" ht="12.75" x14ac:dyDescent="0.2">
      <c r="A56" s="1524"/>
      <c r="B56" s="1542"/>
      <c r="C56" s="1542"/>
      <c r="D56" s="1553" t="s">
        <v>655</v>
      </c>
      <c r="E56" s="1554">
        <v>538</v>
      </c>
      <c r="F56" s="1533">
        <v>2118</v>
      </c>
      <c r="G56" s="1554">
        <v>61</v>
      </c>
      <c r="H56" s="1533">
        <v>1662</v>
      </c>
      <c r="I56" s="1554">
        <v>128</v>
      </c>
      <c r="J56" s="1533">
        <v>2989</v>
      </c>
      <c r="K56" s="1555">
        <v>694</v>
      </c>
      <c r="L56" s="1533">
        <v>3048</v>
      </c>
      <c r="M56" s="1555">
        <v>264</v>
      </c>
      <c r="N56" s="1533">
        <v>2581</v>
      </c>
      <c r="O56" s="1555">
        <v>212</v>
      </c>
      <c r="P56" s="1533">
        <v>2973</v>
      </c>
      <c r="Q56" s="1555">
        <v>173</v>
      </c>
      <c r="R56" s="1533">
        <v>2072</v>
      </c>
      <c r="S56" s="1555">
        <v>39</v>
      </c>
      <c r="T56" s="1533">
        <v>1830</v>
      </c>
      <c r="U56" s="1555">
        <v>31</v>
      </c>
      <c r="V56" s="1533">
        <v>1639</v>
      </c>
      <c r="W56" s="1554">
        <v>2140</v>
      </c>
      <c r="X56" s="1534">
        <v>2585</v>
      </c>
      <c r="Y56" s="1514"/>
      <c r="Z56" s="1514"/>
    </row>
    <row r="57" spans="1:26" ht="12.75" x14ac:dyDescent="0.2">
      <c r="A57" s="1524"/>
      <c r="B57" s="1542"/>
      <c r="C57" s="1542"/>
      <c r="D57" s="1553" t="s">
        <v>656</v>
      </c>
      <c r="E57" s="1554">
        <v>741</v>
      </c>
      <c r="F57" s="1533">
        <v>2332</v>
      </c>
      <c r="G57" s="1554">
        <v>218</v>
      </c>
      <c r="H57" s="1533">
        <v>2608</v>
      </c>
      <c r="I57" s="1554">
        <v>271</v>
      </c>
      <c r="J57" s="1533">
        <v>3767</v>
      </c>
      <c r="K57" s="1554">
        <v>1119</v>
      </c>
      <c r="L57" s="1533">
        <v>3716</v>
      </c>
      <c r="M57" s="1554">
        <v>987</v>
      </c>
      <c r="N57" s="1533">
        <v>3443</v>
      </c>
      <c r="O57" s="1555">
        <v>323</v>
      </c>
      <c r="P57" s="1533">
        <v>3161</v>
      </c>
      <c r="Q57" s="1555">
        <v>458</v>
      </c>
      <c r="R57" s="1533">
        <v>3097</v>
      </c>
      <c r="S57" s="1555">
        <v>96</v>
      </c>
      <c r="T57" s="1533">
        <v>2584</v>
      </c>
      <c r="U57" s="1555">
        <v>119</v>
      </c>
      <c r="V57" s="1533">
        <v>2717</v>
      </c>
      <c r="W57" s="1554">
        <v>4332</v>
      </c>
      <c r="X57" s="1534">
        <v>3205</v>
      </c>
      <c r="Y57" s="1514"/>
      <c r="Z57" s="1514"/>
    </row>
    <row r="58" spans="1:26" ht="12.75" x14ac:dyDescent="0.2">
      <c r="A58" s="1524"/>
      <c r="B58" s="1542"/>
      <c r="C58" s="1542"/>
      <c r="D58" s="1556" t="s">
        <v>657</v>
      </c>
      <c r="E58" s="1554">
        <v>688</v>
      </c>
      <c r="F58" s="1533">
        <v>3559</v>
      </c>
      <c r="G58" s="1554">
        <v>492</v>
      </c>
      <c r="H58" s="1533">
        <v>3413</v>
      </c>
      <c r="I58" s="1554">
        <v>925</v>
      </c>
      <c r="J58" s="1533">
        <v>4362</v>
      </c>
      <c r="K58" s="1555">
        <v>1082</v>
      </c>
      <c r="L58" s="1533">
        <v>5084</v>
      </c>
      <c r="M58" s="1554">
        <v>1075</v>
      </c>
      <c r="N58" s="1533">
        <v>4743</v>
      </c>
      <c r="O58" s="1555">
        <v>710</v>
      </c>
      <c r="P58" s="1533">
        <v>4802</v>
      </c>
      <c r="Q58" s="1555">
        <v>645</v>
      </c>
      <c r="R58" s="1533">
        <v>4345</v>
      </c>
      <c r="S58" s="1555">
        <v>171</v>
      </c>
      <c r="T58" s="1533">
        <v>2882</v>
      </c>
      <c r="U58" s="1555">
        <v>299</v>
      </c>
      <c r="V58" s="1533">
        <v>3263</v>
      </c>
      <c r="W58" s="1554">
        <v>6087</v>
      </c>
      <c r="X58" s="1534">
        <v>4344</v>
      </c>
      <c r="Y58" s="1514"/>
      <c r="Z58" s="1514"/>
    </row>
    <row r="59" spans="1:26" ht="12.75" x14ac:dyDescent="0.2">
      <c r="A59" s="1524"/>
      <c r="B59" s="1542"/>
      <c r="C59" s="1542"/>
      <c r="D59" s="1553" t="s">
        <v>658</v>
      </c>
      <c r="E59" s="1554">
        <v>752</v>
      </c>
      <c r="F59" s="1533">
        <v>5175</v>
      </c>
      <c r="G59" s="1554">
        <v>662</v>
      </c>
      <c r="H59" s="1533">
        <v>5352</v>
      </c>
      <c r="I59" s="1554">
        <v>2678</v>
      </c>
      <c r="J59" s="1533">
        <v>7410</v>
      </c>
      <c r="K59" s="1554">
        <v>1286</v>
      </c>
      <c r="L59" s="1533">
        <v>8515</v>
      </c>
      <c r="M59" s="1555">
        <v>676</v>
      </c>
      <c r="N59" s="1533">
        <v>7584</v>
      </c>
      <c r="O59" s="1555">
        <v>759</v>
      </c>
      <c r="P59" s="1533">
        <v>7756</v>
      </c>
      <c r="Q59" s="1555">
        <v>536</v>
      </c>
      <c r="R59" s="1533">
        <v>6640</v>
      </c>
      <c r="S59" s="1555">
        <v>226</v>
      </c>
      <c r="T59" s="1533">
        <v>5222</v>
      </c>
      <c r="U59" s="1555">
        <v>1260</v>
      </c>
      <c r="V59" s="1533">
        <v>4994</v>
      </c>
      <c r="W59" s="1554">
        <v>8836</v>
      </c>
      <c r="X59" s="1534">
        <v>6822</v>
      </c>
      <c r="Y59" s="1514"/>
      <c r="Z59" s="1514"/>
    </row>
    <row r="60" spans="1:26" ht="12.75" x14ac:dyDescent="0.2">
      <c r="A60" s="1524"/>
      <c r="B60" s="1542"/>
      <c r="C60" s="1542"/>
      <c r="D60" s="1553" t="s">
        <v>659</v>
      </c>
      <c r="E60" s="1554">
        <v>359</v>
      </c>
      <c r="F60" s="1533">
        <v>9170</v>
      </c>
      <c r="G60" s="1554">
        <v>160</v>
      </c>
      <c r="H60" s="1533">
        <v>9136</v>
      </c>
      <c r="I60" s="1554">
        <v>1692</v>
      </c>
      <c r="J60" s="1533">
        <v>13871</v>
      </c>
      <c r="K60" s="1555">
        <v>629</v>
      </c>
      <c r="L60" s="1533">
        <v>13471</v>
      </c>
      <c r="M60" s="1555">
        <v>193</v>
      </c>
      <c r="N60" s="1533">
        <v>13486</v>
      </c>
      <c r="O60" s="1555">
        <v>264</v>
      </c>
      <c r="P60" s="1533">
        <v>14605</v>
      </c>
      <c r="Q60" s="1555">
        <v>250</v>
      </c>
      <c r="R60" s="1533">
        <v>11647</v>
      </c>
      <c r="S60" s="1555">
        <v>87</v>
      </c>
      <c r="T60" s="1533">
        <v>8687</v>
      </c>
      <c r="U60" s="1555">
        <v>938</v>
      </c>
      <c r="V60" s="1533">
        <v>8000</v>
      </c>
      <c r="W60" s="1554">
        <v>4572</v>
      </c>
      <c r="X60" s="1534">
        <v>11882</v>
      </c>
      <c r="Y60" s="1514"/>
      <c r="Z60" s="1514"/>
    </row>
    <row r="61" spans="1:26" ht="12.75" x14ac:dyDescent="0.2">
      <c r="A61" s="1524"/>
      <c r="B61" s="1542"/>
      <c r="C61" s="1542"/>
      <c r="D61" s="1553" t="s">
        <v>660</v>
      </c>
      <c r="E61" s="1554">
        <v>242</v>
      </c>
      <c r="F61" s="1533">
        <v>13524</v>
      </c>
      <c r="G61" s="1554">
        <v>118</v>
      </c>
      <c r="H61" s="1533">
        <v>12390</v>
      </c>
      <c r="I61" s="1554">
        <v>1258</v>
      </c>
      <c r="J61" s="1533">
        <v>18853</v>
      </c>
      <c r="K61" s="1555">
        <v>500</v>
      </c>
      <c r="L61" s="1533">
        <v>18678</v>
      </c>
      <c r="M61" s="1555">
        <v>132</v>
      </c>
      <c r="N61" s="1533">
        <v>12557</v>
      </c>
      <c r="O61" s="1555">
        <v>161</v>
      </c>
      <c r="P61" s="1533">
        <v>21688</v>
      </c>
      <c r="Q61" s="1555">
        <v>163</v>
      </c>
      <c r="R61" s="1533">
        <v>15738</v>
      </c>
      <c r="S61" s="1555">
        <v>48</v>
      </c>
      <c r="T61" s="1533">
        <v>16681</v>
      </c>
      <c r="U61" s="1555">
        <v>652</v>
      </c>
      <c r="V61" s="1533">
        <v>13110</v>
      </c>
      <c r="W61" s="1554">
        <v>3276</v>
      </c>
      <c r="X61" s="1534">
        <v>16754</v>
      </c>
      <c r="Y61" s="1514"/>
      <c r="Z61" s="1514"/>
    </row>
    <row r="62" spans="1:26" ht="12.75" x14ac:dyDescent="0.2">
      <c r="A62" s="1524"/>
      <c r="B62" s="1542"/>
      <c r="C62" s="1542"/>
      <c r="D62" s="1553" t="s">
        <v>661</v>
      </c>
      <c r="E62" s="1554">
        <v>281</v>
      </c>
      <c r="F62" s="1533">
        <v>19107</v>
      </c>
      <c r="G62" s="1554">
        <v>143</v>
      </c>
      <c r="H62" s="1533">
        <v>17194</v>
      </c>
      <c r="I62" s="1554">
        <v>1462</v>
      </c>
      <c r="J62" s="1533">
        <v>26920</v>
      </c>
      <c r="K62" s="1555">
        <v>618</v>
      </c>
      <c r="L62" s="1533">
        <v>24020</v>
      </c>
      <c r="M62" s="1555">
        <v>112</v>
      </c>
      <c r="N62" s="1533">
        <v>26250</v>
      </c>
      <c r="O62" s="1555">
        <v>156</v>
      </c>
      <c r="P62" s="1533">
        <v>27114</v>
      </c>
      <c r="Q62" s="1555">
        <v>125</v>
      </c>
      <c r="R62" s="1533">
        <v>19448</v>
      </c>
      <c r="S62" s="1555">
        <v>63</v>
      </c>
      <c r="T62" s="1533">
        <v>21200</v>
      </c>
      <c r="U62" s="1555">
        <v>742</v>
      </c>
      <c r="V62" s="1533">
        <v>19095</v>
      </c>
      <c r="W62" s="1554">
        <v>3703</v>
      </c>
      <c r="X62" s="1534">
        <v>23539</v>
      </c>
      <c r="Y62" s="1514"/>
      <c r="Z62" s="1514"/>
    </row>
    <row r="63" spans="1:26" ht="12.75" x14ac:dyDescent="0.2">
      <c r="A63" s="1524"/>
      <c r="B63" s="1542"/>
      <c r="C63" s="1542"/>
      <c r="D63" s="1557" t="s">
        <v>662</v>
      </c>
      <c r="E63" s="1558">
        <v>151</v>
      </c>
      <c r="F63" s="1537">
        <v>30482</v>
      </c>
      <c r="G63" s="1558">
        <v>66</v>
      </c>
      <c r="H63" s="1537">
        <v>26227</v>
      </c>
      <c r="I63" s="1558">
        <v>1056</v>
      </c>
      <c r="J63" s="1537">
        <v>39674</v>
      </c>
      <c r="K63" s="1559">
        <v>549</v>
      </c>
      <c r="L63" s="1537">
        <v>35913</v>
      </c>
      <c r="M63" s="1559">
        <v>54</v>
      </c>
      <c r="N63" s="1537">
        <v>34504</v>
      </c>
      <c r="O63" s="1559">
        <v>126</v>
      </c>
      <c r="P63" s="1537">
        <v>41061</v>
      </c>
      <c r="Q63" s="1559">
        <v>73</v>
      </c>
      <c r="R63" s="1537">
        <v>26686</v>
      </c>
      <c r="S63" s="1559">
        <v>14</v>
      </c>
      <c r="T63" s="1537">
        <v>29872</v>
      </c>
      <c r="U63" s="1559">
        <v>312</v>
      </c>
      <c r="V63" s="1537">
        <v>35912</v>
      </c>
      <c r="W63" s="1558">
        <v>2400</v>
      </c>
      <c r="X63" s="1538">
        <v>36883</v>
      </c>
      <c r="Y63" s="1514"/>
      <c r="Z63" s="1514"/>
    </row>
    <row r="64" spans="1:26" ht="12.75" x14ac:dyDescent="0.2">
      <c r="A64" s="1524"/>
      <c r="B64" s="1542"/>
      <c r="C64" s="1542"/>
      <c r="D64" s="1539"/>
      <c r="E64" s="1560"/>
      <c r="F64" s="1561"/>
      <c r="G64" s="1560"/>
      <c r="H64" s="1561"/>
      <c r="I64" s="1560"/>
      <c r="J64" s="1561"/>
      <c r="K64" s="1562"/>
      <c r="L64" s="1561"/>
      <c r="M64" s="1562"/>
      <c r="N64" s="1561"/>
      <c r="O64" s="1562"/>
      <c r="P64" s="1561"/>
      <c r="Q64" s="1562"/>
      <c r="R64" s="1561"/>
      <c r="S64" s="1562"/>
      <c r="T64" s="1561"/>
      <c r="U64" s="1562"/>
      <c r="V64" s="1561"/>
      <c r="W64" s="1560"/>
      <c r="X64" s="1561"/>
      <c r="Y64" s="1514"/>
      <c r="Z64" s="1514"/>
    </row>
    <row r="65" spans="1:26" ht="12.75" x14ac:dyDescent="0.2">
      <c r="A65" s="1524"/>
      <c r="B65" s="1542"/>
      <c r="C65" s="1542"/>
      <c r="D65" s="1543" t="s">
        <v>67</v>
      </c>
      <c r="E65" s="1544" t="s">
        <v>670</v>
      </c>
      <c r="F65" s="1545"/>
      <c r="G65" s="1546"/>
      <c r="H65" s="1545"/>
      <c r="I65" s="1547"/>
      <c r="J65" s="1545"/>
      <c r="K65" s="1546"/>
      <c r="L65" s="1545"/>
      <c r="M65" s="1546"/>
      <c r="N65" s="1545"/>
      <c r="O65" s="1547"/>
      <c r="P65" s="1545"/>
      <c r="Q65" s="1548"/>
      <c r="R65" s="1548"/>
      <c r="S65" s="1549"/>
      <c r="T65" s="1549"/>
      <c r="U65" s="1549"/>
      <c r="V65" s="1549"/>
      <c r="W65" s="1549"/>
      <c r="X65" s="1549"/>
      <c r="Y65" s="1514"/>
      <c r="Z65" s="1514"/>
    </row>
    <row r="66" spans="1:26" ht="12.75" x14ac:dyDescent="0.2">
      <c r="A66" s="1524"/>
      <c r="B66" s="1542"/>
      <c r="C66" s="1542"/>
      <c r="D66" s="1550"/>
      <c r="E66" s="4166" t="s">
        <v>19</v>
      </c>
      <c r="F66" s="4167"/>
      <c r="G66" s="4166" t="s">
        <v>20</v>
      </c>
      <c r="H66" s="4167"/>
      <c r="I66" s="4166" t="s">
        <v>664</v>
      </c>
      <c r="J66" s="4167"/>
      <c r="K66" s="4166" t="s">
        <v>665</v>
      </c>
      <c r="L66" s="4167"/>
      <c r="M66" s="4166" t="s">
        <v>23</v>
      </c>
      <c r="N66" s="4167"/>
      <c r="O66" s="4166" t="s">
        <v>24</v>
      </c>
      <c r="P66" s="4167"/>
      <c r="Q66" s="4166" t="s">
        <v>25</v>
      </c>
      <c r="R66" s="4167"/>
      <c r="S66" s="4166" t="s">
        <v>26</v>
      </c>
      <c r="T66" s="4167"/>
      <c r="U66" s="4166" t="s">
        <v>27</v>
      </c>
      <c r="V66" s="4167"/>
      <c r="W66" s="4168" t="s">
        <v>257</v>
      </c>
      <c r="X66" s="4169"/>
      <c r="Y66" s="1522"/>
      <c r="Z66" s="1522"/>
    </row>
    <row r="67" spans="1:26" ht="45" x14ac:dyDescent="0.2">
      <c r="A67" s="1524"/>
      <c r="B67" s="1542"/>
      <c r="C67" s="1542"/>
      <c r="D67" s="1552"/>
      <c r="E67" s="1527" t="s">
        <v>666</v>
      </c>
      <c r="F67" s="1528" t="s">
        <v>651</v>
      </c>
      <c r="G67" s="1527" t="s">
        <v>667</v>
      </c>
      <c r="H67" s="1528" t="s">
        <v>651</v>
      </c>
      <c r="I67" s="1527" t="s">
        <v>667</v>
      </c>
      <c r="J67" s="1528" t="s">
        <v>651</v>
      </c>
      <c r="K67" s="1527" t="s">
        <v>667</v>
      </c>
      <c r="L67" s="1528" t="s">
        <v>651</v>
      </c>
      <c r="M67" s="1527" t="s">
        <v>666</v>
      </c>
      <c r="N67" s="1528" t="s">
        <v>651</v>
      </c>
      <c r="O67" s="1527" t="s">
        <v>666</v>
      </c>
      <c r="P67" s="1528" t="s">
        <v>651</v>
      </c>
      <c r="Q67" s="1527" t="s">
        <v>666</v>
      </c>
      <c r="R67" s="1528" t="s">
        <v>651</v>
      </c>
      <c r="S67" s="1527" t="s">
        <v>666</v>
      </c>
      <c r="T67" s="1528" t="s">
        <v>651</v>
      </c>
      <c r="U67" s="1527" t="s">
        <v>666</v>
      </c>
      <c r="V67" s="1528" t="s">
        <v>651</v>
      </c>
      <c r="W67" s="1527" t="s">
        <v>667</v>
      </c>
      <c r="X67" s="1529" t="s">
        <v>651</v>
      </c>
      <c r="Y67" s="1551"/>
      <c r="Z67" s="1551"/>
    </row>
    <row r="68" spans="1:26" ht="12.75" x14ac:dyDescent="0.2">
      <c r="A68" s="1524"/>
      <c r="B68" s="1542"/>
      <c r="C68" s="1542"/>
      <c r="D68" s="1553" t="s">
        <v>653</v>
      </c>
      <c r="E68" s="1554">
        <v>383</v>
      </c>
      <c r="F68" s="1533">
        <v>1785</v>
      </c>
      <c r="G68" s="1554">
        <v>5</v>
      </c>
      <c r="H68" s="1533">
        <v>892</v>
      </c>
      <c r="I68" s="1555">
        <v>0</v>
      </c>
      <c r="J68" s="1533">
        <v>0</v>
      </c>
      <c r="K68" s="1554">
        <v>136</v>
      </c>
      <c r="L68" s="1533">
        <v>3180</v>
      </c>
      <c r="M68" s="1555">
        <v>19</v>
      </c>
      <c r="N68" s="1533">
        <v>2798</v>
      </c>
      <c r="O68" s="1555">
        <v>14</v>
      </c>
      <c r="P68" s="1533">
        <v>1585</v>
      </c>
      <c r="Q68" s="1555">
        <v>28</v>
      </c>
      <c r="R68" s="1533">
        <v>2646</v>
      </c>
      <c r="S68" s="1555">
        <v>5</v>
      </c>
      <c r="T68" s="1533">
        <v>1855</v>
      </c>
      <c r="U68" s="1555">
        <v>0</v>
      </c>
      <c r="V68" s="1533">
        <v>0</v>
      </c>
      <c r="W68" s="1532">
        <v>591</v>
      </c>
      <c r="X68" s="1534">
        <v>2168</v>
      </c>
      <c r="Y68" s="1514"/>
      <c r="Z68" s="1514"/>
    </row>
    <row r="69" spans="1:26" ht="12.75" x14ac:dyDescent="0.2">
      <c r="A69" s="782"/>
      <c r="B69" s="902"/>
      <c r="C69" s="1542"/>
      <c r="D69" s="1553" t="s">
        <v>654</v>
      </c>
      <c r="E69" s="1554">
        <v>382</v>
      </c>
      <c r="F69" s="1533">
        <v>2109</v>
      </c>
      <c r="G69" s="1554">
        <v>37</v>
      </c>
      <c r="H69" s="1533">
        <v>2210</v>
      </c>
      <c r="I69" s="1554">
        <v>12</v>
      </c>
      <c r="J69" s="1533">
        <v>2334</v>
      </c>
      <c r="K69" s="1554">
        <v>526</v>
      </c>
      <c r="L69" s="1533">
        <v>3391</v>
      </c>
      <c r="M69" s="1555">
        <v>94</v>
      </c>
      <c r="N69" s="1533">
        <v>3488</v>
      </c>
      <c r="O69" s="1555">
        <v>111</v>
      </c>
      <c r="P69" s="1533">
        <v>3288</v>
      </c>
      <c r="Q69" s="1555">
        <v>65</v>
      </c>
      <c r="R69" s="1533">
        <v>2545</v>
      </c>
      <c r="S69" s="1555">
        <v>21</v>
      </c>
      <c r="T69" s="1533">
        <v>2154</v>
      </c>
      <c r="U69" s="1555">
        <v>1</v>
      </c>
      <c r="V69" s="1533">
        <v>1680</v>
      </c>
      <c r="W69" s="1532">
        <v>1125</v>
      </c>
      <c r="X69" s="1534">
        <v>2886</v>
      </c>
      <c r="Y69" s="1514"/>
      <c r="Z69" s="1514"/>
    </row>
    <row r="70" spans="1:26" ht="12.75" x14ac:dyDescent="0.2">
      <c r="A70" s="1524"/>
      <c r="B70" s="1542"/>
      <c r="C70" s="1542"/>
      <c r="D70" s="1553" t="s">
        <v>655</v>
      </c>
      <c r="E70" s="1554">
        <v>535</v>
      </c>
      <c r="F70" s="1533">
        <v>2348</v>
      </c>
      <c r="G70" s="1554">
        <v>53</v>
      </c>
      <c r="H70" s="1533">
        <v>2450</v>
      </c>
      <c r="I70" s="1554">
        <v>214</v>
      </c>
      <c r="J70" s="1533">
        <v>5710</v>
      </c>
      <c r="K70" s="1555">
        <v>517</v>
      </c>
      <c r="L70" s="1533">
        <v>3277</v>
      </c>
      <c r="M70" s="1555">
        <v>310</v>
      </c>
      <c r="N70" s="1533">
        <v>3691</v>
      </c>
      <c r="O70" s="1555">
        <v>118</v>
      </c>
      <c r="P70" s="1533">
        <v>3632</v>
      </c>
      <c r="Q70" s="1555">
        <v>161</v>
      </c>
      <c r="R70" s="1533">
        <v>2851</v>
      </c>
      <c r="S70" s="1555">
        <v>18</v>
      </c>
      <c r="T70" s="1533">
        <v>3840</v>
      </c>
      <c r="U70" s="1555">
        <v>23</v>
      </c>
      <c r="V70" s="1533">
        <v>2126</v>
      </c>
      <c r="W70" s="1532">
        <v>1949</v>
      </c>
      <c r="X70" s="1534">
        <v>3307</v>
      </c>
      <c r="Y70" s="1514"/>
      <c r="Z70" s="1514"/>
    </row>
    <row r="71" spans="1:26" ht="12.75" x14ac:dyDescent="0.2">
      <c r="A71" s="1524"/>
      <c r="B71" s="1542"/>
      <c r="C71" s="1542"/>
      <c r="D71" s="1553" t="s">
        <v>656</v>
      </c>
      <c r="E71" s="1554">
        <v>727</v>
      </c>
      <c r="F71" s="1533">
        <v>2939</v>
      </c>
      <c r="G71" s="1554">
        <v>191</v>
      </c>
      <c r="H71" s="1533">
        <v>2726</v>
      </c>
      <c r="I71" s="1554">
        <v>238</v>
      </c>
      <c r="J71" s="1533">
        <v>3563</v>
      </c>
      <c r="K71" s="1554">
        <v>1240</v>
      </c>
      <c r="L71" s="1533">
        <v>4350</v>
      </c>
      <c r="M71" s="1554">
        <v>1093</v>
      </c>
      <c r="N71" s="1533">
        <v>4895</v>
      </c>
      <c r="O71" s="1555">
        <v>391</v>
      </c>
      <c r="P71" s="1533">
        <v>4052</v>
      </c>
      <c r="Q71" s="1555">
        <v>561</v>
      </c>
      <c r="R71" s="1533">
        <v>4078</v>
      </c>
      <c r="S71" s="1555">
        <v>98</v>
      </c>
      <c r="T71" s="1533">
        <v>3707</v>
      </c>
      <c r="U71" s="1555">
        <v>101</v>
      </c>
      <c r="V71" s="1533">
        <v>3871</v>
      </c>
      <c r="W71" s="1532">
        <v>4642</v>
      </c>
      <c r="X71" s="1534">
        <v>4068</v>
      </c>
      <c r="Y71" s="1514"/>
      <c r="Z71" s="1514"/>
    </row>
    <row r="72" spans="1:26" ht="12.75" x14ac:dyDescent="0.2">
      <c r="A72" s="1524"/>
      <c r="B72" s="1542"/>
      <c r="C72" s="1542"/>
      <c r="D72" s="1556" t="s">
        <v>657</v>
      </c>
      <c r="E72" s="1554">
        <v>654</v>
      </c>
      <c r="F72" s="1533">
        <v>4187</v>
      </c>
      <c r="G72" s="1554">
        <v>424</v>
      </c>
      <c r="H72" s="1533">
        <v>3690</v>
      </c>
      <c r="I72" s="1554">
        <v>946</v>
      </c>
      <c r="J72" s="1533">
        <v>4137</v>
      </c>
      <c r="K72" s="1555">
        <v>1187</v>
      </c>
      <c r="L72" s="1533">
        <v>5829</v>
      </c>
      <c r="M72" s="1554">
        <v>1111</v>
      </c>
      <c r="N72" s="1533">
        <v>6036</v>
      </c>
      <c r="O72" s="1555">
        <v>630</v>
      </c>
      <c r="P72" s="1533">
        <v>5059</v>
      </c>
      <c r="Q72" s="1555">
        <v>560</v>
      </c>
      <c r="R72" s="1533">
        <v>5859</v>
      </c>
      <c r="S72" s="1555">
        <v>147</v>
      </c>
      <c r="T72" s="1533">
        <v>4072</v>
      </c>
      <c r="U72" s="1555">
        <v>334</v>
      </c>
      <c r="V72" s="1533">
        <v>3449</v>
      </c>
      <c r="W72" s="1532">
        <v>5992</v>
      </c>
      <c r="X72" s="1534">
        <v>5016</v>
      </c>
      <c r="Y72" s="1514"/>
      <c r="Z72" s="1514"/>
    </row>
    <row r="73" spans="1:26" ht="12.75" x14ac:dyDescent="0.2">
      <c r="A73" s="1524"/>
      <c r="B73" s="1542"/>
      <c r="C73" s="1542"/>
      <c r="D73" s="1553" t="s">
        <v>658</v>
      </c>
      <c r="E73" s="1554">
        <v>841</v>
      </c>
      <c r="F73" s="1533">
        <v>6361</v>
      </c>
      <c r="G73" s="1554">
        <v>690</v>
      </c>
      <c r="H73" s="1533">
        <v>6016</v>
      </c>
      <c r="I73" s="1554">
        <v>2692</v>
      </c>
      <c r="J73" s="1533">
        <v>7323</v>
      </c>
      <c r="K73" s="1554">
        <v>1247</v>
      </c>
      <c r="L73" s="1533">
        <v>8629</v>
      </c>
      <c r="M73" s="1555">
        <v>631</v>
      </c>
      <c r="N73" s="1533">
        <v>9732</v>
      </c>
      <c r="O73" s="1555">
        <v>794</v>
      </c>
      <c r="P73" s="1533">
        <v>9072</v>
      </c>
      <c r="Q73" s="1555">
        <v>576</v>
      </c>
      <c r="R73" s="1533">
        <v>8529</v>
      </c>
      <c r="S73" s="1555">
        <v>251</v>
      </c>
      <c r="T73" s="1533">
        <v>5767</v>
      </c>
      <c r="U73" s="1555">
        <v>1170</v>
      </c>
      <c r="V73" s="1533">
        <v>5170</v>
      </c>
      <c r="W73" s="1532">
        <v>8893</v>
      </c>
      <c r="X73" s="1534">
        <v>7391</v>
      </c>
      <c r="Y73" s="1514"/>
      <c r="Z73" s="1514"/>
    </row>
    <row r="74" spans="1:26" ht="12.75" x14ac:dyDescent="0.2">
      <c r="A74" s="1524"/>
      <c r="B74" s="1542"/>
      <c r="C74" s="1542"/>
      <c r="D74" s="1553" t="s">
        <v>659</v>
      </c>
      <c r="E74" s="1554">
        <v>374</v>
      </c>
      <c r="F74" s="1533">
        <v>9440</v>
      </c>
      <c r="G74" s="1554">
        <v>239</v>
      </c>
      <c r="H74" s="1533">
        <v>10263</v>
      </c>
      <c r="I74" s="1554">
        <v>1910</v>
      </c>
      <c r="J74" s="1533">
        <v>15401</v>
      </c>
      <c r="K74" s="1555">
        <v>752</v>
      </c>
      <c r="L74" s="1533">
        <v>13599</v>
      </c>
      <c r="M74" s="1555">
        <v>138</v>
      </c>
      <c r="N74" s="1533">
        <v>12374</v>
      </c>
      <c r="O74" s="1555">
        <v>314</v>
      </c>
      <c r="P74" s="1533">
        <v>16044</v>
      </c>
      <c r="Q74" s="1555">
        <v>216</v>
      </c>
      <c r="R74" s="1533">
        <v>14111</v>
      </c>
      <c r="S74" s="1555">
        <v>83</v>
      </c>
      <c r="T74" s="1533">
        <v>9979</v>
      </c>
      <c r="U74" s="1555">
        <v>880</v>
      </c>
      <c r="V74" s="1533">
        <v>8273</v>
      </c>
      <c r="W74" s="1532">
        <v>4906</v>
      </c>
      <c r="X74" s="1534">
        <v>12949</v>
      </c>
      <c r="Y74" s="1514"/>
      <c r="Z74" s="1514"/>
    </row>
    <row r="75" spans="1:26" ht="12.75" x14ac:dyDescent="0.2">
      <c r="A75" s="1524"/>
      <c r="B75" s="1542"/>
      <c r="C75" s="1542"/>
      <c r="D75" s="1553" t="s">
        <v>660</v>
      </c>
      <c r="E75" s="1554">
        <v>262</v>
      </c>
      <c r="F75" s="1533">
        <v>14254</v>
      </c>
      <c r="G75" s="1554">
        <v>141</v>
      </c>
      <c r="H75" s="1533">
        <v>12484</v>
      </c>
      <c r="I75" s="1554">
        <v>1241</v>
      </c>
      <c r="J75" s="1533">
        <v>20173</v>
      </c>
      <c r="K75" s="1555">
        <v>482</v>
      </c>
      <c r="L75" s="1533">
        <v>18240</v>
      </c>
      <c r="M75" s="1555">
        <v>143</v>
      </c>
      <c r="N75" s="1533">
        <v>18939</v>
      </c>
      <c r="O75" s="1555">
        <v>182</v>
      </c>
      <c r="P75" s="1533">
        <v>19841</v>
      </c>
      <c r="Q75" s="1555">
        <v>144</v>
      </c>
      <c r="R75" s="1533">
        <v>19920</v>
      </c>
      <c r="S75" s="1555">
        <v>69</v>
      </c>
      <c r="T75" s="1533">
        <v>20445</v>
      </c>
      <c r="U75" s="1555">
        <v>657</v>
      </c>
      <c r="V75" s="1533">
        <v>11531</v>
      </c>
      <c r="W75" s="1532">
        <v>3321</v>
      </c>
      <c r="X75" s="1534">
        <v>17313</v>
      </c>
      <c r="Y75" s="1514"/>
      <c r="Z75" s="1514"/>
    </row>
    <row r="76" spans="1:26" ht="12.75" x14ac:dyDescent="0.2">
      <c r="A76" s="1524"/>
      <c r="B76" s="1542"/>
      <c r="C76" s="1542"/>
      <c r="D76" s="1553" t="s">
        <v>661</v>
      </c>
      <c r="E76" s="1554">
        <v>292</v>
      </c>
      <c r="F76" s="1533">
        <v>19488</v>
      </c>
      <c r="G76" s="1554">
        <v>122</v>
      </c>
      <c r="H76" s="1533">
        <v>20073</v>
      </c>
      <c r="I76" s="1554">
        <v>1500</v>
      </c>
      <c r="J76" s="1533">
        <v>29877</v>
      </c>
      <c r="K76" s="1555">
        <v>521</v>
      </c>
      <c r="L76" s="1533">
        <v>23056</v>
      </c>
      <c r="M76" s="1555">
        <v>95</v>
      </c>
      <c r="N76" s="1533">
        <v>26638</v>
      </c>
      <c r="O76" s="1555">
        <v>209</v>
      </c>
      <c r="P76" s="1533">
        <v>30136</v>
      </c>
      <c r="Q76" s="1555">
        <v>128</v>
      </c>
      <c r="R76" s="1533">
        <v>23866</v>
      </c>
      <c r="S76" s="1555">
        <v>61</v>
      </c>
      <c r="T76" s="1533">
        <v>25061</v>
      </c>
      <c r="U76" s="1555">
        <v>849</v>
      </c>
      <c r="V76" s="1533">
        <v>17631</v>
      </c>
      <c r="W76" s="1532">
        <v>3777</v>
      </c>
      <c r="X76" s="1534">
        <v>24716</v>
      </c>
      <c r="Y76" s="1514"/>
      <c r="Z76" s="1514"/>
    </row>
    <row r="77" spans="1:26" ht="12.75" x14ac:dyDescent="0.2">
      <c r="A77" s="1524"/>
      <c r="B77" s="1542"/>
      <c r="C77" s="1542"/>
      <c r="D77" s="1557" t="s">
        <v>662</v>
      </c>
      <c r="E77" s="1558">
        <v>144</v>
      </c>
      <c r="F77" s="1537">
        <v>30166</v>
      </c>
      <c r="G77" s="1558">
        <v>64</v>
      </c>
      <c r="H77" s="1537">
        <v>25914</v>
      </c>
      <c r="I77" s="1558">
        <v>971</v>
      </c>
      <c r="J77" s="1537">
        <v>43717</v>
      </c>
      <c r="K77" s="1559">
        <v>519</v>
      </c>
      <c r="L77" s="1537">
        <v>38151</v>
      </c>
      <c r="M77" s="1559">
        <v>25</v>
      </c>
      <c r="N77" s="1537">
        <v>34682</v>
      </c>
      <c r="O77" s="1559">
        <v>105</v>
      </c>
      <c r="P77" s="1537">
        <v>45724</v>
      </c>
      <c r="Q77" s="1559">
        <v>84</v>
      </c>
      <c r="R77" s="1537">
        <v>24661</v>
      </c>
      <c r="S77" s="1559">
        <v>21</v>
      </c>
      <c r="T77" s="1537">
        <v>27454</v>
      </c>
      <c r="U77" s="1559">
        <v>412</v>
      </c>
      <c r="V77" s="1537">
        <v>36683</v>
      </c>
      <c r="W77" s="1536">
        <v>2345</v>
      </c>
      <c r="X77" s="1538">
        <v>39097</v>
      </c>
      <c r="Y77" s="1514"/>
      <c r="Z77" s="1514"/>
    </row>
    <row r="78" spans="1:26" ht="12.75" x14ac:dyDescent="0.2">
      <c r="A78" s="1524"/>
      <c r="B78" s="1542"/>
      <c r="C78" s="1542"/>
      <c r="D78" s="1539" t="s">
        <v>671</v>
      </c>
      <c r="E78" s="1565">
        <f t="shared" ref="E78:X78" si="3">SUM(E75:E77)</f>
        <v>698</v>
      </c>
      <c r="F78" s="1565">
        <f t="shared" si="3"/>
        <v>63908</v>
      </c>
      <c r="G78" s="1565">
        <f t="shared" si="3"/>
        <v>327</v>
      </c>
      <c r="H78" s="1565">
        <f t="shared" si="3"/>
        <v>58471</v>
      </c>
      <c r="I78" s="1565">
        <f t="shared" si="3"/>
        <v>3712</v>
      </c>
      <c r="J78" s="1565">
        <f t="shared" si="3"/>
        <v>93767</v>
      </c>
      <c r="K78" s="1565">
        <f t="shared" si="3"/>
        <v>1522</v>
      </c>
      <c r="L78" s="1565">
        <f t="shared" si="3"/>
        <v>79447</v>
      </c>
      <c r="M78" s="1565">
        <f t="shared" si="3"/>
        <v>263</v>
      </c>
      <c r="N78" s="1565">
        <f t="shared" si="3"/>
        <v>80259</v>
      </c>
      <c r="O78" s="1565">
        <f t="shared" si="3"/>
        <v>496</v>
      </c>
      <c r="P78" s="1565">
        <f t="shared" si="3"/>
        <v>95701</v>
      </c>
      <c r="Q78" s="1565">
        <f t="shared" si="3"/>
        <v>356</v>
      </c>
      <c r="R78" s="1565">
        <f t="shared" si="3"/>
        <v>68447</v>
      </c>
      <c r="S78" s="1565">
        <f t="shared" si="3"/>
        <v>151</v>
      </c>
      <c r="T78" s="1565">
        <f t="shared" si="3"/>
        <v>72960</v>
      </c>
      <c r="U78" s="1565">
        <f t="shared" si="3"/>
        <v>1918</v>
      </c>
      <c r="V78" s="1565">
        <f t="shared" si="3"/>
        <v>65845</v>
      </c>
      <c r="W78" s="1565">
        <f t="shared" si="3"/>
        <v>9443</v>
      </c>
      <c r="X78" s="1565">
        <f t="shared" si="3"/>
        <v>81126</v>
      </c>
      <c r="Y78" s="1514"/>
      <c r="Z78" s="1514"/>
    </row>
    <row r="79" spans="1:26" x14ac:dyDescent="0.2">
      <c r="D79" s="1539"/>
      <c r="E79" s="1560"/>
      <c r="F79" s="1561"/>
      <c r="G79" s="1560"/>
      <c r="H79" s="1561"/>
      <c r="I79" s="1560"/>
      <c r="J79" s="1561"/>
      <c r="K79" s="1562"/>
      <c r="L79" s="1561"/>
      <c r="M79" s="1562"/>
      <c r="N79" s="1561"/>
      <c r="O79" s="1562"/>
      <c r="P79" s="1561"/>
      <c r="Q79" s="1562"/>
      <c r="R79" s="1561"/>
      <c r="S79" s="1562"/>
      <c r="T79" s="1561"/>
      <c r="U79" s="1562"/>
      <c r="V79" s="1561"/>
      <c r="W79" s="1560"/>
      <c r="X79" s="1561"/>
      <c r="Y79" s="1514"/>
      <c r="Z79" s="1514"/>
    </row>
    <row r="80" spans="1:26" x14ac:dyDescent="0.2">
      <c r="D80" s="1543" t="s">
        <v>67</v>
      </c>
      <c r="E80" s="1544" t="s">
        <v>672</v>
      </c>
      <c r="F80" s="1545"/>
      <c r="G80" s="1546"/>
      <c r="H80" s="1545"/>
      <c r="I80" s="1547"/>
      <c r="J80" s="1545"/>
      <c r="K80" s="1546"/>
      <c r="L80" s="1545"/>
      <c r="M80" s="1546"/>
      <c r="N80" s="1545"/>
      <c r="O80" s="1547"/>
      <c r="P80" s="1545"/>
      <c r="Q80" s="1548"/>
      <c r="R80" s="1548"/>
      <c r="S80" s="1549"/>
      <c r="T80" s="1549"/>
      <c r="U80" s="1549"/>
      <c r="V80" s="1549"/>
      <c r="W80" s="1549"/>
      <c r="X80" s="1549"/>
    </row>
    <row r="81" spans="1:34" x14ac:dyDescent="0.2">
      <c r="D81" s="1550"/>
      <c r="E81" s="4166" t="s">
        <v>19</v>
      </c>
      <c r="F81" s="4167"/>
      <c r="G81" s="4166" t="s">
        <v>20</v>
      </c>
      <c r="H81" s="4167"/>
      <c r="I81" s="4166" t="s">
        <v>664</v>
      </c>
      <c r="J81" s="4167"/>
      <c r="K81" s="4166" t="s">
        <v>665</v>
      </c>
      <c r="L81" s="4167"/>
      <c r="M81" s="4166" t="s">
        <v>23</v>
      </c>
      <c r="N81" s="4167"/>
      <c r="O81" s="4166" t="s">
        <v>24</v>
      </c>
      <c r="P81" s="4167"/>
      <c r="Q81" s="4166" t="s">
        <v>25</v>
      </c>
      <c r="R81" s="4167"/>
      <c r="S81" s="4166" t="s">
        <v>26</v>
      </c>
      <c r="T81" s="4167"/>
      <c r="U81" s="4166" t="s">
        <v>27</v>
      </c>
      <c r="V81" s="4167"/>
      <c r="W81" s="4168" t="s">
        <v>257</v>
      </c>
      <c r="X81" s="4169"/>
    </row>
    <row r="82" spans="1:34" ht="45" x14ac:dyDescent="0.2">
      <c r="D82" s="1552"/>
      <c r="E82" s="1527" t="s">
        <v>666</v>
      </c>
      <c r="F82" s="1528" t="s">
        <v>651</v>
      </c>
      <c r="G82" s="1527" t="s">
        <v>667</v>
      </c>
      <c r="H82" s="1528" t="s">
        <v>651</v>
      </c>
      <c r="I82" s="1527" t="s">
        <v>667</v>
      </c>
      <c r="J82" s="1528" t="s">
        <v>651</v>
      </c>
      <c r="K82" s="1527" t="s">
        <v>667</v>
      </c>
      <c r="L82" s="1528" t="s">
        <v>651</v>
      </c>
      <c r="M82" s="1527" t="s">
        <v>666</v>
      </c>
      <c r="N82" s="1528" t="s">
        <v>651</v>
      </c>
      <c r="O82" s="1527" t="s">
        <v>666</v>
      </c>
      <c r="P82" s="1528" t="s">
        <v>651</v>
      </c>
      <c r="Q82" s="1527" t="s">
        <v>666</v>
      </c>
      <c r="R82" s="1528" t="s">
        <v>651</v>
      </c>
      <c r="S82" s="1527" t="s">
        <v>666</v>
      </c>
      <c r="T82" s="1528" t="s">
        <v>651</v>
      </c>
      <c r="U82" s="1527" t="s">
        <v>666</v>
      </c>
      <c r="V82" s="1528" t="s">
        <v>651</v>
      </c>
      <c r="W82" s="1527" t="s">
        <v>667</v>
      </c>
      <c r="X82" s="1529" t="s">
        <v>651</v>
      </c>
    </row>
    <row r="83" spans="1:34" x14ac:dyDescent="0.2">
      <c r="D83" s="1553" t="s">
        <v>653</v>
      </c>
      <c r="E83" s="1554">
        <v>24</v>
      </c>
      <c r="F83" s="1533">
        <v>1600</v>
      </c>
      <c r="G83" s="1554">
        <v>13</v>
      </c>
      <c r="H83" s="1533">
        <v>1472</v>
      </c>
      <c r="I83" s="1555">
        <v>0</v>
      </c>
      <c r="J83" s="1533">
        <v>0</v>
      </c>
      <c r="K83" s="1554">
        <v>44</v>
      </c>
      <c r="L83" s="1533">
        <v>2873</v>
      </c>
      <c r="M83" s="1555">
        <v>27</v>
      </c>
      <c r="N83" s="1533">
        <v>7177</v>
      </c>
      <c r="O83" s="1555">
        <v>41</v>
      </c>
      <c r="P83" s="1533">
        <v>2415</v>
      </c>
      <c r="Q83" s="1555">
        <v>20</v>
      </c>
      <c r="R83" s="1533">
        <v>2712</v>
      </c>
      <c r="S83" s="1555">
        <v>4</v>
      </c>
      <c r="T83" s="1533">
        <v>2194</v>
      </c>
      <c r="U83" s="1555">
        <v>0</v>
      </c>
      <c r="V83" s="1533">
        <v>0</v>
      </c>
      <c r="W83" s="1532">
        <v>424</v>
      </c>
      <c r="X83" s="1534">
        <v>2225</v>
      </c>
    </row>
    <row r="84" spans="1:34" x14ac:dyDescent="0.2">
      <c r="D84" s="1553" t="s">
        <v>654</v>
      </c>
      <c r="E84" s="1554">
        <v>281</v>
      </c>
      <c r="F84" s="1533">
        <v>2577</v>
      </c>
      <c r="G84" s="1554">
        <v>24</v>
      </c>
      <c r="H84" s="1533">
        <v>2726</v>
      </c>
      <c r="I84" s="1554">
        <v>31</v>
      </c>
      <c r="J84" s="1533">
        <v>3494</v>
      </c>
      <c r="K84" s="1554">
        <v>465</v>
      </c>
      <c r="L84" s="1533">
        <v>3654</v>
      </c>
      <c r="M84" s="1555">
        <v>73</v>
      </c>
      <c r="N84" s="1533">
        <v>6478</v>
      </c>
      <c r="O84" s="1555">
        <v>85</v>
      </c>
      <c r="P84" s="1533">
        <v>2509</v>
      </c>
      <c r="Q84" s="1555">
        <v>59</v>
      </c>
      <c r="R84" s="1533">
        <v>2440</v>
      </c>
      <c r="S84" s="1555">
        <v>12</v>
      </c>
      <c r="T84" s="1533">
        <v>2614</v>
      </c>
      <c r="U84" s="1555">
        <v>3</v>
      </c>
      <c r="V84" s="1533">
        <v>1861</v>
      </c>
      <c r="W84" s="1532">
        <v>1034</v>
      </c>
      <c r="X84" s="1534">
        <v>3352</v>
      </c>
    </row>
    <row r="85" spans="1:34" x14ac:dyDescent="0.2">
      <c r="D85" s="1553" t="s">
        <v>655</v>
      </c>
      <c r="E85" s="1554">
        <v>599</v>
      </c>
      <c r="F85" s="1533">
        <v>2446</v>
      </c>
      <c r="G85" s="1554">
        <v>78</v>
      </c>
      <c r="H85" s="1533">
        <v>2658</v>
      </c>
      <c r="I85" s="1554">
        <v>177</v>
      </c>
      <c r="J85" s="1533">
        <v>3993</v>
      </c>
      <c r="K85" s="1555">
        <v>630</v>
      </c>
      <c r="L85" s="1533">
        <v>4416</v>
      </c>
      <c r="M85" s="1555">
        <v>332</v>
      </c>
      <c r="N85" s="1533">
        <v>3254</v>
      </c>
      <c r="O85" s="1555">
        <v>111</v>
      </c>
      <c r="P85" s="1533">
        <v>3563</v>
      </c>
      <c r="Q85" s="1555">
        <v>202</v>
      </c>
      <c r="R85" s="1533">
        <v>2797</v>
      </c>
      <c r="S85" s="1555">
        <v>42</v>
      </c>
      <c r="T85" s="1533">
        <v>2452</v>
      </c>
      <c r="U85" s="1555">
        <v>27</v>
      </c>
      <c r="V85" s="1533">
        <v>2726</v>
      </c>
      <c r="W85" s="1532">
        <v>2196</v>
      </c>
      <c r="X85" s="1534">
        <v>3357</v>
      </c>
    </row>
    <row r="86" spans="1:34" x14ac:dyDescent="0.2">
      <c r="D86" s="1553" t="s">
        <v>656</v>
      </c>
      <c r="E86" s="1554">
        <v>823</v>
      </c>
      <c r="F86" s="1533">
        <v>3206</v>
      </c>
      <c r="G86" s="1554">
        <v>168</v>
      </c>
      <c r="H86" s="1533">
        <v>3153</v>
      </c>
      <c r="I86" s="1554">
        <v>262</v>
      </c>
      <c r="J86" s="1533">
        <v>4832</v>
      </c>
      <c r="K86" s="1554">
        <v>1376</v>
      </c>
      <c r="L86" s="1533">
        <v>4714</v>
      </c>
      <c r="M86" s="1554">
        <v>1198</v>
      </c>
      <c r="N86" s="1533">
        <v>4405</v>
      </c>
      <c r="O86" s="1555">
        <v>395</v>
      </c>
      <c r="P86" s="1533">
        <v>4244</v>
      </c>
      <c r="Q86" s="1555">
        <v>537</v>
      </c>
      <c r="R86" s="1533">
        <v>3867</v>
      </c>
      <c r="S86" s="1555">
        <v>75</v>
      </c>
      <c r="T86" s="1533">
        <v>3415</v>
      </c>
      <c r="U86" s="1555">
        <v>75</v>
      </c>
      <c r="V86" s="1533">
        <v>2608</v>
      </c>
      <c r="W86" s="1532">
        <v>4909</v>
      </c>
      <c r="X86" s="1534">
        <v>4156</v>
      </c>
    </row>
    <row r="87" spans="1:34" x14ac:dyDescent="0.2">
      <c r="D87" s="1556" t="s">
        <v>657</v>
      </c>
      <c r="E87" s="1554">
        <v>711</v>
      </c>
      <c r="F87" s="1533">
        <v>4554</v>
      </c>
      <c r="G87" s="1554">
        <v>395</v>
      </c>
      <c r="H87" s="1533">
        <v>3604</v>
      </c>
      <c r="I87" s="1554">
        <v>1041</v>
      </c>
      <c r="J87" s="1533">
        <v>5162</v>
      </c>
      <c r="K87" s="1555">
        <v>1321</v>
      </c>
      <c r="L87" s="1533">
        <v>6196</v>
      </c>
      <c r="M87" s="1554">
        <v>1222</v>
      </c>
      <c r="N87" s="1533">
        <v>6126</v>
      </c>
      <c r="O87" s="1555">
        <v>637</v>
      </c>
      <c r="P87" s="1533">
        <v>7432</v>
      </c>
      <c r="Q87" s="1555">
        <v>652</v>
      </c>
      <c r="R87" s="1533">
        <v>6209</v>
      </c>
      <c r="S87" s="1555">
        <v>133</v>
      </c>
      <c r="T87" s="1533">
        <v>3805</v>
      </c>
      <c r="U87" s="1555">
        <v>296</v>
      </c>
      <c r="V87" s="1533">
        <v>3785</v>
      </c>
      <c r="W87" s="1532">
        <v>6409</v>
      </c>
      <c r="X87" s="1534">
        <v>5636</v>
      </c>
    </row>
    <row r="88" spans="1:34" x14ac:dyDescent="0.2">
      <c r="D88" s="1553" t="s">
        <v>658</v>
      </c>
      <c r="E88" s="1554">
        <v>853</v>
      </c>
      <c r="F88" s="1533">
        <v>6369</v>
      </c>
      <c r="G88" s="1554">
        <v>663</v>
      </c>
      <c r="H88" s="1533">
        <v>6560</v>
      </c>
      <c r="I88" s="1554">
        <v>2722</v>
      </c>
      <c r="J88" s="1533">
        <v>8136</v>
      </c>
      <c r="K88" s="1554">
        <v>1181</v>
      </c>
      <c r="L88" s="1533">
        <v>9084</v>
      </c>
      <c r="M88" s="1555">
        <v>487</v>
      </c>
      <c r="N88" s="1533">
        <v>9193</v>
      </c>
      <c r="O88" s="1555">
        <v>738</v>
      </c>
      <c r="P88" s="1533">
        <v>9349</v>
      </c>
      <c r="Q88" s="1555">
        <v>563</v>
      </c>
      <c r="R88" s="1533">
        <v>8621</v>
      </c>
      <c r="S88" s="1555">
        <v>249</v>
      </c>
      <c r="T88" s="1533">
        <v>5333</v>
      </c>
      <c r="U88" s="1555">
        <v>1251</v>
      </c>
      <c r="V88" s="1533">
        <v>6686</v>
      </c>
      <c r="W88" s="1532">
        <v>8707</v>
      </c>
      <c r="X88" s="1534">
        <v>7876</v>
      </c>
    </row>
    <row r="89" spans="1:34" x14ac:dyDescent="0.2">
      <c r="D89" s="1553" t="s">
        <v>659</v>
      </c>
      <c r="E89" s="1554">
        <v>436</v>
      </c>
      <c r="F89" s="1533">
        <v>10446</v>
      </c>
      <c r="G89" s="1554">
        <v>255</v>
      </c>
      <c r="H89" s="1533">
        <v>11900</v>
      </c>
      <c r="I89" s="1554">
        <v>1997</v>
      </c>
      <c r="J89" s="1533">
        <v>14534</v>
      </c>
      <c r="K89" s="1555">
        <v>562</v>
      </c>
      <c r="L89" s="1533">
        <v>13762</v>
      </c>
      <c r="M89" s="1555">
        <v>171</v>
      </c>
      <c r="N89" s="1533">
        <v>18286</v>
      </c>
      <c r="O89" s="1555">
        <v>348</v>
      </c>
      <c r="P89" s="1533">
        <v>16358</v>
      </c>
      <c r="Q89" s="1555">
        <v>225</v>
      </c>
      <c r="R89" s="1533">
        <v>15051</v>
      </c>
      <c r="S89" s="1555">
        <v>138</v>
      </c>
      <c r="T89" s="1533">
        <v>10417</v>
      </c>
      <c r="U89" s="1555">
        <v>1060</v>
      </c>
      <c r="V89" s="1533">
        <v>10493</v>
      </c>
      <c r="W89" s="1532">
        <v>5194</v>
      </c>
      <c r="X89" s="1534">
        <v>13311</v>
      </c>
    </row>
    <row r="90" spans="1:34" x14ac:dyDescent="0.2">
      <c r="D90" s="1553" t="s">
        <v>660</v>
      </c>
      <c r="E90" s="1554">
        <v>257</v>
      </c>
      <c r="F90" s="1533">
        <v>16028</v>
      </c>
      <c r="G90" s="1554">
        <v>169</v>
      </c>
      <c r="H90" s="1533">
        <v>17575</v>
      </c>
      <c r="I90" s="1554">
        <v>1381</v>
      </c>
      <c r="J90" s="1533">
        <v>23347</v>
      </c>
      <c r="K90" s="1555">
        <v>375</v>
      </c>
      <c r="L90" s="1533">
        <v>17321</v>
      </c>
      <c r="M90" s="1555">
        <v>80</v>
      </c>
      <c r="N90" s="1533">
        <v>21836</v>
      </c>
      <c r="O90" s="1555">
        <v>182</v>
      </c>
      <c r="P90" s="1533">
        <v>21350</v>
      </c>
      <c r="Q90" s="1555">
        <v>139</v>
      </c>
      <c r="R90" s="1533">
        <v>24272</v>
      </c>
      <c r="S90" s="1555">
        <v>60</v>
      </c>
      <c r="T90" s="1533">
        <v>12512</v>
      </c>
      <c r="U90" s="1555">
        <v>657</v>
      </c>
      <c r="V90" s="1533">
        <v>13433</v>
      </c>
      <c r="W90" s="1532">
        <v>3300</v>
      </c>
      <c r="X90" s="1534">
        <v>19516</v>
      </c>
    </row>
    <row r="91" spans="1:34" x14ac:dyDescent="0.2">
      <c r="D91" s="1553" t="s">
        <v>661</v>
      </c>
      <c r="E91" s="1554">
        <v>251</v>
      </c>
      <c r="F91" s="1533">
        <v>20509</v>
      </c>
      <c r="G91" s="1554">
        <v>157</v>
      </c>
      <c r="H91" s="1533">
        <v>20795</v>
      </c>
      <c r="I91" s="1554">
        <v>1470</v>
      </c>
      <c r="J91" s="1533">
        <v>31454</v>
      </c>
      <c r="K91" s="1555">
        <v>582</v>
      </c>
      <c r="L91" s="1533">
        <v>26432</v>
      </c>
      <c r="M91" s="1555">
        <v>48</v>
      </c>
      <c r="N91" s="1533">
        <v>27119</v>
      </c>
      <c r="O91" s="1555">
        <v>275</v>
      </c>
      <c r="P91" s="1533">
        <v>30095</v>
      </c>
      <c r="Q91" s="1555">
        <v>114</v>
      </c>
      <c r="R91" s="1533">
        <v>29285</v>
      </c>
      <c r="S91" s="1555">
        <v>61</v>
      </c>
      <c r="T91" s="1533">
        <v>19684</v>
      </c>
      <c r="U91" s="1555">
        <v>747</v>
      </c>
      <c r="V91" s="1533">
        <v>21053</v>
      </c>
      <c r="W91" s="1532">
        <v>3706</v>
      </c>
      <c r="X91" s="1534">
        <v>26957</v>
      </c>
    </row>
    <row r="92" spans="1:34" x14ac:dyDescent="0.2">
      <c r="D92" s="1557" t="s">
        <v>662</v>
      </c>
      <c r="E92" s="1558">
        <v>136</v>
      </c>
      <c r="F92" s="1537">
        <v>32500</v>
      </c>
      <c r="G92" s="1558">
        <v>48</v>
      </c>
      <c r="H92" s="1537">
        <v>33087</v>
      </c>
      <c r="I92" s="1558">
        <v>979</v>
      </c>
      <c r="J92" s="1537">
        <v>47501</v>
      </c>
      <c r="K92" s="1559">
        <v>642</v>
      </c>
      <c r="L92" s="1537">
        <v>37862</v>
      </c>
      <c r="M92" s="1559">
        <v>18</v>
      </c>
      <c r="N92" s="1537">
        <v>34887</v>
      </c>
      <c r="O92" s="1559">
        <v>110</v>
      </c>
      <c r="P92" s="1537">
        <v>46275</v>
      </c>
      <c r="Q92" s="1559">
        <v>43</v>
      </c>
      <c r="R92" s="1537">
        <v>39122</v>
      </c>
      <c r="S92" s="1559">
        <v>13</v>
      </c>
      <c r="T92" s="1537">
        <v>28957</v>
      </c>
      <c r="U92" s="1559">
        <v>391</v>
      </c>
      <c r="V92" s="1537">
        <v>36812</v>
      </c>
      <c r="W92" s="1536">
        <v>2381</v>
      </c>
      <c r="X92" s="1538">
        <v>41587</v>
      </c>
    </row>
    <row r="93" spans="1:34" s="1513" customFormat="1" x14ac:dyDescent="0.2">
      <c r="A93" s="1351"/>
      <c r="B93" s="1566"/>
      <c r="C93" s="1566"/>
      <c r="D93" s="1539" t="s">
        <v>671</v>
      </c>
      <c r="E93" s="1565">
        <f t="shared" ref="E93:X93" si="4">SUM(E90:E92)</f>
        <v>644</v>
      </c>
      <c r="F93" s="1565">
        <f t="shared" si="4"/>
        <v>69037</v>
      </c>
      <c r="G93" s="1565">
        <f t="shared" si="4"/>
        <v>374</v>
      </c>
      <c r="H93" s="1565">
        <f t="shared" si="4"/>
        <v>71457</v>
      </c>
      <c r="I93" s="1565">
        <f t="shared" si="4"/>
        <v>3830</v>
      </c>
      <c r="J93" s="1565">
        <f t="shared" si="4"/>
        <v>102302</v>
      </c>
      <c r="K93" s="1565">
        <f t="shared" si="4"/>
        <v>1599</v>
      </c>
      <c r="L93" s="1565">
        <f t="shared" si="4"/>
        <v>81615</v>
      </c>
      <c r="M93" s="1565">
        <f t="shared" si="4"/>
        <v>146</v>
      </c>
      <c r="N93" s="1565">
        <f t="shared" si="4"/>
        <v>83842</v>
      </c>
      <c r="O93" s="1565">
        <f t="shared" si="4"/>
        <v>567</v>
      </c>
      <c r="P93" s="1565">
        <f t="shared" si="4"/>
        <v>97720</v>
      </c>
      <c r="Q93" s="1565">
        <f t="shared" si="4"/>
        <v>296</v>
      </c>
      <c r="R93" s="1565">
        <f t="shared" si="4"/>
        <v>92679</v>
      </c>
      <c r="S93" s="1565">
        <f t="shared" si="4"/>
        <v>134</v>
      </c>
      <c r="T93" s="1565">
        <f t="shared" si="4"/>
        <v>61153</v>
      </c>
      <c r="U93" s="1565">
        <f t="shared" si="4"/>
        <v>1795</v>
      </c>
      <c r="V93" s="1565">
        <f t="shared" si="4"/>
        <v>71298</v>
      </c>
      <c r="W93" s="1565">
        <f t="shared" si="4"/>
        <v>9387</v>
      </c>
      <c r="X93" s="1565">
        <f t="shared" si="4"/>
        <v>88060</v>
      </c>
      <c r="AA93" s="1514"/>
      <c r="AB93" s="1514"/>
      <c r="AC93" s="1514"/>
      <c r="AD93" s="1514"/>
      <c r="AE93" s="1514"/>
      <c r="AF93" s="1514"/>
      <c r="AG93" s="1514"/>
      <c r="AH93" s="1514"/>
    </row>
    <row r="94" spans="1:34" s="1513" customFormat="1" x14ac:dyDescent="0.2">
      <c r="A94" s="1351"/>
      <c r="B94" s="1566"/>
      <c r="C94" s="1566"/>
      <c r="D94" s="1539"/>
      <c r="E94" s="1565"/>
      <c r="F94" s="1565"/>
      <c r="G94" s="1565"/>
      <c r="H94" s="1565"/>
      <c r="I94" s="1565"/>
      <c r="J94" s="1565"/>
      <c r="K94" s="1565"/>
      <c r="L94" s="1565"/>
      <c r="M94" s="1565"/>
      <c r="N94" s="1565"/>
      <c r="O94" s="1565"/>
      <c r="P94" s="1565"/>
      <c r="Q94" s="1565"/>
      <c r="R94" s="1565"/>
      <c r="S94" s="1565"/>
      <c r="T94" s="1565"/>
      <c r="U94" s="1565"/>
      <c r="V94" s="1565"/>
      <c r="W94" s="1565"/>
      <c r="X94" s="1565"/>
      <c r="AA94" s="1514"/>
      <c r="AB94" s="1514"/>
      <c r="AC94" s="1514"/>
      <c r="AD94" s="1514"/>
      <c r="AE94" s="1514"/>
      <c r="AF94" s="1514"/>
      <c r="AG94" s="1514"/>
      <c r="AH94" s="1514"/>
    </row>
    <row r="95" spans="1:34" ht="15" customHeight="1" x14ac:dyDescent="0.2">
      <c r="A95" s="782">
        <v>5</v>
      </c>
      <c r="B95" s="782" t="s">
        <v>29</v>
      </c>
      <c r="C95" s="782"/>
      <c r="D95" s="4170" t="s">
        <v>673</v>
      </c>
      <c r="E95" s="4171"/>
      <c r="F95" s="4171"/>
      <c r="G95" s="4171"/>
      <c r="H95" s="4171"/>
      <c r="I95" s="4171"/>
      <c r="J95" s="4171"/>
      <c r="K95" s="4171"/>
      <c r="L95" s="4171"/>
      <c r="M95" s="4171"/>
      <c r="N95" s="4171"/>
      <c r="O95" s="4171"/>
      <c r="P95" s="4171"/>
      <c r="Q95" s="4171"/>
      <c r="R95" s="4171"/>
      <c r="S95" s="4171"/>
      <c r="T95" s="4171"/>
      <c r="U95" s="4171"/>
      <c r="V95" s="4171"/>
      <c r="W95" s="4171"/>
      <c r="X95" s="4171"/>
      <c r="Y95" s="4171"/>
      <c r="Z95" s="4171"/>
      <c r="AA95" s="4171"/>
      <c r="AB95" s="4171"/>
      <c r="AC95" s="4171"/>
      <c r="AD95" s="4171"/>
      <c r="AE95" s="4171"/>
      <c r="AF95" s="4171"/>
      <c r="AG95" s="4171"/>
      <c r="AH95" s="4172"/>
    </row>
    <row r="96" spans="1:34" s="1567" customFormat="1" ht="12.75" customHeight="1" x14ac:dyDescent="0.2">
      <c r="A96" s="782">
        <v>6</v>
      </c>
      <c r="B96" s="782" t="s">
        <v>32</v>
      </c>
      <c r="C96" s="782"/>
      <c r="D96" s="4170" t="s">
        <v>674</v>
      </c>
      <c r="E96" s="4171"/>
      <c r="F96" s="4171"/>
      <c r="G96" s="4171"/>
      <c r="H96" s="4171"/>
      <c r="I96" s="4171"/>
      <c r="J96" s="4171"/>
      <c r="K96" s="4171"/>
      <c r="L96" s="4171"/>
      <c r="M96" s="4171"/>
      <c r="N96" s="4171"/>
      <c r="O96" s="4171"/>
      <c r="P96" s="4171"/>
      <c r="Q96" s="4171"/>
      <c r="R96" s="4171"/>
      <c r="S96" s="4171"/>
      <c r="T96" s="4171"/>
      <c r="U96" s="4171"/>
      <c r="V96" s="4171"/>
      <c r="W96" s="4171"/>
      <c r="X96" s="4171"/>
      <c r="Y96" s="4171"/>
      <c r="Z96" s="4171"/>
      <c r="AA96" s="4171"/>
      <c r="AB96" s="4171"/>
      <c r="AC96" s="4171"/>
      <c r="AD96" s="4171"/>
      <c r="AE96" s="4171"/>
      <c r="AF96" s="4171"/>
      <c r="AG96" s="4171"/>
      <c r="AH96" s="4172"/>
    </row>
    <row r="97" spans="1:34" ht="13.15" customHeight="1" x14ac:dyDescent="0.2">
      <c r="A97" s="782">
        <v>7</v>
      </c>
      <c r="B97" s="782" t="s">
        <v>31</v>
      </c>
      <c r="C97" s="782"/>
      <c r="D97" s="4170" t="s">
        <v>675</v>
      </c>
      <c r="E97" s="4171"/>
      <c r="F97" s="4171"/>
      <c r="G97" s="4171"/>
      <c r="H97" s="4171"/>
      <c r="I97" s="4171"/>
      <c r="J97" s="4171"/>
      <c r="K97" s="4171"/>
      <c r="L97" s="4171"/>
      <c r="M97" s="4171"/>
      <c r="N97" s="4171"/>
      <c r="O97" s="4171"/>
      <c r="P97" s="4171"/>
      <c r="Q97" s="4171"/>
      <c r="R97" s="4171"/>
      <c r="S97" s="4171"/>
      <c r="T97" s="4171"/>
      <c r="U97" s="4171"/>
      <c r="V97" s="4171"/>
      <c r="W97" s="4171"/>
      <c r="X97" s="4171"/>
      <c r="Y97" s="4171"/>
      <c r="Z97" s="4171"/>
      <c r="AA97" s="4171"/>
      <c r="AB97" s="4171"/>
      <c r="AC97" s="4171"/>
      <c r="AD97" s="4171"/>
      <c r="AE97" s="4171"/>
      <c r="AF97" s="4171"/>
      <c r="AG97" s="4171"/>
      <c r="AH97" s="4172"/>
    </row>
  </sheetData>
  <mergeCells count="71">
    <mergeCell ref="D95:AH95"/>
    <mergeCell ref="D96:AH96"/>
    <mergeCell ref="D97:AH97"/>
    <mergeCell ref="O81:P81"/>
    <mergeCell ref="Q81:R81"/>
    <mergeCell ref="S81:T81"/>
    <mergeCell ref="U81:V81"/>
    <mergeCell ref="W81:X81"/>
    <mergeCell ref="E81:F81"/>
    <mergeCell ref="G81:H81"/>
    <mergeCell ref="I81:J81"/>
    <mergeCell ref="K81:L81"/>
    <mergeCell ref="M81:N81"/>
    <mergeCell ref="O66:P66"/>
    <mergeCell ref="Q66:R66"/>
    <mergeCell ref="S66:T66"/>
    <mergeCell ref="U66:V66"/>
    <mergeCell ref="W66:X66"/>
    <mergeCell ref="E66:F66"/>
    <mergeCell ref="G66:H66"/>
    <mergeCell ref="I66:J66"/>
    <mergeCell ref="K66:L66"/>
    <mergeCell ref="M66:N66"/>
    <mergeCell ref="O52:P52"/>
    <mergeCell ref="Q52:R52"/>
    <mergeCell ref="S52:T52"/>
    <mergeCell ref="U52:V52"/>
    <mergeCell ref="W52:X52"/>
    <mergeCell ref="E52:F52"/>
    <mergeCell ref="G52:H52"/>
    <mergeCell ref="I52:J52"/>
    <mergeCell ref="K52:L52"/>
    <mergeCell ref="M52:N52"/>
    <mergeCell ref="W23:X23"/>
    <mergeCell ref="E38:F38"/>
    <mergeCell ref="G38:H38"/>
    <mergeCell ref="I38:J38"/>
    <mergeCell ref="K38:L38"/>
    <mergeCell ref="M38:N38"/>
    <mergeCell ref="O38:P38"/>
    <mergeCell ref="Q38:R38"/>
    <mergeCell ref="S38:T38"/>
    <mergeCell ref="U38:V38"/>
    <mergeCell ref="W38:X38"/>
    <mergeCell ref="O23:P23"/>
    <mergeCell ref="Q23:R23"/>
    <mergeCell ref="S23:T23"/>
    <mergeCell ref="S7:T7"/>
    <mergeCell ref="U7:V7"/>
    <mergeCell ref="U23:V23"/>
    <mergeCell ref="E23:F23"/>
    <mergeCell ref="G23:H23"/>
    <mergeCell ref="I23:J23"/>
    <mergeCell ref="K23:L23"/>
    <mergeCell ref="M23:N23"/>
    <mergeCell ref="D2:AH2"/>
    <mergeCell ref="D3:AH3"/>
    <mergeCell ref="D4:AH4"/>
    <mergeCell ref="E7:F7"/>
    <mergeCell ref="G7:H7"/>
    <mergeCell ref="I7:J7"/>
    <mergeCell ref="K7:L7"/>
    <mergeCell ref="M7:N7"/>
    <mergeCell ref="O7:P7"/>
    <mergeCell ref="Q7:R7"/>
    <mergeCell ref="AE7:AF7"/>
    <mergeCell ref="AG7:AH7"/>
    <mergeCell ref="W7:X7"/>
    <mergeCell ref="Y7:Z7"/>
    <mergeCell ref="AA7:AB7"/>
    <mergeCell ref="AC7:AD7"/>
  </mergeCells>
  <pageMargins left="0.74803149606299202" right="0.74803149606299202" top="0.98425196850393704" bottom="0.98425196850393704" header="0.511811023622047" footer="0.511811023622047"/>
  <pageSetup paperSize="9" scale="3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17"/>
  <sheetViews>
    <sheetView showGridLines="0" view="pageBreakPreview" zoomScale="115" zoomScaleNormal="100" zoomScaleSheetLayoutView="115" workbookViewId="0">
      <selection activeCell="D90" sqref="D90:S90"/>
    </sheetView>
  </sheetViews>
  <sheetFormatPr defaultColWidth="6" defaultRowHeight="15" x14ac:dyDescent="0.25"/>
  <cols>
    <col min="1" max="1" width="3.7109375" style="1680" customWidth="1"/>
    <col min="2" max="2" width="13.42578125" style="1681" customWidth="1"/>
    <col min="3" max="3" width="3.7109375" style="1681" customWidth="1"/>
    <col min="4" max="4" width="13.5703125" style="53" customWidth="1"/>
    <col min="5" max="18" width="6" style="53" customWidth="1"/>
    <col min="19" max="19" width="6.7109375" style="53" customWidth="1"/>
    <col min="20" max="247" width="9.140625" style="53" customWidth="1"/>
    <col min="248" max="248" width="3.7109375" style="53" customWidth="1"/>
    <col min="249" max="249" width="17" style="53" customWidth="1"/>
    <col min="250" max="250" width="3.7109375" style="53" customWidth="1"/>
    <col min="251" max="251" width="13.5703125" style="53" customWidth="1"/>
    <col min="252" max="252" width="5.42578125" style="53" customWidth="1"/>
    <col min="253" max="16384" width="6" style="53"/>
  </cols>
  <sheetData>
    <row r="1" spans="1:19" x14ac:dyDescent="0.25">
      <c r="A1" s="902"/>
      <c r="B1" s="179"/>
      <c r="C1" s="179"/>
      <c r="D1" s="125"/>
      <c r="E1" s="125"/>
      <c r="F1" s="125"/>
      <c r="G1" s="125"/>
      <c r="H1" s="125"/>
      <c r="I1" s="125"/>
      <c r="J1" s="125"/>
      <c r="K1" s="125"/>
      <c r="L1" s="125"/>
      <c r="M1" s="125"/>
      <c r="N1" s="125"/>
      <c r="O1" s="125"/>
      <c r="P1" s="125"/>
      <c r="Q1" s="125"/>
      <c r="R1" s="125"/>
      <c r="S1" s="125"/>
    </row>
    <row r="2" spans="1:19" ht="12.75" customHeight="1" x14ac:dyDescent="0.25">
      <c r="A2" s="902">
        <v>1</v>
      </c>
      <c r="B2" s="902" t="s">
        <v>0</v>
      </c>
      <c r="C2" s="902">
        <v>21</v>
      </c>
      <c r="D2" s="4048" t="s">
        <v>676</v>
      </c>
      <c r="E2" s="4174"/>
      <c r="F2" s="4174"/>
      <c r="G2" s="4174"/>
      <c r="H2" s="4174"/>
      <c r="I2" s="4174"/>
      <c r="J2" s="4174"/>
      <c r="K2" s="4174"/>
      <c r="L2" s="4174"/>
      <c r="M2" s="4174"/>
      <c r="N2" s="4174"/>
      <c r="O2" s="4174"/>
      <c r="P2" s="4174"/>
      <c r="Q2" s="4174"/>
      <c r="R2" s="4174"/>
      <c r="S2" s="4175"/>
    </row>
    <row r="3" spans="1:19" ht="12.75" customHeight="1" x14ac:dyDescent="0.25">
      <c r="A3" s="902">
        <v>2</v>
      </c>
      <c r="B3" s="902" t="s">
        <v>2</v>
      </c>
      <c r="C3" s="902"/>
      <c r="D3" s="4048" t="s">
        <v>647</v>
      </c>
      <c r="E3" s="4174"/>
      <c r="F3" s="4174"/>
      <c r="G3" s="4174"/>
      <c r="H3" s="4174"/>
      <c r="I3" s="4174"/>
      <c r="J3" s="4174"/>
      <c r="K3" s="4174"/>
      <c r="L3" s="4174"/>
      <c r="M3" s="4174"/>
      <c r="N3" s="4174"/>
      <c r="O3" s="4174"/>
      <c r="P3" s="4174"/>
      <c r="Q3" s="4174"/>
      <c r="R3" s="4174"/>
      <c r="S3" s="4175"/>
    </row>
    <row r="4" spans="1:19" ht="15.75" customHeight="1" x14ac:dyDescent="0.25">
      <c r="A4" s="902">
        <v>3</v>
      </c>
      <c r="B4" s="902" t="s">
        <v>4</v>
      </c>
      <c r="C4" s="902"/>
      <c r="D4" s="4048" t="s">
        <v>677</v>
      </c>
      <c r="E4" s="4176"/>
      <c r="F4" s="4176"/>
      <c r="G4" s="4176"/>
      <c r="H4" s="4176"/>
      <c r="I4" s="4176"/>
      <c r="J4" s="4176"/>
      <c r="K4" s="4176"/>
      <c r="L4" s="4176"/>
      <c r="M4" s="4176"/>
      <c r="N4" s="4176"/>
      <c r="O4" s="4176"/>
      <c r="P4" s="4176"/>
      <c r="Q4" s="4176"/>
      <c r="R4" s="4176"/>
      <c r="S4" s="4177"/>
    </row>
    <row r="5" spans="1:19" x14ac:dyDescent="0.25">
      <c r="A5" s="902">
        <v>4</v>
      </c>
      <c r="B5" s="902" t="s">
        <v>5</v>
      </c>
      <c r="C5" s="1568"/>
      <c r="D5" s="125"/>
      <c r="E5" s="125"/>
      <c r="F5" s="125"/>
      <c r="G5" s="125"/>
      <c r="H5" s="125"/>
      <c r="I5" s="125"/>
      <c r="J5" s="125"/>
      <c r="K5" s="125"/>
      <c r="L5" s="125"/>
      <c r="M5" s="125"/>
      <c r="N5" s="125"/>
      <c r="O5" s="125"/>
      <c r="P5" s="125"/>
      <c r="Q5" s="125"/>
      <c r="R5" s="125"/>
      <c r="S5" s="125"/>
    </row>
    <row r="6" spans="1:19" hidden="1" x14ac:dyDescent="0.25">
      <c r="A6" s="902"/>
      <c r="B6" s="179"/>
      <c r="C6" s="179"/>
      <c r="D6" s="122" t="s">
        <v>40</v>
      </c>
      <c r="E6" s="122"/>
      <c r="F6" s="122" t="s">
        <v>676</v>
      </c>
      <c r="G6" s="122"/>
      <c r="H6" s="122"/>
      <c r="I6" s="122"/>
      <c r="J6" s="122"/>
      <c r="K6" s="1569" t="s">
        <v>678</v>
      </c>
      <c r="L6" s="122"/>
      <c r="M6" s="122"/>
      <c r="N6" s="122"/>
      <c r="O6" s="125"/>
      <c r="P6" s="125"/>
      <c r="Q6" s="125"/>
      <c r="R6" s="125"/>
      <c r="S6" s="125"/>
    </row>
    <row r="7" spans="1:19" hidden="1" x14ac:dyDescent="0.25">
      <c r="A7" s="902"/>
      <c r="B7" s="179"/>
      <c r="C7" s="179"/>
      <c r="D7" s="820"/>
      <c r="E7" s="1570"/>
      <c r="F7" s="1571"/>
      <c r="G7" s="1571">
        <v>2000</v>
      </c>
      <c r="H7" s="1571">
        <v>2001</v>
      </c>
      <c r="I7" s="1571"/>
      <c r="J7" s="1571">
        <v>2002</v>
      </c>
      <c r="K7" s="1571">
        <v>2003</v>
      </c>
      <c r="L7" s="1571">
        <v>2004</v>
      </c>
      <c r="M7" s="1571">
        <v>2005</v>
      </c>
      <c r="N7" s="1571">
        <v>2006</v>
      </c>
      <c r="O7" s="1571">
        <v>2007</v>
      </c>
      <c r="P7" s="1571">
        <v>2008</v>
      </c>
      <c r="Q7" s="1571">
        <v>2009</v>
      </c>
      <c r="R7" s="1571">
        <v>2010</v>
      </c>
      <c r="S7" s="1363"/>
    </row>
    <row r="8" spans="1:19" ht="14.25" hidden="1" customHeight="1" x14ac:dyDescent="0.25">
      <c r="A8" s="902"/>
      <c r="B8" s="179"/>
      <c r="C8" s="179"/>
      <c r="D8" s="371" t="s">
        <v>679</v>
      </c>
      <c r="E8" s="122" t="s">
        <v>680</v>
      </c>
      <c r="F8" s="1572"/>
      <c r="G8" s="1572"/>
      <c r="H8" s="1572"/>
      <c r="I8" s="1572"/>
      <c r="J8" s="1572"/>
      <c r="K8" s="1572"/>
      <c r="L8" s="1572"/>
      <c r="M8" s="1572"/>
      <c r="N8" s="1572"/>
      <c r="O8" s="1572"/>
      <c r="P8" s="1572">
        <v>0.7</v>
      </c>
      <c r="Q8" s="1572"/>
      <c r="R8" s="1572">
        <v>0.68</v>
      </c>
      <c r="S8" s="1573"/>
    </row>
    <row r="9" spans="1:19" ht="14.25" hidden="1" customHeight="1" x14ac:dyDescent="0.25">
      <c r="A9" s="902"/>
      <c r="B9" s="179"/>
      <c r="C9" s="179"/>
      <c r="D9" s="138"/>
      <c r="E9" s="1574" t="s">
        <v>681</v>
      </c>
      <c r="P9" s="1021">
        <v>0.62</v>
      </c>
      <c r="Q9" s="1021"/>
      <c r="R9" s="1021">
        <v>0.62</v>
      </c>
    </row>
    <row r="10" spans="1:19" ht="14.25" hidden="1" customHeight="1" x14ac:dyDescent="0.25">
      <c r="A10" s="902"/>
      <c r="B10" s="179"/>
      <c r="C10" s="179"/>
      <c r="D10" s="138"/>
      <c r="E10" s="555" t="s">
        <v>682</v>
      </c>
      <c r="F10" s="1021"/>
      <c r="G10" s="1021"/>
      <c r="H10" s="1021"/>
      <c r="I10" s="1021"/>
      <c r="J10" s="1021"/>
      <c r="K10" s="1021"/>
      <c r="L10" s="1021"/>
      <c r="M10" s="1021"/>
      <c r="N10" s="1021"/>
      <c r="O10" s="1021"/>
      <c r="P10" s="1021">
        <v>0.54</v>
      </c>
      <c r="Q10" s="1021"/>
      <c r="R10" s="1021">
        <v>0.57999999999999996</v>
      </c>
      <c r="S10" s="1573"/>
    </row>
    <row r="11" spans="1:19" ht="14.25" hidden="1" customHeight="1" x14ac:dyDescent="0.25">
      <c r="A11" s="902"/>
      <c r="B11" s="179"/>
      <c r="C11" s="179"/>
      <c r="D11" s="138"/>
      <c r="E11" s="555" t="s">
        <v>683</v>
      </c>
      <c r="F11" s="1021"/>
      <c r="G11" s="1021"/>
      <c r="H11" s="1021"/>
      <c r="I11" s="1021"/>
      <c r="J11" s="1021"/>
      <c r="K11" s="1021"/>
      <c r="L11" s="1021"/>
      <c r="M11" s="1021"/>
      <c r="N11" s="1021"/>
      <c r="O11" s="1021"/>
      <c r="P11" s="1021">
        <v>0.6</v>
      </c>
      <c r="Q11" s="1021"/>
      <c r="R11" s="1021">
        <v>0.56000000000000005</v>
      </c>
      <c r="S11" s="1573"/>
    </row>
    <row r="12" spans="1:19" ht="14.25" hidden="1" customHeight="1" x14ac:dyDescent="0.25">
      <c r="A12" s="902"/>
      <c r="B12" s="179"/>
      <c r="C12" s="179"/>
      <c r="D12" s="138"/>
      <c r="E12" s="1575" t="s">
        <v>471</v>
      </c>
      <c r="F12" s="1576"/>
      <c r="G12" s="1576"/>
      <c r="H12" s="1576"/>
      <c r="I12" s="1576"/>
      <c r="J12" s="1576"/>
      <c r="K12" s="1576"/>
      <c r="L12" s="1576"/>
      <c r="M12" s="1576"/>
      <c r="N12" s="1576"/>
      <c r="O12" s="1576"/>
      <c r="P12" s="1576">
        <v>0.5</v>
      </c>
      <c r="Q12" s="1576"/>
      <c r="R12" s="1576">
        <v>0.44</v>
      </c>
      <c r="S12" s="1573"/>
    </row>
    <row r="13" spans="1:19" ht="14.25" hidden="1" customHeight="1" x14ac:dyDescent="0.25">
      <c r="A13" s="902"/>
      <c r="B13" s="179"/>
      <c r="C13" s="179"/>
      <c r="D13" s="138"/>
      <c r="E13" s="122" t="s">
        <v>684</v>
      </c>
      <c r="F13" s="1572"/>
      <c r="G13" s="1572"/>
      <c r="H13" s="1572"/>
      <c r="I13" s="1572"/>
      <c r="J13" s="1572"/>
      <c r="K13" s="1572"/>
      <c r="L13" s="1572"/>
      <c r="M13" s="1572"/>
      <c r="N13" s="1572"/>
      <c r="O13" s="1572"/>
      <c r="P13" s="1572">
        <v>0.7</v>
      </c>
      <c r="Q13" s="1572"/>
      <c r="R13" s="1572">
        <v>0.71</v>
      </c>
      <c r="S13" s="1573"/>
    </row>
    <row r="14" spans="1:19" ht="14.25" hidden="1" customHeight="1" x14ac:dyDescent="0.25">
      <c r="A14" s="902"/>
      <c r="B14" s="179"/>
      <c r="C14" s="179"/>
      <c r="D14" s="138"/>
      <c r="E14" s="1574" t="s">
        <v>681</v>
      </c>
      <c r="F14" s="1021"/>
      <c r="G14" s="1021"/>
      <c r="H14" s="1021"/>
      <c r="I14" s="1021"/>
      <c r="J14" s="1021"/>
      <c r="K14" s="1021"/>
      <c r="L14" s="1021"/>
      <c r="M14" s="1021"/>
      <c r="N14" s="1021"/>
      <c r="O14" s="1021"/>
      <c r="P14" s="1021">
        <v>0.62</v>
      </c>
      <c r="Q14" s="1021"/>
      <c r="R14" s="1021">
        <v>0.63</v>
      </c>
      <c r="S14" s="1573"/>
    </row>
    <row r="15" spans="1:19" ht="14.25" hidden="1" customHeight="1" x14ac:dyDescent="0.25">
      <c r="A15" s="902"/>
      <c r="B15" s="179"/>
      <c r="C15" s="179"/>
      <c r="D15" s="138"/>
      <c r="E15" s="555" t="s">
        <v>682</v>
      </c>
      <c r="F15" s="1021"/>
      <c r="G15" s="1021"/>
      <c r="H15" s="1021"/>
      <c r="I15" s="1021"/>
      <c r="J15" s="1021"/>
      <c r="K15" s="1021"/>
      <c r="L15" s="1021"/>
      <c r="M15" s="1021"/>
      <c r="N15" s="1021"/>
      <c r="O15" s="1021"/>
      <c r="P15" s="1021">
        <v>0.57999999999999996</v>
      </c>
      <c r="Q15" s="1021"/>
      <c r="R15" s="1021">
        <v>0.63</v>
      </c>
      <c r="S15" s="1573"/>
    </row>
    <row r="16" spans="1:19" ht="14.25" hidden="1" customHeight="1" x14ac:dyDescent="0.25">
      <c r="A16" s="902"/>
      <c r="B16" s="179"/>
      <c r="C16" s="179"/>
      <c r="D16" s="138"/>
      <c r="E16" s="555" t="s">
        <v>683</v>
      </c>
      <c r="F16" s="1021"/>
      <c r="G16" s="1021"/>
      <c r="H16" s="1021"/>
      <c r="I16" s="1021"/>
      <c r="J16" s="1021"/>
      <c r="K16" s="1021"/>
      <c r="L16" s="1021"/>
      <c r="M16" s="1021"/>
      <c r="N16" s="1021"/>
      <c r="O16" s="1021"/>
      <c r="P16" s="1021">
        <v>0.54</v>
      </c>
      <c r="Q16" s="1021"/>
      <c r="R16" s="1021">
        <v>0.45</v>
      </c>
      <c r="S16" s="1573"/>
    </row>
    <row r="17" spans="1:19" ht="14.25" hidden="1" customHeight="1" x14ac:dyDescent="0.25">
      <c r="A17" s="902"/>
      <c r="B17" s="179"/>
      <c r="C17" s="179"/>
      <c r="D17" s="821"/>
      <c r="E17" s="556" t="s">
        <v>471</v>
      </c>
      <c r="F17" s="1034"/>
      <c r="G17" s="1034"/>
      <c r="H17" s="1034"/>
      <c r="I17" s="1034"/>
      <c r="J17" s="1034"/>
      <c r="K17" s="1034"/>
      <c r="L17" s="1034"/>
      <c r="M17" s="1034"/>
      <c r="N17" s="1034"/>
      <c r="O17" s="1034"/>
      <c r="P17" s="1034">
        <v>0.48</v>
      </c>
      <c r="Q17" s="1034"/>
      <c r="R17" s="1034">
        <v>0.49</v>
      </c>
      <c r="S17" s="1573"/>
    </row>
    <row r="18" spans="1:19" ht="18" hidden="1" customHeight="1" x14ac:dyDescent="0.25">
      <c r="A18" s="902"/>
      <c r="B18" s="179"/>
      <c r="C18" s="179"/>
      <c r="D18" s="1577" t="s">
        <v>685</v>
      </c>
      <c r="E18" s="1577"/>
      <c r="F18" s="1578"/>
      <c r="G18" s="1578"/>
      <c r="H18" s="1578"/>
      <c r="I18" s="1578"/>
      <c r="J18" s="1578"/>
      <c r="K18" s="1578"/>
      <c r="L18" s="1578"/>
      <c r="M18" s="1578"/>
      <c r="N18" s="1578"/>
      <c r="O18" s="1578"/>
      <c r="P18" s="1578"/>
      <c r="Q18" s="1578"/>
      <c r="R18" s="1578"/>
      <c r="S18" s="1019"/>
    </row>
    <row r="19" spans="1:19" ht="15" hidden="1" customHeight="1" x14ac:dyDescent="0.25">
      <c r="A19" s="902"/>
      <c r="B19" s="179"/>
      <c r="C19" s="179"/>
      <c r="D19" s="139" t="s">
        <v>686</v>
      </c>
      <c r="E19" s="604" t="s">
        <v>680</v>
      </c>
      <c r="F19" s="1021"/>
      <c r="G19" s="1021"/>
      <c r="H19" s="1579"/>
      <c r="I19" s="1579"/>
      <c r="J19" s="1021"/>
      <c r="K19" s="1021"/>
      <c r="L19" s="1021"/>
      <c r="M19" s="1021"/>
      <c r="N19" s="1579"/>
      <c r="O19" s="1021"/>
      <c r="P19" s="1021">
        <v>0.69</v>
      </c>
      <c r="Q19" s="1021"/>
      <c r="R19" s="1021">
        <v>0.69</v>
      </c>
      <c r="S19" s="1019"/>
    </row>
    <row r="20" spans="1:19" hidden="1" x14ac:dyDescent="0.25">
      <c r="A20" s="902"/>
      <c r="B20" s="179"/>
      <c r="C20" s="179"/>
      <c r="D20" s="139"/>
      <c r="E20" s="1580" t="s">
        <v>687</v>
      </c>
      <c r="F20" s="1576"/>
      <c r="G20" s="1576"/>
      <c r="H20" s="1581"/>
      <c r="I20" s="1581"/>
      <c r="J20" s="1576"/>
      <c r="K20" s="1576"/>
      <c r="L20" s="1576"/>
      <c r="M20" s="1576"/>
      <c r="N20" s="1581"/>
      <c r="O20" s="1576"/>
      <c r="P20" s="1576">
        <v>0.66</v>
      </c>
      <c r="Q20" s="1576"/>
      <c r="R20" s="1576">
        <v>0.7</v>
      </c>
      <c r="S20" s="1019"/>
    </row>
    <row r="21" spans="1:19" hidden="1" x14ac:dyDescent="0.25">
      <c r="A21" s="902"/>
      <c r="B21" s="179"/>
      <c r="C21" s="179"/>
      <c r="D21" s="139" t="s">
        <v>688</v>
      </c>
      <c r="E21" s="604" t="s">
        <v>689</v>
      </c>
      <c r="F21" s="1021"/>
      <c r="G21" s="1021"/>
      <c r="H21" s="1579"/>
      <c r="I21" s="1579"/>
      <c r="J21" s="1021"/>
      <c r="K21" s="1021"/>
      <c r="L21" s="1021"/>
      <c r="M21" s="1021"/>
      <c r="N21" s="1579"/>
      <c r="O21" s="1021"/>
      <c r="P21" s="1021">
        <v>0.31</v>
      </c>
      <c r="Q21" s="1021"/>
      <c r="R21" s="1021">
        <v>0.27</v>
      </c>
      <c r="S21" s="1019"/>
    </row>
    <row r="22" spans="1:19" hidden="1" x14ac:dyDescent="0.25">
      <c r="A22" s="902"/>
      <c r="B22" s="179"/>
      <c r="C22" s="179"/>
      <c r="D22" s="139"/>
      <c r="E22" s="1580" t="s">
        <v>687</v>
      </c>
      <c r="F22" s="1576"/>
      <c r="G22" s="1576"/>
      <c r="H22" s="1581"/>
      <c r="I22" s="1581"/>
      <c r="J22" s="1576"/>
      <c r="K22" s="1576"/>
      <c r="L22" s="1576"/>
      <c r="M22" s="1576"/>
      <c r="N22" s="1581"/>
      <c r="O22" s="1576"/>
      <c r="P22" s="1576">
        <v>0.33</v>
      </c>
      <c r="Q22" s="1576"/>
      <c r="R22" s="1576">
        <v>0.32</v>
      </c>
      <c r="S22" s="1019"/>
    </row>
    <row r="23" spans="1:19" hidden="1" x14ac:dyDescent="0.25">
      <c r="A23" s="902"/>
      <c r="B23" s="179"/>
      <c r="C23" s="179"/>
      <c r="D23" s="139" t="s">
        <v>690</v>
      </c>
      <c r="E23" s="604" t="s">
        <v>689</v>
      </c>
      <c r="F23" s="1021"/>
      <c r="G23" s="1021"/>
      <c r="H23" s="1582"/>
      <c r="I23" s="1582"/>
      <c r="J23" s="1021"/>
      <c r="K23" s="1021"/>
      <c r="L23" s="1021"/>
      <c r="M23" s="1021"/>
      <c r="N23" s="1582"/>
      <c r="O23" s="1021"/>
      <c r="P23" s="1021">
        <v>0.31</v>
      </c>
      <c r="Q23" s="1021"/>
      <c r="R23" s="1021">
        <v>0.25</v>
      </c>
      <c r="S23" s="1573"/>
    </row>
    <row r="24" spans="1:19" hidden="1" x14ac:dyDescent="0.25">
      <c r="A24" s="902"/>
      <c r="B24" s="179"/>
      <c r="C24" s="179"/>
      <c r="D24" s="148"/>
      <c r="E24" s="603" t="s">
        <v>684</v>
      </c>
      <c r="F24" s="1034"/>
      <c r="G24" s="1034"/>
      <c r="H24" s="1034"/>
      <c r="I24" s="1034"/>
      <c r="J24" s="1034"/>
      <c r="K24" s="1034"/>
      <c r="L24" s="1034"/>
      <c r="M24" s="1034"/>
      <c r="N24" s="1034"/>
      <c r="O24" s="1034"/>
      <c r="P24" s="1034">
        <v>0.33</v>
      </c>
      <c r="Q24" s="1034"/>
      <c r="R24" s="1034">
        <v>0.33</v>
      </c>
      <c r="S24" s="1573"/>
    </row>
    <row r="25" spans="1:19" ht="15" hidden="1" customHeight="1" x14ac:dyDescent="0.25">
      <c r="A25" s="902"/>
      <c r="B25" s="179"/>
      <c r="C25" s="179"/>
      <c r="D25" s="189" t="s">
        <v>691</v>
      </c>
      <c r="E25" s="189"/>
      <c r="F25" s="1021"/>
      <c r="G25" s="1021"/>
      <c r="H25" s="1021"/>
      <c r="I25" s="1021"/>
      <c r="J25" s="1021"/>
      <c r="K25" s="1021"/>
      <c r="L25" s="1021"/>
      <c r="M25" s="1021"/>
      <c r="N25" s="1021"/>
      <c r="O25" s="1021"/>
      <c r="P25" s="1021"/>
      <c r="Q25" s="1021"/>
      <c r="R25" s="1021"/>
      <c r="S25" s="1019"/>
    </row>
    <row r="26" spans="1:19" ht="15" hidden="1" customHeight="1" x14ac:dyDescent="0.25">
      <c r="A26" s="902"/>
      <c r="B26" s="179"/>
      <c r="C26" s="179"/>
      <c r="D26" s="139" t="s">
        <v>686</v>
      </c>
      <c r="E26" s="604" t="s">
        <v>680</v>
      </c>
      <c r="F26" s="1021"/>
      <c r="G26" s="1021"/>
      <c r="H26" s="1579"/>
      <c r="I26" s="1579"/>
      <c r="J26" s="1021"/>
      <c r="K26" s="1021"/>
      <c r="L26" s="1021"/>
      <c r="M26" s="1021"/>
      <c r="N26" s="1579"/>
      <c r="O26" s="1021"/>
      <c r="P26" s="1021">
        <v>0.63</v>
      </c>
      <c r="Q26" s="1021"/>
      <c r="R26" s="1021">
        <v>0.61</v>
      </c>
      <c r="S26" s="1019"/>
    </row>
    <row r="27" spans="1:19" hidden="1" x14ac:dyDescent="0.25">
      <c r="A27" s="902"/>
      <c r="B27" s="179"/>
      <c r="C27" s="179"/>
      <c r="D27" s="139"/>
      <c r="E27" s="1580" t="s">
        <v>687</v>
      </c>
      <c r="F27" s="1576"/>
      <c r="G27" s="1576"/>
      <c r="H27" s="1581"/>
      <c r="I27" s="1581"/>
      <c r="J27" s="1576"/>
      <c r="K27" s="1576"/>
      <c r="L27" s="1576"/>
      <c r="M27" s="1576"/>
      <c r="N27" s="1581"/>
      <c r="O27" s="1576"/>
      <c r="P27" s="1576">
        <v>0.6</v>
      </c>
      <c r="Q27" s="1576"/>
      <c r="R27" s="1576">
        <v>0.66</v>
      </c>
      <c r="S27" s="1019"/>
    </row>
    <row r="28" spans="1:19" hidden="1" x14ac:dyDescent="0.25">
      <c r="A28" s="902"/>
      <c r="B28" s="179"/>
      <c r="C28" s="179"/>
      <c r="D28" s="139" t="s">
        <v>688</v>
      </c>
      <c r="E28" s="604" t="s">
        <v>689</v>
      </c>
      <c r="F28" s="1021"/>
      <c r="G28" s="1021"/>
      <c r="H28" s="1579"/>
      <c r="I28" s="1579"/>
      <c r="J28" s="1021"/>
      <c r="K28" s="1021"/>
      <c r="L28" s="1021"/>
      <c r="M28" s="1021"/>
      <c r="N28" s="1579"/>
      <c r="O28" s="1021"/>
      <c r="P28" s="1021">
        <v>0.39</v>
      </c>
      <c r="Q28" s="1021"/>
      <c r="R28" s="1021">
        <v>0.34</v>
      </c>
      <c r="S28" s="1019"/>
    </row>
    <row r="29" spans="1:19" hidden="1" x14ac:dyDescent="0.25">
      <c r="A29" s="902"/>
      <c r="B29" s="179"/>
      <c r="C29" s="179"/>
      <c r="D29" s="139"/>
      <c r="E29" s="1580" t="s">
        <v>687</v>
      </c>
      <c r="F29" s="1576"/>
      <c r="G29" s="1576"/>
      <c r="H29" s="1581"/>
      <c r="I29" s="1581"/>
      <c r="J29" s="1576"/>
      <c r="K29" s="1576"/>
      <c r="L29" s="1576"/>
      <c r="M29" s="1576"/>
      <c r="N29" s="1581"/>
      <c r="O29" s="1576"/>
      <c r="P29" s="1576">
        <v>0.41</v>
      </c>
      <c r="Q29" s="1576"/>
      <c r="R29" s="1576">
        <v>0.39</v>
      </c>
      <c r="S29" s="1019"/>
    </row>
    <row r="30" spans="1:19" hidden="1" x14ac:dyDescent="0.25">
      <c r="A30" s="902"/>
      <c r="B30" s="179"/>
      <c r="C30" s="179"/>
      <c r="D30" s="139" t="s">
        <v>690</v>
      </c>
      <c r="E30" s="604" t="s">
        <v>689</v>
      </c>
      <c r="F30" s="1021"/>
      <c r="G30" s="1021"/>
      <c r="H30" s="1582"/>
      <c r="I30" s="1582"/>
      <c r="J30" s="1021"/>
      <c r="K30" s="1021"/>
      <c r="L30" s="1021"/>
      <c r="M30" s="1021"/>
      <c r="N30" s="1582"/>
      <c r="O30" s="1021"/>
      <c r="P30" s="1021">
        <v>0.63</v>
      </c>
      <c r="Q30" s="1021"/>
      <c r="R30" s="1021">
        <v>0.61</v>
      </c>
      <c r="S30" s="1573"/>
    </row>
    <row r="31" spans="1:19" hidden="1" x14ac:dyDescent="0.25">
      <c r="A31" s="902"/>
      <c r="B31" s="179"/>
      <c r="C31" s="179"/>
      <c r="D31" s="148"/>
      <c r="E31" s="603" t="s">
        <v>684</v>
      </c>
      <c r="F31" s="1034"/>
      <c r="G31" s="1034"/>
      <c r="H31" s="1034"/>
      <c r="I31" s="1034"/>
      <c r="J31" s="1034"/>
      <c r="K31" s="1034"/>
      <c r="L31" s="1034"/>
      <c r="M31" s="1034"/>
      <c r="N31" s="1034"/>
      <c r="O31" s="1034"/>
      <c r="P31" s="1034">
        <v>0.6</v>
      </c>
      <c r="Q31" s="1034"/>
      <c r="R31" s="1034">
        <v>0.66</v>
      </c>
      <c r="S31" s="1573"/>
    </row>
    <row r="32" spans="1:19" hidden="1" x14ac:dyDescent="0.25">
      <c r="A32" s="902"/>
      <c r="B32" s="179"/>
      <c r="C32" s="179"/>
      <c r="D32" s="139"/>
      <c r="E32" s="604"/>
      <c r="F32" s="1021"/>
      <c r="G32" s="1021"/>
      <c r="H32" s="1021"/>
      <c r="I32" s="1021"/>
      <c r="J32" s="1021"/>
      <c r="K32" s="1021"/>
      <c r="L32" s="1021"/>
      <c r="M32" s="1021"/>
      <c r="N32" s="1021"/>
      <c r="O32" s="1021"/>
      <c r="P32" s="1021"/>
      <c r="Q32" s="1021"/>
      <c r="R32" s="1021"/>
      <c r="S32" s="1573"/>
    </row>
    <row r="33" spans="1:21" hidden="1" x14ac:dyDescent="0.25">
      <c r="A33" s="902"/>
      <c r="B33" s="179"/>
      <c r="C33" s="179"/>
      <c r="D33" s="601" t="s">
        <v>550</v>
      </c>
      <c r="E33" s="1583" t="s">
        <v>692</v>
      </c>
      <c r="F33" s="601"/>
      <c r="G33" s="601"/>
      <c r="J33" s="601"/>
      <c r="L33" s="1569" t="s">
        <v>678</v>
      </c>
      <c r="M33" s="1584"/>
    </row>
    <row r="34" spans="1:21" ht="15.6" hidden="1" customHeight="1" x14ac:dyDescent="0.25">
      <c r="A34" s="902"/>
      <c r="B34" s="179"/>
      <c r="C34" s="179"/>
      <c r="D34" s="1585" t="s">
        <v>693</v>
      </c>
      <c r="E34" s="4178" t="s">
        <v>689</v>
      </c>
      <c r="F34" s="4178"/>
      <c r="G34" s="4178"/>
      <c r="H34" s="4178"/>
      <c r="I34" s="4178"/>
      <c r="J34" s="4179"/>
      <c r="K34" s="4180" t="s">
        <v>687</v>
      </c>
      <c r="L34" s="4178"/>
      <c r="M34" s="4178"/>
      <c r="N34" s="4178"/>
      <c r="O34" s="4178"/>
      <c r="P34" s="1586"/>
      <c r="Q34" s="1586"/>
      <c r="R34" s="1586"/>
      <c r="T34" s="1019"/>
    </row>
    <row r="35" spans="1:21" hidden="1" x14ac:dyDescent="0.25">
      <c r="A35" s="902"/>
      <c r="B35" s="179"/>
      <c r="C35" s="179"/>
      <c r="D35" s="1587"/>
      <c r="E35" s="560">
        <v>2000</v>
      </c>
      <c r="F35" s="560">
        <v>2005</v>
      </c>
      <c r="G35" s="560">
        <v>2008</v>
      </c>
      <c r="H35" s="560">
        <v>2009</v>
      </c>
      <c r="I35" s="560"/>
      <c r="J35" s="1588">
        <v>2010</v>
      </c>
      <c r="K35" s="560">
        <v>2000</v>
      </c>
      <c r="L35" s="560">
        <v>2005</v>
      </c>
      <c r="M35" s="560">
        <v>2008</v>
      </c>
      <c r="N35" s="560">
        <v>2009</v>
      </c>
      <c r="O35" s="560">
        <v>2010</v>
      </c>
      <c r="P35" s="1589"/>
      <c r="Q35" s="1589"/>
      <c r="R35" s="1589"/>
      <c r="T35" s="1019"/>
    </row>
    <row r="36" spans="1:21" hidden="1" x14ac:dyDescent="0.25">
      <c r="A36" s="902"/>
      <c r="B36" s="179"/>
      <c r="C36" s="179"/>
      <c r="D36" s="1270" t="s">
        <v>19</v>
      </c>
      <c r="E36" s="1590"/>
      <c r="F36" s="1590"/>
      <c r="G36" s="1590">
        <v>0.67</v>
      </c>
      <c r="H36" s="1590"/>
      <c r="I36" s="1590"/>
      <c r="J36" s="1591">
        <v>0.69</v>
      </c>
      <c r="K36" s="1592"/>
      <c r="L36" s="1590"/>
      <c r="M36" s="1590">
        <v>0.7</v>
      </c>
      <c r="N36" s="1590"/>
      <c r="O36" s="1590">
        <v>0.7</v>
      </c>
      <c r="P36" s="1593"/>
      <c r="Q36" s="4173"/>
      <c r="R36" s="4173"/>
      <c r="T36" s="1019"/>
    </row>
    <row r="37" spans="1:21" hidden="1" x14ac:dyDescent="0.25">
      <c r="A37" s="902"/>
      <c r="B37" s="179"/>
      <c r="C37" s="179"/>
      <c r="D37" s="1270" t="s">
        <v>20</v>
      </c>
      <c r="E37" s="1590"/>
      <c r="F37" s="1590"/>
      <c r="G37" s="1590">
        <v>0.68</v>
      </c>
      <c r="H37" s="1590"/>
      <c r="I37" s="1590"/>
      <c r="J37" s="1591">
        <v>0.69</v>
      </c>
      <c r="K37" s="1592"/>
      <c r="L37" s="1590"/>
      <c r="M37" s="1590">
        <v>0.64</v>
      </c>
      <c r="N37" s="1590"/>
      <c r="O37" s="1590">
        <v>0.72</v>
      </c>
      <c r="P37" s="648"/>
      <c r="Q37" s="1594"/>
      <c r="R37" s="1594"/>
      <c r="T37" s="1019"/>
    </row>
    <row r="38" spans="1:21" hidden="1" x14ac:dyDescent="0.25">
      <c r="A38" s="902"/>
      <c r="B38" s="179"/>
      <c r="C38" s="179"/>
      <c r="D38" s="1270" t="s">
        <v>694</v>
      </c>
      <c r="E38" s="1590"/>
      <c r="F38" s="1590"/>
      <c r="G38" s="1590">
        <v>0.67</v>
      </c>
      <c r="H38" s="1590"/>
      <c r="I38" s="1590"/>
      <c r="J38" s="1591">
        <v>0.61</v>
      </c>
      <c r="K38" s="1592"/>
      <c r="L38" s="1590"/>
      <c r="M38" s="1590">
        <v>0.61</v>
      </c>
      <c r="N38" s="1590"/>
      <c r="O38" s="1590">
        <v>0.7</v>
      </c>
      <c r="P38" s="648"/>
      <c r="Q38" s="1595"/>
      <c r="R38" s="1595"/>
      <c r="T38" s="1596"/>
    </row>
    <row r="39" spans="1:21" hidden="1" x14ac:dyDescent="0.25">
      <c r="A39" s="902"/>
      <c r="B39" s="179"/>
      <c r="C39" s="179"/>
      <c r="D39" s="1270" t="s">
        <v>22</v>
      </c>
      <c r="E39" s="1590"/>
      <c r="F39" s="1590"/>
      <c r="G39" s="1590">
        <v>0.72</v>
      </c>
      <c r="H39" s="1590"/>
      <c r="I39" s="1590"/>
      <c r="J39" s="1591">
        <v>0.72</v>
      </c>
      <c r="K39" s="1592"/>
      <c r="L39" s="1590"/>
      <c r="M39" s="1590">
        <v>0.78</v>
      </c>
      <c r="N39" s="1590"/>
      <c r="O39" s="1590">
        <v>0.69</v>
      </c>
      <c r="P39" s="648"/>
      <c r="Q39" s="1595"/>
      <c r="R39" s="1595"/>
    </row>
    <row r="40" spans="1:21" hidden="1" x14ac:dyDescent="0.25">
      <c r="A40" s="902"/>
      <c r="B40" s="179"/>
      <c r="C40" s="179"/>
      <c r="D40" s="1270" t="s">
        <v>23</v>
      </c>
      <c r="E40" s="1590"/>
      <c r="F40" s="1590"/>
      <c r="G40" s="1590">
        <v>0.71</v>
      </c>
      <c r="H40" s="1590"/>
      <c r="I40" s="1590"/>
      <c r="J40" s="1591">
        <v>0.67</v>
      </c>
      <c r="K40" s="1592"/>
      <c r="L40" s="1590"/>
      <c r="M40" s="1590">
        <v>0.69</v>
      </c>
      <c r="N40" s="1590"/>
      <c r="O40" s="1590">
        <v>0.66</v>
      </c>
      <c r="P40" s="648"/>
      <c r="Q40" s="1595"/>
      <c r="R40" s="1595"/>
      <c r="U40" s="1596"/>
    </row>
    <row r="41" spans="1:21" hidden="1" x14ac:dyDescent="0.25">
      <c r="A41" s="902"/>
      <c r="B41" s="179"/>
      <c r="C41" s="179"/>
      <c r="D41" s="1270" t="s">
        <v>24</v>
      </c>
      <c r="E41" s="1590"/>
      <c r="F41" s="1590"/>
      <c r="G41" s="1590">
        <v>0.68</v>
      </c>
      <c r="H41" s="1590"/>
      <c r="I41" s="1590"/>
      <c r="J41" s="1591">
        <v>0.7</v>
      </c>
      <c r="K41" s="1592"/>
      <c r="L41" s="1590"/>
      <c r="M41" s="1590">
        <v>0.66</v>
      </c>
      <c r="N41" s="1590"/>
      <c r="O41" s="1590">
        <v>0.73</v>
      </c>
      <c r="P41" s="648"/>
      <c r="Q41" s="1595"/>
      <c r="R41" s="1595"/>
    </row>
    <row r="42" spans="1:21" ht="12.75" hidden="1" customHeight="1" x14ac:dyDescent="0.25">
      <c r="A42" s="902"/>
      <c r="B42" s="179"/>
      <c r="C42" s="179"/>
      <c r="D42" s="1270" t="s">
        <v>26</v>
      </c>
      <c r="E42" s="1590"/>
      <c r="F42" s="1590"/>
      <c r="G42" s="1590">
        <v>0.6</v>
      </c>
      <c r="H42" s="1590"/>
      <c r="I42" s="1590"/>
      <c r="J42" s="1591">
        <v>0.63</v>
      </c>
      <c r="K42" s="1592"/>
      <c r="L42" s="1590"/>
      <c r="M42" s="1590">
        <v>0.57999999999999996</v>
      </c>
      <c r="N42" s="1590"/>
      <c r="O42" s="1590">
        <v>0.61</v>
      </c>
      <c r="P42" s="648"/>
      <c r="Q42" s="1595"/>
      <c r="R42" s="1595"/>
    </row>
    <row r="43" spans="1:21" hidden="1" x14ac:dyDescent="0.25">
      <c r="A43" s="902"/>
      <c r="B43" s="179"/>
      <c r="C43" s="179"/>
      <c r="D43" s="1270" t="s">
        <v>25</v>
      </c>
      <c r="E43" s="1590"/>
      <c r="F43" s="1590"/>
      <c r="G43" s="1590">
        <v>0.65</v>
      </c>
      <c r="H43" s="1590"/>
      <c r="I43" s="1590"/>
      <c r="J43" s="1591">
        <v>0.6</v>
      </c>
      <c r="K43" s="1592"/>
      <c r="L43" s="1590"/>
      <c r="M43" s="1590">
        <v>0.66</v>
      </c>
      <c r="N43" s="1590"/>
      <c r="O43" s="1590">
        <v>0.63</v>
      </c>
      <c r="P43" s="648"/>
      <c r="Q43" s="1595"/>
      <c r="R43" s="1595"/>
    </row>
    <row r="44" spans="1:21" hidden="1" x14ac:dyDescent="0.25">
      <c r="A44" s="902"/>
      <c r="B44" s="179"/>
      <c r="C44" s="179"/>
      <c r="D44" s="1270" t="s">
        <v>27</v>
      </c>
      <c r="E44" s="1590"/>
      <c r="F44" s="1590"/>
      <c r="G44" s="1590">
        <v>0.6</v>
      </c>
      <c r="H44" s="1590"/>
      <c r="I44" s="1590"/>
      <c r="J44" s="1591">
        <v>0.62</v>
      </c>
      <c r="K44" s="1592"/>
      <c r="L44" s="1590"/>
      <c r="M44" s="1590">
        <v>0.65</v>
      </c>
      <c r="N44" s="1590"/>
      <c r="O44" s="1590">
        <v>0.64</v>
      </c>
      <c r="P44" s="648"/>
      <c r="Q44" s="1595"/>
      <c r="R44" s="1595"/>
    </row>
    <row r="45" spans="1:21" hidden="1" x14ac:dyDescent="0.25">
      <c r="A45" s="902"/>
      <c r="B45" s="179"/>
      <c r="C45" s="179"/>
      <c r="D45" s="1597" t="s">
        <v>28</v>
      </c>
      <c r="E45" s="1598"/>
      <c r="F45" s="1598"/>
      <c r="G45" s="1598">
        <v>0.7</v>
      </c>
      <c r="H45" s="1598"/>
      <c r="I45" s="1598"/>
      <c r="J45" s="1599">
        <v>0.68</v>
      </c>
      <c r="K45" s="1600"/>
      <c r="L45" s="1598"/>
      <c r="M45" s="1598">
        <v>0.7</v>
      </c>
      <c r="N45" s="1598"/>
      <c r="O45" s="1598">
        <v>0.71</v>
      </c>
      <c r="P45" s="648"/>
      <c r="Q45" s="1595"/>
      <c r="R45" s="1595"/>
    </row>
    <row r="46" spans="1:21" hidden="1" x14ac:dyDescent="0.25">
      <c r="A46" s="902"/>
      <c r="B46" s="179"/>
      <c r="C46" s="179"/>
      <c r="D46" s="1263"/>
      <c r="E46" s="1601"/>
      <c r="F46" s="1601"/>
      <c r="G46" s="1601"/>
      <c r="H46" s="1601"/>
      <c r="I46" s="1601"/>
      <c r="J46" s="1601"/>
      <c r="K46" s="1592"/>
      <c r="L46" s="1601"/>
      <c r="M46" s="1601"/>
      <c r="N46" s="1601"/>
      <c r="O46" s="1601"/>
      <c r="P46" s="648"/>
      <c r="Q46" s="1595"/>
      <c r="R46" s="1595"/>
    </row>
    <row r="47" spans="1:21" hidden="1" x14ac:dyDescent="0.25">
      <c r="A47" s="902"/>
      <c r="B47" s="179"/>
      <c r="C47" s="179"/>
      <c r="D47" s="1263"/>
      <c r="E47" s="1601"/>
      <c r="F47" s="1601"/>
      <c r="G47" s="1601"/>
      <c r="H47" s="1601"/>
      <c r="I47" s="1601"/>
      <c r="J47" s="1601"/>
      <c r="K47" s="1592"/>
      <c r="L47" s="1601"/>
      <c r="M47" s="1601"/>
      <c r="N47" s="1601"/>
      <c r="O47" s="1601"/>
      <c r="P47" s="648"/>
      <c r="Q47" s="1595"/>
      <c r="R47" s="1595"/>
    </row>
    <row r="48" spans="1:21" x14ac:dyDescent="0.25">
      <c r="A48" s="902"/>
      <c r="B48" s="179"/>
      <c r="C48" s="179"/>
      <c r="D48" s="1602" t="s">
        <v>112</v>
      </c>
      <c r="E48" s="123"/>
      <c r="F48" s="1602" t="s">
        <v>676</v>
      </c>
      <c r="G48" s="123"/>
      <c r="H48" s="123"/>
      <c r="I48" s="123"/>
      <c r="J48" s="123"/>
      <c r="K48" s="123" t="s">
        <v>695</v>
      </c>
      <c r="L48" s="123"/>
      <c r="M48" s="123"/>
      <c r="N48" s="123"/>
      <c r="O48" s="124"/>
      <c r="P48" s="124"/>
      <c r="Q48" s="125"/>
      <c r="R48" s="125"/>
      <c r="S48" s="125"/>
    </row>
    <row r="49" spans="1:21" x14ac:dyDescent="0.25">
      <c r="A49" s="902"/>
      <c r="B49" s="179"/>
      <c r="C49" s="179"/>
      <c r="D49" s="122"/>
      <c r="E49" s="122"/>
      <c r="F49" s="122"/>
      <c r="G49" s="4182" t="s">
        <v>680</v>
      </c>
      <c r="H49" s="4182"/>
      <c r="I49" s="4182"/>
      <c r="J49" s="4182"/>
      <c r="K49" s="4183"/>
      <c r="L49" s="4184" t="s">
        <v>687</v>
      </c>
      <c r="M49" s="4182"/>
      <c r="N49" s="4182"/>
      <c r="O49" s="4182"/>
      <c r="P49" s="4185"/>
      <c r="Q49" s="122"/>
      <c r="R49" s="122"/>
      <c r="S49" s="125"/>
    </row>
    <row r="50" spans="1:21" x14ac:dyDescent="0.25">
      <c r="A50" s="902"/>
      <c r="B50" s="179"/>
      <c r="C50" s="179"/>
      <c r="D50" s="1570"/>
      <c r="E50" s="1570"/>
      <c r="F50" s="1571"/>
      <c r="G50" s="1603">
        <v>2000</v>
      </c>
      <c r="H50" s="1603">
        <v>2006</v>
      </c>
      <c r="I50" s="1603">
        <v>2009</v>
      </c>
      <c r="J50" s="1603">
        <v>2011</v>
      </c>
      <c r="K50" s="1604">
        <v>2015</v>
      </c>
      <c r="L50" s="1605">
        <v>2000</v>
      </c>
      <c r="M50" s="1603">
        <v>2006</v>
      </c>
      <c r="N50" s="1603">
        <v>2009</v>
      </c>
      <c r="O50" s="1603">
        <v>2011</v>
      </c>
      <c r="P50" s="1606">
        <v>2015</v>
      </c>
    </row>
    <row r="51" spans="1:21" ht="14.25" customHeight="1" x14ac:dyDescent="0.25">
      <c r="A51" s="902"/>
      <c r="B51" s="179"/>
      <c r="C51" s="179"/>
      <c r="D51" s="371" t="s">
        <v>679</v>
      </c>
      <c r="E51" s="1607" t="s">
        <v>28</v>
      </c>
      <c r="F51" s="1572"/>
      <c r="G51" s="1608">
        <v>0.7</v>
      </c>
      <c r="H51" s="1608">
        <v>0.72</v>
      </c>
      <c r="I51" s="1608">
        <v>0.7</v>
      </c>
      <c r="J51" s="1608">
        <v>0.69</v>
      </c>
      <c r="K51" s="1609">
        <v>0.68</v>
      </c>
      <c r="L51" s="1610">
        <v>0.64</v>
      </c>
      <c r="M51" s="1611">
        <v>0.67</v>
      </c>
      <c r="N51" s="1608">
        <v>0.64</v>
      </c>
      <c r="O51" s="1608">
        <v>0.65</v>
      </c>
      <c r="P51" s="1612">
        <v>0.64</v>
      </c>
    </row>
    <row r="52" spans="1:21" ht="14.25" customHeight="1" x14ac:dyDescent="0.25">
      <c r="A52" s="902"/>
      <c r="B52" s="179"/>
      <c r="C52" s="179"/>
      <c r="D52" s="138"/>
      <c r="E52" s="1613" t="s">
        <v>681</v>
      </c>
      <c r="F52" s="1574"/>
      <c r="G52" s="1614">
        <v>0.62</v>
      </c>
      <c r="H52" s="1614">
        <v>0.64</v>
      </c>
      <c r="I52" s="1614">
        <v>0.67</v>
      </c>
      <c r="J52" s="1614">
        <v>0.64</v>
      </c>
      <c r="K52" s="1615">
        <v>0.65</v>
      </c>
      <c r="L52" s="1616">
        <v>0.55000000000000004</v>
      </c>
      <c r="M52" s="1617">
        <v>0.54</v>
      </c>
      <c r="N52" s="1617">
        <v>0.54</v>
      </c>
      <c r="O52" s="1614">
        <v>0.55000000000000004</v>
      </c>
      <c r="P52" s="1618">
        <v>0.56999999999999995</v>
      </c>
    </row>
    <row r="53" spans="1:21" ht="14.25" customHeight="1" x14ac:dyDescent="0.25">
      <c r="A53" s="902"/>
      <c r="B53" s="179"/>
      <c r="C53" s="179"/>
      <c r="D53" s="138"/>
      <c r="E53" s="1619" t="s">
        <v>470</v>
      </c>
      <c r="F53" s="1021"/>
      <c r="G53" s="1614">
        <v>0.49</v>
      </c>
      <c r="H53" s="1620">
        <v>0.56000000000000005</v>
      </c>
      <c r="I53" s="1614">
        <v>0.53</v>
      </c>
      <c r="J53" s="1614">
        <v>0.5</v>
      </c>
      <c r="K53" s="1615">
        <v>0.56000000000000005</v>
      </c>
      <c r="L53" s="1616">
        <v>0.43</v>
      </c>
      <c r="M53" s="1617">
        <v>0.53</v>
      </c>
      <c r="N53" s="1617">
        <v>0.49</v>
      </c>
      <c r="O53" s="1617">
        <v>0.45</v>
      </c>
      <c r="P53" s="1621">
        <v>0.46</v>
      </c>
    </row>
    <row r="54" spans="1:21" ht="14.25" customHeight="1" x14ac:dyDescent="0.25">
      <c r="A54" s="902"/>
      <c r="B54" s="179"/>
      <c r="C54" s="179"/>
      <c r="D54" s="138"/>
      <c r="E54" s="1619" t="s">
        <v>683</v>
      </c>
      <c r="F54" s="1021"/>
      <c r="G54" s="1614">
        <v>0.56000000000000005</v>
      </c>
      <c r="H54" s="1620">
        <v>0.6</v>
      </c>
      <c r="I54" s="1614">
        <v>0.56999999999999995</v>
      </c>
      <c r="J54" s="1614">
        <v>0.57999999999999996</v>
      </c>
      <c r="K54" s="1615">
        <v>0.57999999999999996</v>
      </c>
      <c r="L54" s="1616">
        <v>0.47</v>
      </c>
      <c r="M54" s="1617">
        <v>0.56999999999999995</v>
      </c>
      <c r="N54" s="1617">
        <v>0.52</v>
      </c>
      <c r="O54" s="1617">
        <v>0.53</v>
      </c>
      <c r="P54" s="1621">
        <v>0.56000000000000005</v>
      </c>
    </row>
    <row r="55" spans="1:21" ht="14.25" customHeight="1" x14ac:dyDescent="0.25">
      <c r="A55" s="902"/>
      <c r="B55" s="179"/>
      <c r="C55" s="179"/>
      <c r="D55" s="821"/>
      <c r="E55" s="1622" t="s">
        <v>471</v>
      </c>
      <c r="F55" s="1034"/>
      <c r="G55" s="1623">
        <v>0.47</v>
      </c>
      <c r="H55" s="1623">
        <v>0.56000000000000005</v>
      </c>
      <c r="I55" s="1623">
        <v>0.47</v>
      </c>
      <c r="J55" s="1623">
        <v>0.45</v>
      </c>
      <c r="K55" s="1624">
        <v>0.51</v>
      </c>
      <c r="L55" s="1625">
        <v>0.41</v>
      </c>
      <c r="M55" s="1626">
        <v>0.43</v>
      </c>
      <c r="N55" s="1626">
        <v>0.39</v>
      </c>
      <c r="O55" s="1626">
        <v>0.42</v>
      </c>
      <c r="P55" s="1627">
        <v>0.4</v>
      </c>
    </row>
    <row r="56" spans="1:21" ht="14.25" customHeight="1" x14ac:dyDescent="0.25">
      <c r="A56" s="902"/>
      <c r="B56" s="179"/>
      <c r="C56" s="179"/>
      <c r="D56" s="138"/>
      <c r="E56" s="122"/>
      <c r="F56" s="1572"/>
      <c r="L56" s="1573"/>
    </row>
    <row r="57" spans="1:21" s="435" customFormat="1" x14ac:dyDescent="0.25">
      <c r="A57" s="1628"/>
      <c r="B57" s="1629"/>
      <c r="C57" s="1629"/>
      <c r="D57" s="1630" t="s">
        <v>276</v>
      </c>
      <c r="E57" s="1631" t="s">
        <v>692</v>
      </c>
      <c r="F57" s="1630"/>
      <c r="G57" s="1632"/>
      <c r="J57" s="1632"/>
      <c r="K57" s="1632" t="s">
        <v>695</v>
      </c>
      <c r="L57" s="1633"/>
      <c r="M57" s="1584"/>
    </row>
    <row r="58" spans="1:21" s="435" customFormat="1" ht="15.6" customHeight="1" x14ac:dyDescent="0.25">
      <c r="A58" s="1628"/>
      <c r="B58" s="1629"/>
      <c r="C58" s="1629"/>
      <c r="D58" s="1634" t="s">
        <v>693</v>
      </c>
      <c r="E58" s="4182" t="s">
        <v>696</v>
      </c>
      <c r="F58" s="4182"/>
      <c r="G58" s="4182"/>
      <c r="H58" s="4182"/>
      <c r="I58" s="4183"/>
      <c r="J58" s="4184" t="s">
        <v>697</v>
      </c>
      <c r="K58" s="4182"/>
      <c r="L58" s="4182"/>
      <c r="M58" s="4182"/>
      <c r="N58" s="4185"/>
      <c r="O58" s="1635"/>
      <c r="P58" s="1630"/>
      <c r="Q58" s="1630"/>
      <c r="R58" s="1630"/>
      <c r="T58" s="1633"/>
    </row>
    <row r="59" spans="1:21" s="435" customFormat="1" x14ac:dyDescent="0.25">
      <c r="A59" s="1628"/>
      <c r="B59" s="1629"/>
      <c r="C59" s="1629"/>
      <c r="D59" s="1636"/>
      <c r="E59" s="1603">
        <v>2000</v>
      </c>
      <c r="F59" s="1603">
        <v>2006</v>
      </c>
      <c r="G59" s="1603">
        <v>2009</v>
      </c>
      <c r="H59" s="1603">
        <v>2011</v>
      </c>
      <c r="I59" s="1604">
        <v>2015</v>
      </c>
      <c r="J59" s="1605">
        <v>2000</v>
      </c>
      <c r="K59" s="1603">
        <v>2006</v>
      </c>
      <c r="L59" s="1603">
        <v>2009</v>
      </c>
      <c r="M59" s="1603">
        <v>2011</v>
      </c>
      <c r="N59" s="1606">
        <v>2015</v>
      </c>
      <c r="O59" s="1637"/>
      <c r="P59" s="1638"/>
      <c r="Q59" s="1638"/>
      <c r="R59" s="1638"/>
      <c r="T59" s="1633"/>
    </row>
    <row r="60" spans="1:21" s="435" customFormat="1" x14ac:dyDescent="0.25">
      <c r="A60" s="1628"/>
      <c r="B60" s="1629"/>
      <c r="C60" s="1629"/>
      <c r="D60" s="1639" t="s">
        <v>19</v>
      </c>
      <c r="E60" s="1620">
        <v>0.7</v>
      </c>
      <c r="F60" s="1640">
        <v>0.69</v>
      </c>
      <c r="G60" s="1640">
        <v>0.69</v>
      </c>
      <c r="H60" s="1640">
        <v>0.7</v>
      </c>
      <c r="I60" s="1641"/>
      <c r="J60" s="1642">
        <v>0.62</v>
      </c>
      <c r="K60" s="1640">
        <v>0.62</v>
      </c>
      <c r="L60" s="1640">
        <v>0.59</v>
      </c>
      <c r="M60" s="1640">
        <v>0.61</v>
      </c>
      <c r="N60" s="1643"/>
      <c r="O60" s="1644"/>
      <c r="P60" s="1645"/>
      <c r="Q60" s="4186"/>
      <c r="R60" s="4186"/>
      <c r="T60" s="1633"/>
    </row>
    <row r="61" spans="1:21" s="435" customFormat="1" x14ac:dyDescent="0.25">
      <c r="A61" s="1628"/>
      <c r="B61" s="1629"/>
      <c r="C61" s="1629"/>
      <c r="D61" s="1639" t="s">
        <v>20</v>
      </c>
      <c r="E61" s="1620">
        <v>0.72</v>
      </c>
      <c r="F61" s="1640">
        <v>0.69</v>
      </c>
      <c r="G61" s="1640">
        <v>0.69</v>
      </c>
      <c r="H61" s="1640">
        <v>0.67</v>
      </c>
      <c r="I61" s="1641"/>
      <c r="J61" s="1642">
        <v>0.65</v>
      </c>
      <c r="K61" s="1640">
        <v>0.63</v>
      </c>
      <c r="L61" s="1640">
        <v>0.59</v>
      </c>
      <c r="M61" s="1640">
        <v>0.59</v>
      </c>
      <c r="N61" s="1643"/>
      <c r="O61" s="1644"/>
      <c r="P61" s="1646"/>
      <c r="Q61" s="1647"/>
      <c r="R61" s="1647"/>
      <c r="T61" s="1633"/>
    </row>
    <row r="62" spans="1:21" s="435" customFormat="1" x14ac:dyDescent="0.25">
      <c r="A62" s="1628"/>
      <c r="B62" s="1629"/>
      <c r="C62" s="1629"/>
      <c r="D62" s="1639" t="s">
        <v>694</v>
      </c>
      <c r="E62" s="1620">
        <v>0.65</v>
      </c>
      <c r="F62" s="1640">
        <v>0.69</v>
      </c>
      <c r="G62" s="1640">
        <v>0.66</v>
      </c>
      <c r="H62" s="1640">
        <v>0.64</v>
      </c>
      <c r="I62" s="1641"/>
      <c r="J62" s="1642">
        <v>0.6</v>
      </c>
      <c r="K62" s="1640">
        <v>0.63</v>
      </c>
      <c r="L62" s="1640">
        <v>0.6</v>
      </c>
      <c r="M62" s="1640">
        <v>0.63</v>
      </c>
      <c r="N62" s="1643"/>
      <c r="O62" s="1644"/>
      <c r="P62" s="1646"/>
      <c r="Q62" s="1648"/>
      <c r="R62" s="1648"/>
      <c r="T62" s="1649"/>
    </row>
    <row r="63" spans="1:21" s="435" customFormat="1" x14ac:dyDescent="0.25">
      <c r="A63" s="1628"/>
      <c r="B63" s="1629"/>
      <c r="C63" s="1629"/>
      <c r="D63" s="1639" t="s">
        <v>22</v>
      </c>
      <c r="E63" s="1620">
        <v>0.7</v>
      </c>
      <c r="F63" s="1640">
        <v>0.73</v>
      </c>
      <c r="G63" s="1640">
        <v>0.69</v>
      </c>
      <c r="H63" s="1640">
        <v>0.68</v>
      </c>
      <c r="I63" s="1641"/>
      <c r="J63" s="1642">
        <v>0.64</v>
      </c>
      <c r="K63" s="1640">
        <v>0.65</v>
      </c>
      <c r="L63" s="1640">
        <v>0.59</v>
      </c>
      <c r="M63" s="1640">
        <v>0.64</v>
      </c>
      <c r="N63" s="1643"/>
      <c r="O63" s="1644"/>
      <c r="P63" s="1646"/>
      <c r="Q63" s="1648"/>
      <c r="R63" s="1648"/>
    </row>
    <row r="64" spans="1:21" s="435" customFormat="1" x14ac:dyDescent="0.25">
      <c r="A64" s="1628"/>
      <c r="B64" s="1629"/>
      <c r="C64" s="1629"/>
      <c r="D64" s="1639" t="s">
        <v>23</v>
      </c>
      <c r="E64" s="1620">
        <v>0.65</v>
      </c>
      <c r="F64" s="1640">
        <v>0.67</v>
      </c>
      <c r="G64" s="1640">
        <v>0.66</v>
      </c>
      <c r="H64" s="1640">
        <v>0.68</v>
      </c>
      <c r="I64" s="1641"/>
      <c r="J64" s="1642">
        <v>0.57999999999999996</v>
      </c>
      <c r="K64" s="1640">
        <v>0.55000000000000004</v>
      </c>
      <c r="L64" s="1640">
        <v>0.59</v>
      </c>
      <c r="M64" s="1640">
        <v>0.56999999999999995</v>
      </c>
      <c r="N64" s="1643"/>
      <c r="O64" s="1644"/>
      <c r="P64" s="1646"/>
      <c r="Q64" s="1648"/>
      <c r="R64" s="1648"/>
      <c r="U64" s="1649"/>
    </row>
    <row r="65" spans="1:18" s="435" customFormat="1" x14ac:dyDescent="0.25">
      <c r="A65" s="1628"/>
      <c r="B65" s="1629"/>
      <c r="C65" s="1629"/>
      <c r="D65" s="1639" t="s">
        <v>24</v>
      </c>
      <c r="E65" s="1620">
        <v>0.63</v>
      </c>
      <c r="F65" s="1640">
        <v>0.71</v>
      </c>
      <c r="G65" s="1640">
        <v>0.68</v>
      </c>
      <c r="H65" s="1640">
        <v>0.69</v>
      </c>
      <c r="I65" s="1641"/>
      <c r="J65" s="1642">
        <v>0.56999999999999995</v>
      </c>
      <c r="K65" s="1640">
        <v>0.64</v>
      </c>
      <c r="L65" s="1640">
        <v>0.63</v>
      </c>
      <c r="M65" s="1640">
        <v>0.63</v>
      </c>
      <c r="N65" s="1643"/>
      <c r="O65" s="1644"/>
      <c r="P65" s="1646"/>
      <c r="Q65" s="1648"/>
      <c r="R65" s="1648"/>
    </row>
    <row r="66" spans="1:18" s="435" customFormat="1" ht="12.75" customHeight="1" x14ac:dyDescent="0.25">
      <c r="A66" s="1628"/>
      <c r="B66" s="1629"/>
      <c r="C66" s="1629"/>
      <c r="D66" s="1639" t="s">
        <v>26</v>
      </c>
      <c r="E66" s="1650">
        <v>0.73</v>
      </c>
      <c r="F66" s="1650">
        <v>0.66</v>
      </c>
      <c r="G66" s="1650">
        <v>0.66</v>
      </c>
      <c r="H66" s="1650">
        <v>0.65</v>
      </c>
      <c r="I66" s="1651"/>
      <c r="J66" s="1652">
        <v>0.61</v>
      </c>
      <c r="K66" s="1650">
        <v>0.6</v>
      </c>
      <c r="L66" s="1650">
        <v>0.61</v>
      </c>
      <c r="M66" s="1650">
        <v>0.61</v>
      </c>
      <c r="N66" s="1653"/>
      <c r="O66" s="1644"/>
      <c r="P66" s="1646"/>
      <c r="Q66" s="1648"/>
      <c r="R66" s="1648"/>
    </row>
    <row r="67" spans="1:18" s="435" customFormat="1" x14ac:dyDescent="0.25">
      <c r="A67" s="1628"/>
      <c r="B67" s="1629"/>
      <c r="C67" s="1629"/>
      <c r="D67" s="1639" t="s">
        <v>25</v>
      </c>
      <c r="E67" s="1650">
        <v>0.67</v>
      </c>
      <c r="F67" s="1650">
        <v>0.68</v>
      </c>
      <c r="G67" s="1650">
        <v>0.66</v>
      </c>
      <c r="H67" s="1650">
        <v>0.73</v>
      </c>
      <c r="I67" s="1651"/>
      <c r="J67" s="1652">
        <v>0.59</v>
      </c>
      <c r="K67" s="1650">
        <v>0.63</v>
      </c>
      <c r="L67" s="1650">
        <v>0.6</v>
      </c>
      <c r="M67" s="1650">
        <v>0.65</v>
      </c>
      <c r="N67" s="1653"/>
      <c r="O67" s="1644"/>
      <c r="P67" s="1646"/>
      <c r="Q67" s="1648"/>
      <c r="R67" s="1648"/>
    </row>
    <row r="68" spans="1:18" s="435" customFormat="1" x14ac:dyDescent="0.25">
      <c r="A68" s="1628"/>
      <c r="B68" s="1629"/>
      <c r="C68" s="1629"/>
      <c r="D68" s="1639" t="s">
        <v>27</v>
      </c>
      <c r="E68" s="1620">
        <v>0.62</v>
      </c>
      <c r="F68" s="1640">
        <v>0.67</v>
      </c>
      <c r="G68" s="1640">
        <v>0.61</v>
      </c>
      <c r="H68" s="1640">
        <v>0.62</v>
      </c>
      <c r="I68" s="1641"/>
      <c r="J68" s="1642">
        <v>0.56999999999999995</v>
      </c>
      <c r="K68" s="1640">
        <v>0.67</v>
      </c>
      <c r="L68" s="1640">
        <v>0.6</v>
      </c>
      <c r="M68" s="1640">
        <v>0.59</v>
      </c>
      <c r="N68" s="1643"/>
      <c r="O68" s="1644"/>
      <c r="P68" s="1646"/>
      <c r="Q68" s="1648"/>
      <c r="R68" s="1648"/>
    </row>
    <row r="69" spans="1:18" s="435" customFormat="1" x14ac:dyDescent="0.25">
      <c r="A69" s="1628"/>
      <c r="B69" s="1629"/>
      <c r="C69" s="1629"/>
      <c r="D69" s="1654" t="s">
        <v>28</v>
      </c>
      <c r="E69" s="1655">
        <v>0.7</v>
      </c>
      <c r="F69" s="1656">
        <v>0.72</v>
      </c>
      <c r="G69" s="1656">
        <v>0.7</v>
      </c>
      <c r="H69" s="1656">
        <v>0.69</v>
      </c>
      <c r="I69" s="1657">
        <v>0.68</v>
      </c>
      <c r="J69" s="1658">
        <v>0.64</v>
      </c>
      <c r="K69" s="1656">
        <v>0.67</v>
      </c>
      <c r="L69" s="1656">
        <v>0.63</v>
      </c>
      <c r="M69" s="1656">
        <v>0.65</v>
      </c>
      <c r="N69" s="1659">
        <v>0.64</v>
      </c>
      <c r="O69" s="1660"/>
      <c r="P69" s="1646"/>
      <c r="Q69" s="1648"/>
      <c r="R69" s="1648"/>
    </row>
    <row r="70" spans="1:18" s="435" customFormat="1" x14ac:dyDescent="0.25">
      <c r="A70" s="1628"/>
      <c r="B70" s="1629"/>
      <c r="C70" s="1629"/>
      <c r="D70" s="1661"/>
      <c r="E70" s="1662"/>
      <c r="F70" s="1663"/>
      <c r="G70" s="1663"/>
      <c r="H70" s="1663"/>
      <c r="I70" s="1663"/>
      <c r="J70" s="1662"/>
      <c r="K70" s="1663"/>
      <c r="L70" s="1663"/>
      <c r="M70" s="1663"/>
      <c r="N70" s="1664"/>
      <c r="O70" s="1660"/>
      <c r="P70" s="1646"/>
      <c r="Q70" s="1648"/>
      <c r="R70" s="1648"/>
    </row>
    <row r="71" spans="1:18" s="435" customFormat="1" x14ac:dyDescent="0.25">
      <c r="A71" s="1628"/>
      <c r="B71" s="1629"/>
      <c r="C71" s="1629"/>
      <c r="D71" s="1665" t="s">
        <v>28</v>
      </c>
      <c r="E71" s="1655">
        <v>0.7</v>
      </c>
      <c r="F71" s="1656">
        <v>0.72</v>
      </c>
      <c r="G71" s="1656">
        <v>0.7</v>
      </c>
      <c r="H71" s="1657">
        <v>0.69</v>
      </c>
      <c r="I71" s="1656"/>
      <c r="J71" s="1655">
        <v>0.64</v>
      </c>
      <c r="K71" s="1656">
        <v>0.67</v>
      </c>
      <c r="L71" s="1656">
        <v>0.63</v>
      </c>
      <c r="M71" s="1656">
        <v>0.65</v>
      </c>
      <c r="N71" s="1664"/>
      <c r="O71" s="1660"/>
      <c r="P71" s="1646"/>
      <c r="Q71" s="1648"/>
      <c r="R71" s="1648"/>
    </row>
    <row r="85" spans="1:20" x14ac:dyDescent="0.25">
      <c r="A85" s="902"/>
      <c r="B85" s="179"/>
      <c r="C85" s="179"/>
      <c r="D85" s="1270"/>
      <c r="E85" s="1666"/>
      <c r="F85" s="1667"/>
      <c r="G85" s="1668"/>
      <c r="H85" s="1669"/>
      <c r="I85" s="1669"/>
      <c r="J85" s="1670"/>
      <c r="K85" s="1671"/>
      <c r="L85" s="139"/>
      <c r="M85" s="1263"/>
      <c r="N85" s="1672"/>
      <c r="O85" s="1673"/>
      <c r="P85" s="1674"/>
      <c r="Q85" s="1675"/>
      <c r="R85" s="1676"/>
      <c r="S85" s="1019"/>
    </row>
    <row r="86" spans="1:20" x14ac:dyDescent="0.25">
      <c r="A86" s="902"/>
      <c r="B86" s="179"/>
      <c r="C86" s="179"/>
      <c r="D86" s="1270"/>
      <c r="E86" s="1666"/>
      <c r="F86" s="1667"/>
      <c r="G86" s="1668"/>
      <c r="H86" s="1669"/>
      <c r="I86" s="1669"/>
      <c r="J86" s="1670"/>
      <c r="K86" s="1671"/>
      <c r="L86" s="139"/>
      <c r="M86" s="1263"/>
      <c r="N86" s="1672"/>
      <c r="O86" s="1673"/>
      <c r="P86" s="1674"/>
      <c r="Q86" s="1675"/>
      <c r="R86" s="1676"/>
      <c r="S86" s="1019"/>
    </row>
    <row r="87" spans="1:20" x14ac:dyDescent="0.25">
      <c r="A87" s="902">
        <v>5</v>
      </c>
      <c r="B87" s="902" t="s">
        <v>29</v>
      </c>
      <c r="C87" s="1677"/>
      <c r="D87" s="4181" t="s">
        <v>456</v>
      </c>
      <c r="E87" s="4049"/>
      <c r="F87" s="4049"/>
      <c r="G87" s="4049"/>
      <c r="H87" s="4049"/>
      <c r="I87" s="4049"/>
      <c r="J87" s="4049"/>
      <c r="K87" s="4049"/>
      <c r="L87" s="4049"/>
      <c r="M87" s="4049"/>
      <c r="N87" s="4049"/>
      <c r="O87" s="4049"/>
      <c r="P87" s="4049"/>
      <c r="Q87" s="4049"/>
      <c r="R87" s="4049"/>
      <c r="S87" s="4050"/>
    </row>
    <row r="88" spans="1:20" ht="50.45" customHeight="1" x14ac:dyDescent="0.25">
      <c r="A88" s="1441">
        <v>6</v>
      </c>
      <c r="B88" s="1441" t="s">
        <v>32</v>
      </c>
      <c r="C88" s="1677"/>
      <c r="D88" s="4181" t="s">
        <v>698</v>
      </c>
      <c r="E88" s="4049"/>
      <c r="F88" s="4049"/>
      <c r="G88" s="4049"/>
      <c r="H88" s="4049"/>
      <c r="I88" s="4049"/>
      <c r="J88" s="4049"/>
      <c r="K88" s="4049"/>
      <c r="L88" s="4049"/>
      <c r="M88" s="4049"/>
      <c r="N88" s="4049"/>
      <c r="O88" s="4049"/>
      <c r="P88" s="4049"/>
      <c r="Q88" s="4049"/>
      <c r="R88" s="4049"/>
      <c r="S88" s="4050"/>
    </row>
    <row r="89" spans="1:20" ht="43.5" customHeight="1" x14ac:dyDescent="0.25">
      <c r="A89" s="902">
        <v>7</v>
      </c>
      <c r="B89" s="902" t="s">
        <v>31</v>
      </c>
      <c r="C89" s="1677"/>
      <c r="D89" s="4181" t="s">
        <v>699</v>
      </c>
      <c r="E89" s="4049"/>
      <c r="F89" s="4049"/>
      <c r="G89" s="4049"/>
      <c r="H89" s="4049"/>
      <c r="I89" s="4049"/>
      <c r="J89" s="4049"/>
      <c r="K89" s="4049"/>
      <c r="L89" s="4049"/>
      <c r="M89" s="4049"/>
      <c r="N89" s="4049"/>
      <c r="O89" s="4049"/>
      <c r="P89" s="4049"/>
      <c r="Q89" s="4049"/>
      <c r="R89" s="4049"/>
      <c r="S89" s="4050"/>
      <c r="T89" s="1678"/>
    </row>
    <row r="90" spans="1:20" ht="138.75" customHeight="1" x14ac:dyDescent="0.25">
      <c r="A90" s="902">
        <v>8</v>
      </c>
      <c r="B90" s="902" t="s">
        <v>700</v>
      </c>
      <c r="C90" s="1677"/>
      <c r="D90" s="4181" t="s">
        <v>701</v>
      </c>
      <c r="E90" s="4049"/>
      <c r="F90" s="4049"/>
      <c r="G90" s="4049"/>
      <c r="H90" s="4049"/>
      <c r="I90" s="4049"/>
      <c r="J90" s="4049"/>
      <c r="K90" s="4049"/>
      <c r="L90" s="4049"/>
      <c r="M90" s="4049"/>
      <c r="N90" s="4049"/>
      <c r="O90" s="4049"/>
      <c r="P90" s="4049"/>
      <c r="Q90" s="4049"/>
      <c r="R90" s="4049"/>
      <c r="S90" s="4050"/>
      <c r="T90" s="1679"/>
    </row>
    <row r="91" spans="1:20" x14ac:dyDescent="0.25">
      <c r="A91" s="53"/>
      <c r="B91" s="53"/>
      <c r="C91" s="902"/>
    </row>
    <row r="92" spans="1:20" ht="29.25" customHeight="1" x14ac:dyDescent="0.25">
      <c r="A92" s="53"/>
      <c r="B92" s="53"/>
      <c r="C92" s="1441"/>
    </row>
    <row r="93" spans="1:20" ht="12.75" customHeight="1" x14ac:dyDescent="0.25">
      <c r="A93" s="53"/>
      <c r="B93" s="53"/>
      <c r="C93" s="1441"/>
    </row>
    <row r="94" spans="1:20" ht="40.5" customHeight="1" x14ac:dyDescent="0.25">
      <c r="A94" s="53"/>
      <c r="B94" s="53"/>
      <c r="C94" s="53"/>
    </row>
    <row r="95" spans="1:20" x14ac:dyDescent="0.25">
      <c r="B95" s="53"/>
      <c r="C95" s="53"/>
    </row>
    <row r="96" spans="1:20" x14ac:dyDescent="0.25">
      <c r="B96" s="53"/>
      <c r="C96" s="53"/>
    </row>
    <row r="97" spans="1:3" x14ac:dyDescent="0.25">
      <c r="A97" s="902"/>
      <c r="B97" s="53"/>
      <c r="C97" s="53"/>
    </row>
    <row r="98" spans="1:3" ht="15.6" customHeight="1" x14ac:dyDescent="0.25">
      <c r="A98" s="902"/>
      <c r="B98" s="53"/>
      <c r="C98" s="53"/>
    </row>
    <row r="99" spans="1:3" x14ac:dyDescent="0.25">
      <c r="A99" s="902"/>
      <c r="B99" s="53"/>
      <c r="C99" s="53"/>
    </row>
    <row r="100" spans="1:3" x14ac:dyDescent="0.25">
      <c r="A100" s="902"/>
      <c r="B100" s="53"/>
      <c r="C100" s="53"/>
    </row>
    <row r="101" spans="1:3" x14ac:dyDescent="0.25">
      <c r="A101" s="902"/>
      <c r="B101" s="53"/>
      <c r="C101" s="53"/>
    </row>
    <row r="102" spans="1:3" x14ac:dyDescent="0.25">
      <c r="A102" s="902"/>
      <c r="B102" s="53"/>
      <c r="C102" s="53"/>
    </row>
    <row r="103" spans="1:3" x14ac:dyDescent="0.25">
      <c r="A103" s="902"/>
      <c r="B103" s="53"/>
      <c r="C103" s="53"/>
    </row>
    <row r="104" spans="1:3" x14ac:dyDescent="0.25">
      <c r="A104" s="902"/>
      <c r="B104" s="53"/>
      <c r="C104" s="53"/>
    </row>
    <row r="105" spans="1:3" x14ac:dyDescent="0.25">
      <c r="A105" s="902"/>
      <c r="B105" s="53"/>
      <c r="C105" s="53"/>
    </row>
    <row r="106" spans="1:3" ht="12.75" customHeight="1" x14ac:dyDescent="0.25">
      <c r="A106" s="902"/>
      <c r="B106" s="53"/>
      <c r="C106" s="53"/>
    </row>
    <row r="107" spans="1:3" x14ac:dyDescent="0.25">
      <c r="A107" s="902"/>
      <c r="B107" s="53"/>
      <c r="C107" s="53"/>
    </row>
    <row r="108" spans="1:3" x14ac:dyDescent="0.25">
      <c r="A108" s="902"/>
      <c r="B108" s="53"/>
      <c r="C108" s="53"/>
    </row>
    <row r="109" spans="1:3" x14ac:dyDescent="0.25">
      <c r="A109" s="902"/>
      <c r="B109" s="53"/>
      <c r="C109" s="53"/>
    </row>
    <row r="110" spans="1:3" x14ac:dyDescent="0.25">
      <c r="B110" s="53"/>
      <c r="C110" s="53"/>
    </row>
    <row r="111" spans="1:3" x14ac:dyDescent="0.25">
      <c r="B111" s="53"/>
      <c r="C111" s="53"/>
    </row>
    <row r="112" spans="1:3" x14ac:dyDescent="0.25">
      <c r="B112" s="53"/>
      <c r="C112" s="53"/>
    </row>
    <row r="113" spans="2:3" x14ac:dyDescent="0.25">
      <c r="B113" s="53"/>
      <c r="C113" s="53"/>
    </row>
    <row r="114" spans="2:3" x14ac:dyDescent="0.25">
      <c r="B114" s="53"/>
      <c r="C114" s="53"/>
    </row>
    <row r="115" spans="2:3" x14ac:dyDescent="0.25">
      <c r="B115" s="53"/>
      <c r="C115" s="53"/>
    </row>
    <row r="116" spans="2:3" x14ac:dyDescent="0.25">
      <c r="B116" s="53"/>
      <c r="C116" s="53"/>
    </row>
    <row r="117" spans="2:3" x14ac:dyDescent="0.25">
      <c r="B117" s="53"/>
      <c r="C117" s="53"/>
    </row>
  </sheetData>
  <mergeCells count="15">
    <mergeCell ref="D88:S88"/>
    <mergeCell ref="D89:S89"/>
    <mergeCell ref="D90:S90"/>
    <mergeCell ref="G49:K49"/>
    <mergeCell ref="L49:P49"/>
    <mergeCell ref="E58:I58"/>
    <mergeCell ref="J58:N58"/>
    <mergeCell ref="Q60:R60"/>
    <mergeCell ref="D87:S87"/>
    <mergeCell ref="Q36:R36"/>
    <mergeCell ref="D2:S2"/>
    <mergeCell ref="D3:S3"/>
    <mergeCell ref="D4:S4"/>
    <mergeCell ref="E34:J34"/>
    <mergeCell ref="K34:O34"/>
  </mergeCells>
  <pageMargins left="0.74803149606299202" right="0.74803149606299202" top="0.98425196850393704" bottom="0.98425196850393704" header="0.511811023622047" footer="0.511811023622047"/>
  <pageSetup paperSize="9" scale="4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46"/>
  <sheetViews>
    <sheetView showGridLines="0" view="pageBreakPreview" zoomScaleNormal="100" zoomScaleSheetLayoutView="100" workbookViewId="0">
      <selection activeCell="D33" sqref="D33:T33"/>
    </sheetView>
  </sheetViews>
  <sheetFormatPr defaultColWidth="9.140625" defaultRowHeight="15" x14ac:dyDescent="0.25"/>
  <cols>
    <col min="1" max="1" width="3.7109375" style="1680" customWidth="1"/>
    <col min="2" max="2" width="13.7109375" style="1718" customWidth="1"/>
    <col min="3" max="3" width="3.7109375" style="1718" customWidth="1"/>
    <col min="4" max="4" width="45.28515625" style="96" customWidth="1"/>
    <col min="5" max="6" width="11.5703125" style="96" customWidth="1"/>
    <col min="7" max="10" width="11.5703125" style="1705" customWidth="1"/>
    <col min="11" max="11" width="46.140625" style="1705" customWidth="1"/>
    <col min="12" max="12" width="16" style="1705" customWidth="1"/>
    <col min="13" max="19" width="10.28515625" style="1705" customWidth="1"/>
    <col min="20" max="20" width="10.28515625" style="1686" customWidth="1"/>
    <col min="21" max="21" width="11" style="1686" customWidth="1"/>
    <col min="22" max="23" width="10.28515625" style="1686" customWidth="1"/>
    <col min="24" max="24" width="9" style="903" customWidth="1"/>
    <col min="25" max="25" width="9.7109375" style="903" customWidth="1"/>
    <col min="26" max="26" width="10" style="903" customWidth="1"/>
    <col min="27" max="27" width="9.140625" style="903"/>
    <col min="28" max="28" width="10.85546875" style="903" customWidth="1"/>
    <col min="29" max="29" width="10.140625" style="903" customWidth="1"/>
    <col min="30" max="30" width="9.140625" style="903"/>
    <col min="31" max="31" width="10.28515625" style="903" customWidth="1"/>
    <col min="32" max="32" width="10.42578125" style="903" customWidth="1"/>
    <col min="33" max="256" width="9.140625" style="903"/>
    <col min="257" max="257" width="3.7109375" style="903" customWidth="1"/>
    <col min="258" max="258" width="13.7109375" style="903" customWidth="1"/>
    <col min="259" max="259" width="3.7109375" style="903" customWidth="1"/>
    <col min="260" max="260" width="11.7109375" style="903" customWidth="1"/>
    <col min="261" max="261" width="30.42578125" style="903" customWidth="1"/>
    <col min="262" max="262" width="21.140625" style="903" customWidth="1"/>
    <col min="263" max="265" width="10.28515625" style="903" customWidth="1"/>
    <col min="266" max="266" width="11.5703125" style="903" customWidth="1"/>
    <col min="267" max="276" width="10.28515625" style="903" customWidth="1"/>
    <col min="277" max="277" width="11" style="903" customWidth="1"/>
    <col min="278" max="279" width="10.28515625" style="903" customWidth="1"/>
    <col min="280" max="280" width="9" style="903" customWidth="1"/>
    <col min="281" max="281" width="9.7109375" style="903" customWidth="1"/>
    <col min="282" max="282" width="10" style="903" customWidth="1"/>
    <col min="283" max="283" width="9.140625" style="903"/>
    <col min="284" max="284" width="10.85546875" style="903" customWidth="1"/>
    <col min="285" max="285" width="10.140625" style="903" customWidth="1"/>
    <col min="286" max="286" width="9.140625" style="903"/>
    <col min="287" max="287" width="10.28515625" style="903" customWidth="1"/>
    <col min="288" max="288" width="10.42578125" style="903" customWidth="1"/>
    <col min="289" max="512" width="9.140625" style="903"/>
    <col min="513" max="513" width="3.7109375" style="903" customWidth="1"/>
    <col min="514" max="514" width="13.7109375" style="903" customWidth="1"/>
    <col min="515" max="515" width="3.7109375" style="903" customWidth="1"/>
    <col min="516" max="516" width="11.7109375" style="903" customWidth="1"/>
    <col min="517" max="517" width="30.42578125" style="903" customWidth="1"/>
    <col min="518" max="518" width="21.140625" style="903" customWidth="1"/>
    <col min="519" max="521" width="10.28515625" style="903" customWidth="1"/>
    <col min="522" max="522" width="11.5703125" style="903" customWidth="1"/>
    <col min="523" max="532" width="10.28515625" style="903" customWidth="1"/>
    <col min="533" max="533" width="11" style="903" customWidth="1"/>
    <col min="534" max="535" width="10.28515625" style="903" customWidth="1"/>
    <col min="536" max="536" width="9" style="903" customWidth="1"/>
    <col min="537" max="537" width="9.7109375" style="903" customWidth="1"/>
    <col min="538" max="538" width="10" style="903" customWidth="1"/>
    <col min="539" max="539" width="9.140625" style="903"/>
    <col min="540" max="540" width="10.85546875" style="903" customWidth="1"/>
    <col min="541" max="541" width="10.140625" style="903" customWidth="1"/>
    <col min="542" max="542" width="9.140625" style="903"/>
    <col min="543" max="543" width="10.28515625" style="903" customWidth="1"/>
    <col min="544" max="544" width="10.42578125" style="903" customWidth="1"/>
    <col min="545" max="768" width="9.140625" style="903"/>
    <col min="769" max="769" width="3.7109375" style="903" customWidth="1"/>
    <col min="770" max="770" width="13.7109375" style="903" customWidth="1"/>
    <col min="771" max="771" width="3.7109375" style="903" customWidth="1"/>
    <col min="772" max="772" width="11.7109375" style="903" customWidth="1"/>
    <col min="773" max="773" width="30.42578125" style="903" customWidth="1"/>
    <col min="774" max="774" width="21.140625" style="903" customWidth="1"/>
    <col min="775" max="777" width="10.28515625" style="903" customWidth="1"/>
    <col min="778" max="778" width="11.5703125" style="903" customWidth="1"/>
    <col min="779" max="788" width="10.28515625" style="903" customWidth="1"/>
    <col min="789" max="789" width="11" style="903" customWidth="1"/>
    <col min="790" max="791" width="10.28515625" style="903" customWidth="1"/>
    <col min="792" max="792" width="9" style="903" customWidth="1"/>
    <col min="793" max="793" width="9.7109375" style="903" customWidth="1"/>
    <col min="794" max="794" width="10" style="903" customWidth="1"/>
    <col min="795" max="795" width="9.140625" style="903"/>
    <col min="796" max="796" width="10.85546875" style="903" customWidth="1"/>
    <col min="797" max="797" width="10.140625" style="903" customWidth="1"/>
    <col min="798" max="798" width="9.140625" style="903"/>
    <col min="799" max="799" width="10.28515625" style="903" customWidth="1"/>
    <col min="800" max="800" width="10.42578125" style="903" customWidth="1"/>
    <col min="801" max="1024" width="9.140625" style="903"/>
    <col min="1025" max="1025" width="3.7109375" style="903" customWidth="1"/>
    <col min="1026" max="1026" width="13.7109375" style="903" customWidth="1"/>
    <col min="1027" max="1027" width="3.7109375" style="903" customWidth="1"/>
    <col min="1028" max="1028" width="11.7109375" style="903" customWidth="1"/>
    <col min="1029" max="1029" width="30.42578125" style="903" customWidth="1"/>
    <col min="1030" max="1030" width="21.140625" style="903" customWidth="1"/>
    <col min="1031" max="1033" width="10.28515625" style="903" customWidth="1"/>
    <col min="1034" max="1034" width="11.5703125" style="903" customWidth="1"/>
    <col min="1035" max="1044" width="10.28515625" style="903" customWidth="1"/>
    <col min="1045" max="1045" width="11" style="903" customWidth="1"/>
    <col min="1046" max="1047" width="10.28515625" style="903" customWidth="1"/>
    <col min="1048" max="1048" width="9" style="903" customWidth="1"/>
    <col min="1049" max="1049" width="9.7109375" style="903" customWidth="1"/>
    <col min="1050" max="1050" width="10" style="903" customWidth="1"/>
    <col min="1051" max="1051" width="9.140625" style="903"/>
    <col min="1052" max="1052" width="10.85546875" style="903" customWidth="1"/>
    <col min="1053" max="1053" width="10.140625" style="903" customWidth="1"/>
    <col min="1054" max="1054" width="9.140625" style="903"/>
    <col min="1055" max="1055" width="10.28515625" style="903" customWidth="1"/>
    <col min="1056" max="1056" width="10.42578125" style="903" customWidth="1"/>
    <col min="1057" max="1280" width="9.140625" style="903"/>
    <col min="1281" max="1281" width="3.7109375" style="903" customWidth="1"/>
    <col min="1282" max="1282" width="13.7109375" style="903" customWidth="1"/>
    <col min="1283" max="1283" width="3.7109375" style="903" customWidth="1"/>
    <col min="1284" max="1284" width="11.7109375" style="903" customWidth="1"/>
    <col min="1285" max="1285" width="30.42578125" style="903" customWidth="1"/>
    <col min="1286" max="1286" width="21.140625" style="903" customWidth="1"/>
    <col min="1287" max="1289" width="10.28515625" style="903" customWidth="1"/>
    <col min="1290" max="1290" width="11.5703125" style="903" customWidth="1"/>
    <col min="1291" max="1300" width="10.28515625" style="903" customWidth="1"/>
    <col min="1301" max="1301" width="11" style="903" customWidth="1"/>
    <col min="1302" max="1303" width="10.28515625" style="903" customWidth="1"/>
    <col min="1304" max="1304" width="9" style="903" customWidth="1"/>
    <col min="1305" max="1305" width="9.7109375" style="903" customWidth="1"/>
    <col min="1306" max="1306" width="10" style="903" customWidth="1"/>
    <col min="1307" max="1307" width="9.140625" style="903"/>
    <col min="1308" max="1308" width="10.85546875" style="903" customWidth="1"/>
    <col min="1309" max="1309" width="10.140625" style="903" customWidth="1"/>
    <col min="1310" max="1310" width="9.140625" style="903"/>
    <col min="1311" max="1311" width="10.28515625" style="903" customWidth="1"/>
    <col min="1312" max="1312" width="10.42578125" style="903" customWidth="1"/>
    <col min="1313" max="1536" width="9.140625" style="903"/>
    <col min="1537" max="1537" width="3.7109375" style="903" customWidth="1"/>
    <col min="1538" max="1538" width="13.7109375" style="903" customWidth="1"/>
    <col min="1539" max="1539" width="3.7109375" style="903" customWidth="1"/>
    <col min="1540" max="1540" width="11.7109375" style="903" customWidth="1"/>
    <col min="1541" max="1541" width="30.42578125" style="903" customWidth="1"/>
    <col min="1542" max="1542" width="21.140625" style="903" customWidth="1"/>
    <col min="1543" max="1545" width="10.28515625" style="903" customWidth="1"/>
    <col min="1546" max="1546" width="11.5703125" style="903" customWidth="1"/>
    <col min="1547" max="1556" width="10.28515625" style="903" customWidth="1"/>
    <col min="1557" max="1557" width="11" style="903" customWidth="1"/>
    <col min="1558" max="1559" width="10.28515625" style="903" customWidth="1"/>
    <col min="1560" max="1560" width="9" style="903" customWidth="1"/>
    <col min="1561" max="1561" width="9.7109375" style="903" customWidth="1"/>
    <col min="1562" max="1562" width="10" style="903" customWidth="1"/>
    <col min="1563" max="1563" width="9.140625" style="903"/>
    <col min="1564" max="1564" width="10.85546875" style="903" customWidth="1"/>
    <col min="1565" max="1565" width="10.140625" style="903" customWidth="1"/>
    <col min="1566" max="1566" width="9.140625" style="903"/>
    <col min="1567" max="1567" width="10.28515625" style="903" customWidth="1"/>
    <col min="1568" max="1568" width="10.42578125" style="903" customWidth="1"/>
    <col min="1569" max="1792" width="9.140625" style="903"/>
    <col min="1793" max="1793" width="3.7109375" style="903" customWidth="1"/>
    <col min="1794" max="1794" width="13.7109375" style="903" customWidth="1"/>
    <col min="1795" max="1795" width="3.7109375" style="903" customWidth="1"/>
    <col min="1796" max="1796" width="11.7109375" style="903" customWidth="1"/>
    <col min="1797" max="1797" width="30.42578125" style="903" customWidth="1"/>
    <col min="1798" max="1798" width="21.140625" style="903" customWidth="1"/>
    <col min="1799" max="1801" width="10.28515625" style="903" customWidth="1"/>
    <col min="1802" max="1802" width="11.5703125" style="903" customWidth="1"/>
    <col min="1803" max="1812" width="10.28515625" style="903" customWidth="1"/>
    <col min="1813" max="1813" width="11" style="903" customWidth="1"/>
    <col min="1814" max="1815" width="10.28515625" style="903" customWidth="1"/>
    <col min="1816" max="1816" width="9" style="903" customWidth="1"/>
    <col min="1817" max="1817" width="9.7109375" style="903" customWidth="1"/>
    <col min="1818" max="1818" width="10" style="903" customWidth="1"/>
    <col min="1819" max="1819" width="9.140625" style="903"/>
    <col min="1820" max="1820" width="10.85546875" style="903" customWidth="1"/>
    <col min="1821" max="1821" width="10.140625" style="903" customWidth="1"/>
    <col min="1822" max="1822" width="9.140625" style="903"/>
    <col min="1823" max="1823" width="10.28515625" style="903" customWidth="1"/>
    <col min="1824" max="1824" width="10.42578125" style="903" customWidth="1"/>
    <col min="1825" max="2048" width="9.140625" style="903"/>
    <col min="2049" max="2049" width="3.7109375" style="903" customWidth="1"/>
    <col min="2050" max="2050" width="13.7109375" style="903" customWidth="1"/>
    <col min="2051" max="2051" width="3.7109375" style="903" customWidth="1"/>
    <col min="2052" max="2052" width="11.7109375" style="903" customWidth="1"/>
    <col min="2053" max="2053" width="30.42578125" style="903" customWidth="1"/>
    <col min="2054" max="2054" width="21.140625" style="903" customWidth="1"/>
    <col min="2055" max="2057" width="10.28515625" style="903" customWidth="1"/>
    <col min="2058" max="2058" width="11.5703125" style="903" customWidth="1"/>
    <col min="2059" max="2068" width="10.28515625" style="903" customWidth="1"/>
    <col min="2069" max="2069" width="11" style="903" customWidth="1"/>
    <col min="2070" max="2071" width="10.28515625" style="903" customWidth="1"/>
    <col min="2072" max="2072" width="9" style="903" customWidth="1"/>
    <col min="2073" max="2073" width="9.7109375" style="903" customWidth="1"/>
    <col min="2074" max="2074" width="10" style="903" customWidth="1"/>
    <col min="2075" max="2075" width="9.140625" style="903"/>
    <col min="2076" max="2076" width="10.85546875" style="903" customWidth="1"/>
    <col min="2077" max="2077" width="10.140625" style="903" customWidth="1"/>
    <col min="2078" max="2078" width="9.140625" style="903"/>
    <col min="2079" max="2079" width="10.28515625" style="903" customWidth="1"/>
    <col min="2080" max="2080" width="10.42578125" style="903" customWidth="1"/>
    <col min="2081" max="2304" width="9.140625" style="903"/>
    <col min="2305" max="2305" width="3.7109375" style="903" customWidth="1"/>
    <col min="2306" max="2306" width="13.7109375" style="903" customWidth="1"/>
    <col min="2307" max="2307" width="3.7109375" style="903" customWidth="1"/>
    <col min="2308" max="2308" width="11.7109375" style="903" customWidth="1"/>
    <col min="2309" max="2309" width="30.42578125" style="903" customWidth="1"/>
    <col min="2310" max="2310" width="21.140625" style="903" customWidth="1"/>
    <col min="2311" max="2313" width="10.28515625" style="903" customWidth="1"/>
    <col min="2314" max="2314" width="11.5703125" style="903" customWidth="1"/>
    <col min="2315" max="2324" width="10.28515625" style="903" customWidth="1"/>
    <col min="2325" max="2325" width="11" style="903" customWidth="1"/>
    <col min="2326" max="2327" width="10.28515625" style="903" customWidth="1"/>
    <col min="2328" max="2328" width="9" style="903" customWidth="1"/>
    <col min="2329" max="2329" width="9.7109375" style="903" customWidth="1"/>
    <col min="2330" max="2330" width="10" style="903" customWidth="1"/>
    <col min="2331" max="2331" width="9.140625" style="903"/>
    <col min="2332" max="2332" width="10.85546875" style="903" customWidth="1"/>
    <col min="2333" max="2333" width="10.140625" style="903" customWidth="1"/>
    <col min="2334" max="2334" width="9.140625" style="903"/>
    <col min="2335" max="2335" width="10.28515625" style="903" customWidth="1"/>
    <col min="2336" max="2336" width="10.42578125" style="903" customWidth="1"/>
    <col min="2337" max="2560" width="9.140625" style="903"/>
    <col min="2561" max="2561" width="3.7109375" style="903" customWidth="1"/>
    <col min="2562" max="2562" width="13.7109375" style="903" customWidth="1"/>
    <col min="2563" max="2563" width="3.7109375" style="903" customWidth="1"/>
    <col min="2564" max="2564" width="11.7109375" style="903" customWidth="1"/>
    <col min="2565" max="2565" width="30.42578125" style="903" customWidth="1"/>
    <col min="2566" max="2566" width="21.140625" style="903" customWidth="1"/>
    <col min="2567" max="2569" width="10.28515625" style="903" customWidth="1"/>
    <col min="2570" max="2570" width="11.5703125" style="903" customWidth="1"/>
    <col min="2571" max="2580" width="10.28515625" style="903" customWidth="1"/>
    <col min="2581" max="2581" width="11" style="903" customWidth="1"/>
    <col min="2582" max="2583" width="10.28515625" style="903" customWidth="1"/>
    <col min="2584" max="2584" width="9" style="903" customWidth="1"/>
    <col min="2585" max="2585" width="9.7109375" style="903" customWidth="1"/>
    <col min="2586" max="2586" width="10" style="903" customWidth="1"/>
    <col min="2587" max="2587" width="9.140625" style="903"/>
    <col min="2588" max="2588" width="10.85546875" style="903" customWidth="1"/>
    <col min="2589" max="2589" width="10.140625" style="903" customWidth="1"/>
    <col min="2590" max="2590" width="9.140625" style="903"/>
    <col min="2591" max="2591" width="10.28515625" style="903" customWidth="1"/>
    <col min="2592" max="2592" width="10.42578125" style="903" customWidth="1"/>
    <col min="2593" max="2816" width="9.140625" style="903"/>
    <col min="2817" max="2817" width="3.7109375" style="903" customWidth="1"/>
    <col min="2818" max="2818" width="13.7109375" style="903" customWidth="1"/>
    <col min="2819" max="2819" width="3.7109375" style="903" customWidth="1"/>
    <col min="2820" max="2820" width="11.7109375" style="903" customWidth="1"/>
    <col min="2821" max="2821" width="30.42578125" style="903" customWidth="1"/>
    <col min="2822" max="2822" width="21.140625" style="903" customWidth="1"/>
    <col min="2823" max="2825" width="10.28515625" style="903" customWidth="1"/>
    <col min="2826" max="2826" width="11.5703125" style="903" customWidth="1"/>
    <col min="2827" max="2836" width="10.28515625" style="903" customWidth="1"/>
    <col min="2837" max="2837" width="11" style="903" customWidth="1"/>
    <col min="2838" max="2839" width="10.28515625" style="903" customWidth="1"/>
    <col min="2840" max="2840" width="9" style="903" customWidth="1"/>
    <col min="2841" max="2841" width="9.7109375" style="903" customWidth="1"/>
    <col min="2842" max="2842" width="10" style="903" customWidth="1"/>
    <col min="2843" max="2843" width="9.140625" style="903"/>
    <col min="2844" max="2844" width="10.85546875" style="903" customWidth="1"/>
    <col min="2845" max="2845" width="10.140625" style="903" customWidth="1"/>
    <col min="2846" max="2846" width="9.140625" style="903"/>
    <col min="2847" max="2847" width="10.28515625" style="903" customWidth="1"/>
    <col min="2848" max="2848" width="10.42578125" style="903" customWidth="1"/>
    <col min="2849" max="3072" width="9.140625" style="903"/>
    <col min="3073" max="3073" width="3.7109375" style="903" customWidth="1"/>
    <col min="3074" max="3074" width="13.7109375" style="903" customWidth="1"/>
    <col min="3075" max="3075" width="3.7109375" style="903" customWidth="1"/>
    <col min="3076" max="3076" width="11.7109375" style="903" customWidth="1"/>
    <col min="3077" max="3077" width="30.42578125" style="903" customWidth="1"/>
    <col min="3078" max="3078" width="21.140625" style="903" customWidth="1"/>
    <col min="3079" max="3081" width="10.28515625" style="903" customWidth="1"/>
    <col min="3082" max="3082" width="11.5703125" style="903" customWidth="1"/>
    <col min="3083" max="3092" width="10.28515625" style="903" customWidth="1"/>
    <col min="3093" max="3093" width="11" style="903" customWidth="1"/>
    <col min="3094" max="3095" width="10.28515625" style="903" customWidth="1"/>
    <col min="3096" max="3096" width="9" style="903" customWidth="1"/>
    <col min="3097" max="3097" width="9.7109375" style="903" customWidth="1"/>
    <col min="3098" max="3098" width="10" style="903" customWidth="1"/>
    <col min="3099" max="3099" width="9.140625" style="903"/>
    <col min="3100" max="3100" width="10.85546875" style="903" customWidth="1"/>
    <col min="3101" max="3101" width="10.140625" style="903" customWidth="1"/>
    <col min="3102" max="3102" width="9.140625" style="903"/>
    <col min="3103" max="3103" width="10.28515625" style="903" customWidth="1"/>
    <col min="3104" max="3104" width="10.42578125" style="903" customWidth="1"/>
    <col min="3105" max="3328" width="9.140625" style="903"/>
    <col min="3329" max="3329" width="3.7109375" style="903" customWidth="1"/>
    <col min="3330" max="3330" width="13.7109375" style="903" customWidth="1"/>
    <col min="3331" max="3331" width="3.7109375" style="903" customWidth="1"/>
    <col min="3332" max="3332" width="11.7109375" style="903" customWidth="1"/>
    <col min="3333" max="3333" width="30.42578125" style="903" customWidth="1"/>
    <col min="3334" max="3334" width="21.140625" style="903" customWidth="1"/>
    <col min="3335" max="3337" width="10.28515625" style="903" customWidth="1"/>
    <col min="3338" max="3338" width="11.5703125" style="903" customWidth="1"/>
    <col min="3339" max="3348" width="10.28515625" style="903" customWidth="1"/>
    <col min="3349" max="3349" width="11" style="903" customWidth="1"/>
    <col min="3350" max="3351" width="10.28515625" style="903" customWidth="1"/>
    <col min="3352" max="3352" width="9" style="903" customWidth="1"/>
    <col min="3353" max="3353" width="9.7109375" style="903" customWidth="1"/>
    <col min="3354" max="3354" width="10" style="903" customWidth="1"/>
    <col min="3355" max="3355" width="9.140625" style="903"/>
    <col min="3356" max="3356" width="10.85546875" style="903" customWidth="1"/>
    <col min="3357" max="3357" width="10.140625" style="903" customWidth="1"/>
    <col min="3358" max="3358" width="9.140625" style="903"/>
    <col min="3359" max="3359" width="10.28515625" style="903" customWidth="1"/>
    <col min="3360" max="3360" width="10.42578125" style="903" customWidth="1"/>
    <col min="3361" max="3584" width="9.140625" style="903"/>
    <col min="3585" max="3585" width="3.7109375" style="903" customWidth="1"/>
    <col min="3586" max="3586" width="13.7109375" style="903" customWidth="1"/>
    <col min="3587" max="3587" width="3.7109375" style="903" customWidth="1"/>
    <col min="3588" max="3588" width="11.7109375" style="903" customWidth="1"/>
    <col min="3589" max="3589" width="30.42578125" style="903" customWidth="1"/>
    <col min="3590" max="3590" width="21.140625" style="903" customWidth="1"/>
    <col min="3591" max="3593" width="10.28515625" style="903" customWidth="1"/>
    <col min="3594" max="3594" width="11.5703125" style="903" customWidth="1"/>
    <col min="3595" max="3604" width="10.28515625" style="903" customWidth="1"/>
    <col min="3605" max="3605" width="11" style="903" customWidth="1"/>
    <col min="3606" max="3607" width="10.28515625" style="903" customWidth="1"/>
    <col min="3608" max="3608" width="9" style="903" customWidth="1"/>
    <col min="3609" max="3609" width="9.7109375" style="903" customWidth="1"/>
    <col min="3610" max="3610" width="10" style="903" customWidth="1"/>
    <col min="3611" max="3611" width="9.140625" style="903"/>
    <col min="3612" max="3612" width="10.85546875" style="903" customWidth="1"/>
    <col min="3613" max="3613" width="10.140625" style="903" customWidth="1"/>
    <col min="3614" max="3614" width="9.140625" style="903"/>
    <col min="3615" max="3615" width="10.28515625" style="903" customWidth="1"/>
    <col min="3616" max="3616" width="10.42578125" style="903" customWidth="1"/>
    <col min="3617" max="3840" width="9.140625" style="903"/>
    <col min="3841" max="3841" width="3.7109375" style="903" customWidth="1"/>
    <col min="3842" max="3842" width="13.7109375" style="903" customWidth="1"/>
    <col min="3843" max="3843" width="3.7109375" style="903" customWidth="1"/>
    <col min="3844" max="3844" width="11.7109375" style="903" customWidth="1"/>
    <col min="3845" max="3845" width="30.42578125" style="903" customWidth="1"/>
    <col min="3846" max="3846" width="21.140625" style="903" customWidth="1"/>
    <col min="3847" max="3849" width="10.28515625" style="903" customWidth="1"/>
    <col min="3850" max="3850" width="11.5703125" style="903" customWidth="1"/>
    <col min="3851" max="3860" width="10.28515625" style="903" customWidth="1"/>
    <col min="3861" max="3861" width="11" style="903" customWidth="1"/>
    <col min="3862" max="3863" width="10.28515625" style="903" customWidth="1"/>
    <col min="3864" max="3864" width="9" style="903" customWidth="1"/>
    <col min="3865" max="3865" width="9.7109375" style="903" customWidth="1"/>
    <col min="3866" max="3866" width="10" style="903" customWidth="1"/>
    <col min="3867" max="3867" width="9.140625" style="903"/>
    <col min="3868" max="3868" width="10.85546875" style="903" customWidth="1"/>
    <col min="3869" max="3869" width="10.140625" style="903" customWidth="1"/>
    <col min="3870" max="3870" width="9.140625" style="903"/>
    <col min="3871" max="3871" width="10.28515625" style="903" customWidth="1"/>
    <col min="3872" max="3872" width="10.42578125" style="903" customWidth="1"/>
    <col min="3873" max="4096" width="9.140625" style="903"/>
    <col min="4097" max="4097" width="3.7109375" style="903" customWidth="1"/>
    <col min="4098" max="4098" width="13.7109375" style="903" customWidth="1"/>
    <col min="4099" max="4099" width="3.7109375" style="903" customWidth="1"/>
    <col min="4100" max="4100" width="11.7109375" style="903" customWidth="1"/>
    <col min="4101" max="4101" width="30.42578125" style="903" customWidth="1"/>
    <col min="4102" max="4102" width="21.140625" style="903" customWidth="1"/>
    <col min="4103" max="4105" width="10.28515625" style="903" customWidth="1"/>
    <col min="4106" max="4106" width="11.5703125" style="903" customWidth="1"/>
    <col min="4107" max="4116" width="10.28515625" style="903" customWidth="1"/>
    <col min="4117" max="4117" width="11" style="903" customWidth="1"/>
    <col min="4118" max="4119" width="10.28515625" style="903" customWidth="1"/>
    <col min="4120" max="4120" width="9" style="903" customWidth="1"/>
    <col min="4121" max="4121" width="9.7109375" style="903" customWidth="1"/>
    <col min="4122" max="4122" width="10" style="903" customWidth="1"/>
    <col min="4123" max="4123" width="9.140625" style="903"/>
    <col min="4124" max="4124" width="10.85546875" style="903" customWidth="1"/>
    <col min="4125" max="4125" width="10.140625" style="903" customWidth="1"/>
    <col min="4126" max="4126" width="9.140625" style="903"/>
    <col min="4127" max="4127" width="10.28515625" style="903" customWidth="1"/>
    <col min="4128" max="4128" width="10.42578125" style="903" customWidth="1"/>
    <col min="4129" max="4352" width="9.140625" style="903"/>
    <col min="4353" max="4353" width="3.7109375" style="903" customWidth="1"/>
    <col min="4354" max="4354" width="13.7109375" style="903" customWidth="1"/>
    <col min="4355" max="4355" width="3.7109375" style="903" customWidth="1"/>
    <col min="4356" max="4356" width="11.7109375" style="903" customWidth="1"/>
    <col min="4357" max="4357" width="30.42578125" style="903" customWidth="1"/>
    <col min="4358" max="4358" width="21.140625" style="903" customWidth="1"/>
    <col min="4359" max="4361" width="10.28515625" style="903" customWidth="1"/>
    <col min="4362" max="4362" width="11.5703125" style="903" customWidth="1"/>
    <col min="4363" max="4372" width="10.28515625" style="903" customWidth="1"/>
    <col min="4373" max="4373" width="11" style="903" customWidth="1"/>
    <col min="4374" max="4375" width="10.28515625" style="903" customWidth="1"/>
    <col min="4376" max="4376" width="9" style="903" customWidth="1"/>
    <col min="4377" max="4377" width="9.7109375" style="903" customWidth="1"/>
    <col min="4378" max="4378" width="10" style="903" customWidth="1"/>
    <col min="4379" max="4379" width="9.140625" style="903"/>
    <col min="4380" max="4380" width="10.85546875" style="903" customWidth="1"/>
    <col min="4381" max="4381" width="10.140625" style="903" customWidth="1"/>
    <col min="4382" max="4382" width="9.140625" style="903"/>
    <col min="4383" max="4383" width="10.28515625" style="903" customWidth="1"/>
    <col min="4384" max="4384" width="10.42578125" style="903" customWidth="1"/>
    <col min="4385" max="4608" width="9.140625" style="903"/>
    <col min="4609" max="4609" width="3.7109375" style="903" customWidth="1"/>
    <col min="4610" max="4610" width="13.7109375" style="903" customWidth="1"/>
    <col min="4611" max="4611" width="3.7109375" style="903" customWidth="1"/>
    <col min="4612" max="4612" width="11.7109375" style="903" customWidth="1"/>
    <col min="4613" max="4613" width="30.42578125" style="903" customWidth="1"/>
    <col min="4614" max="4614" width="21.140625" style="903" customWidth="1"/>
    <col min="4615" max="4617" width="10.28515625" style="903" customWidth="1"/>
    <col min="4618" max="4618" width="11.5703125" style="903" customWidth="1"/>
    <col min="4619" max="4628" width="10.28515625" style="903" customWidth="1"/>
    <col min="4629" max="4629" width="11" style="903" customWidth="1"/>
    <col min="4630" max="4631" width="10.28515625" style="903" customWidth="1"/>
    <col min="4632" max="4632" width="9" style="903" customWidth="1"/>
    <col min="4633" max="4633" width="9.7109375" style="903" customWidth="1"/>
    <col min="4634" max="4634" width="10" style="903" customWidth="1"/>
    <col min="4635" max="4635" width="9.140625" style="903"/>
    <col min="4636" max="4636" width="10.85546875" style="903" customWidth="1"/>
    <col min="4637" max="4637" width="10.140625" style="903" customWidth="1"/>
    <col min="4638" max="4638" width="9.140625" style="903"/>
    <col min="4639" max="4639" width="10.28515625" style="903" customWidth="1"/>
    <col min="4640" max="4640" width="10.42578125" style="903" customWidth="1"/>
    <col min="4641" max="4864" width="9.140625" style="903"/>
    <col min="4865" max="4865" width="3.7109375" style="903" customWidth="1"/>
    <col min="4866" max="4866" width="13.7109375" style="903" customWidth="1"/>
    <col min="4867" max="4867" width="3.7109375" style="903" customWidth="1"/>
    <col min="4868" max="4868" width="11.7109375" style="903" customWidth="1"/>
    <col min="4869" max="4869" width="30.42578125" style="903" customWidth="1"/>
    <col min="4870" max="4870" width="21.140625" style="903" customWidth="1"/>
    <col min="4871" max="4873" width="10.28515625" style="903" customWidth="1"/>
    <col min="4874" max="4874" width="11.5703125" style="903" customWidth="1"/>
    <col min="4875" max="4884" width="10.28515625" style="903" customWidth="1"/>
    <col min="4885" max="4885" width="11" style="903" customWidth="1"/>
    <col min="4886" max="4887" width="10.28515625" style="903" customWidth="1"/>
    <col min="4888" max="4888" width="9" style="903" customWidth="1"/>
    <col min="4889" max="4889" width="9.7109375" style="903" customWidth="1"/>
    <col min="4890" max="4890" width="10" style="903" customWidth="1"/>
    <col min="4891" max="4891" width="9.140625" style="903"/>
    <col min="4892" max="4892" width="10.85546875" style="903" customWidth="1"/>
    <col min="4893" max="4893" width="10.140625" style="903" customWidth="1"/>
    <col min="4894" max="4894" width="9.140625" style="903"/>
    <col min="4895" max="4895" width="10.28515625" style="903" customWidth="1"/>
    <col min="4896" max="4896" width="10.42578125" style="903" customWidth="1"/>
    <col min="4897" max="5120" width="9.140625" style="903"/>
    <col min="5121" max="5121" width="3.7109375" style="903" customWidth="1"/>
    <col min="5122" max="5122" width="13.7109375" style="903" customWidth="1"/>
    <col min="5123" max="5123" width="3.7109375" style="903" customWidth="1"/>
    <col min="5124" max="5124" width="11.7109375" style="903" customWidth="1"/>
    <col min="5125" max="5125" width="30.42578125" style="903" customWidth="1"/>
    <col min="5126" max="5126" width="21.140625" style="903" customWidth="1"/>
    <col min="5127" max="5129" width="10.28515625" style="903" customWidth="1"/>
    <col min="5130" max="5130" width="11.5703125" style="903" customWidth="1"/>
    <col min="5131" max="5140" width="10.28515625" style="903" customWidth="1"/>
    <col min="5141" max="5141" width="11" style="903" customWidth="1"/>
    <col min="5142" max="5143" width="10.28515625" style="903" customWidth="1"/>
    <col min="5144" max="5144" width="9" style="903" customWidth="1"/>
    <col min="5145" max="5145" width="9.7109375" style="903" customWidth="1"/>
    <col min="5146" max="5146" width="10" style="903" customWidth="1"/>
    <col min="5147" max="5147" width="9.140625" style="903"/>
    <col min="5148" max="5148" width="10.85546875" style="903" customWidth="1"/>
    <col min="5149" max="5149" width="10.140625" style="903" customWidth="1"/>
    <col min="5150" max="5150" width="9.140625" style="903"/>
    <col min="5151" max="5151" width="10.28515625" style="903" customWidth="1"/>
    <col min="5152" max="5152" width="10.42578125" style="903" customWidth="1"/>
    <col min="5153" max="5376" width="9.140625" style="903"/>
    <col min="5377" max="5377" width="3.7109375" style="903" customWidth="1"/>
    <col min="5378" max="5378" width="13.7109375" style="903" customWidth="1"/>
    <col min="5379" max="5379" width="3.7109375" style="903" customWidth="1"/>
    <col min="5380" max="5380" width="11.7109375" style="903" customWidth="1"/>
    <col min="5381" max="5381" width="30.42578125" style="903" customWidth="1"/>
    <col min="5382" max="5382" width="21.140625" style="903" customWidth="1"/>
    <col min="5383" max="5385" width="10.28515625" style="903" customWidth="1"/>
    <col min="5386" max="5386" width="11.5703125" style="903" customWidth="1"/>
    <col min="5387" max="5396" width="10.28515625" style="903" customWidth="1"/>
    <col min="5397" max="5397" width="11" style="903" customWidth="1"/>
    <col min="5398" max="5399" width="10.28515625" style="903" customWidth="1"/>
    <col min="5400" max="5400" width="9" style="903" customWidth="1"/>
    <col min="5401" max="5401" width="9.7109375" style="903" customWidth="1"/>
    <col min="5402" max="5402" width="10" style="903" customWidth="1"/>
    <col min="5403" max="5403" width="9.140625" style="903"/>
    <col min="5404" max="5404" width="10.85546875" style="903" customWidth="1"/>
    <col min="5405" max="5405" width="10.140625" style="903" customWidth="1"/>
    <col min="5406" max="5406" width="9.140625" style="903"/>
    <col min="5407" max="5407" width="10.28515625" style="903" customWidth="1"/>
    <col min="5408" max="5408" width="10.42578125" style="903" customWidth="1"/>
    <col min="5409" max="5632" width="9.140625" style="903"/>
    <col min="5633" max="5633" width="3.7109375" style="903" customWidth="1"/>
    <col min="5634" max="5634" width="13.7109375" style="903" customWidth="1"/>
    <col min="5635" max="5635" width="3.7109375" style="903" customWidth="1"/>
    <col min="5636" max="5636" width="11.7109375" style="903" customWidth="1"/>
    <col min="5637" max="5637" width="30.42578125" style="903" customWidth="1"/>
    <col min="5638" max="5638" width="21.140625" style="903" customWidth="1"/>
    <col min="5639" max="5641" width="10.28515625" style="903" customWidth="1"/>
    <col min="5642" max="5642" width="11.5703125" style="903" customWidth="1"/>
    <col min="5643" max="5652" width="10.28515625" style="903" customWidth="1"/>
    <col min="5653" max="5653" width="11" style="903" customWidth="1"/>
    <col min="5654" max="5655" width="10.28515625" style="903" customWidth="1"/>
    <col min="5656" max="5656" width="9" style="903" customWidth="1"/>
    <col min="5657" max="5657" width="9.7109375" style="903" customWidth="1"/>
    <col min="5658" max="5658" width="10" style="903" customWidth="1"/>
    <col min="5659" max="5659" width="9.140625" style="903"/>
    <col min="5660" max="5660" width="10.85546875" style="903" customWidth="1"/>
    <col min="5661" max="5661" width="10.140625" style="903" customWidth="1"/>
    <col min="5662" max="5662" width="9.140625" style="903"/>
    <col min="5663" max="5663" width="10.28515625" style="903" customWidth="1"/>
    <col min="5664" max="5664" width="10.42578125" style="903" customWidth="1"/>
    <col min="5665" max="5888" width="9.140625" style="903"/>
    <col min="5889" max="5889" width="3.7109375" style="903" customWidth="1"/>
    <col min="5890" max="5890" width="13.7109375" style="903" customWidth="1"/>
    <col min="5891" max="5891" width="3.7109375" style="903" customWidth="1"/>
    <col min="5892" max="5892" width="11.7109375" style="903" customWidth="1"/>
    <col min="5893" max="5893" width="30.42578125" style="903" customWidth="1"/>
    <col min="5894" max="5894" width="21.140625" style="903" customWidth="1"/>
    <col min="5895" max="5897" width="10.28515625" style="903" customWidth="1"/>
    <col min="5898" max="5898" width="11.5703125" style="903" customWidth="1"/>
    <col min="5899" max="5908" width="10.28515625" style="903" customWidth="1"/>
    <col min="5909" max="5909" width="11" style="903" customWidth="1"/>
    <col min="5910" max="5911" width="10.28515625" style="903" customWidth="1"/>
    <col min="5912" max="5912" width="9" style="903" customWidth="1"/>
    <col min="5913" max="5913" width="9.7109375" style="903" customWidth="1"/>
    <col min="5914" max="5914" width="10" style="903" customWidth="1"/>
    <col min="5915" max="5915" width="9.140625" style="903"/>
    <col min="5916" max="5916" width="10.85546875" style="903" customWidth="1"/>
    <col min="5917" max="5917" width="10.140625" style="903" customWidth="1"/>
    <col min="5918" max="5918" width="9.140625" style="903"/>
    <col min="5919" max="5919" width="10.28515625" style="903" customWidth="1"/>
    <col min="5920" max="5920" width="10.42578125" style="903" customWidth="1"/>
    <col min="5921" max="6144" width="9.140625" style="903"/>
    <col min="6145" max="6145" width="3.7109375" style="903" customWidth="1"/>
    <col min="6146" max="6146" width="13.7109375" style="903" customWidth="1"/>
    <col min="6147" max="6147" width="3.7109375" style="903" customWidth="1"/>
    <col min="6148" max="6148" width="11.7109375" style="903" customWidth="1"/>
    <col min="6149" max="6149" width="30.42578125" style="903" customWidth="1"/>
    <col min="6150" max="6150" width="21.140625" style="903" customWidth="1"/>
    <col min="6151" max="6153" width="10.28515625" style="903" customWidth="1"/>
    <col min="6154" max="6154" width="11.5703125" style="903" customWidth="1"/>
    <col min="6155" max="6164" width="10.28515625" style="903" customWidth="1"/>
    <col min="6165" max="6165" width="11" style="903" customWidth="1"/>
    <col min="6166" max="6167" width="10.28515625" style="903" customWidth="1"/>
    <col min="6168" max="6168" width="9" style="903" customWidth="1"/>
    <col min="6169" max="6169" width="9.7109375" style="903" customWidth="1"/>
    <col min="6170" max="6170" width="10" style="903" customWidth="1"/>
    <col min="6171" max="6171" width="9.140625" style="903"/>
    <col min="6172" max="6172" width="10.85546875" style="903" customWidth="1"/>
    <col min="6173" max="6173" width="10.140625" style="903" customWidth="1"/>
    <col min="6174" max="6174" width="9.140625" style="903"/>
    <col min="6175" max="6175" width="10.28515625" style="903" customWidth="1"/>
    <col min="6176" max="6176" width="10.42578125" style="903" customWidth="1"/>
    <col min="6177" max="6400" width="9.140625" style="903"/>
    <col min="6401" max="6401" width="3.7109375" style="903" customWidth="1"/>
    <col min="6402" max="6402" width="13.7109375" style="903" customWidth="1"/>
    <col min="6403" max="6403" width="3.7109375" style="903" customWidth="1"/>
    <col min="6404" max="6404" width="11.7109375" style="903" customWidth="1"/>
    <col min="6405" max="6405" width="30.42578125" style="903" customWidth="1"/>
    <col min="6406" max="6406" width="21.140625" style="903" customWidth="1"/>
    <col min="6407" max="6409" width="10.28515625" style="903" customWidth="1"/>
    <col min="6410" max="6410" width="11.5703125" style="903" customWidth="1"/>
    <col min="6411" max="6420" width="10.28515625" style="903" customWidth="1"/>
    <col min="6421" max="6421" width="11" style="903" customWidth="1"/>
    <col min="6422" max="6423" width="10.28515625" style="903" customWidth="1"/>
    <col min="6424" max="6424" width="9" style="903" customWidth="1"/>
    <col min="6425" max="6425" width="9.7109375" style="903" customWidth="1"/>
    <col min="6426" max="6426" width="10" style="903" customWidth="1"/>
    <col min="6427" max="6427" width="9.140625" style="903"/>
    <col min="6428" max="6428" width="10.85546875" style="903" customWidth="1"/>
    <col min="6429" max="6429" width="10.140625" style="903" customWidth="1"/>
    <col min="6430" max="6430" width="9.140625" style="903"/>
    <col min="6431" max="6431" width="10.28515625" style="903" customWidth="1"/>
    <col min="6432" max="6432" width="10.42578125" style="903" customWidth="1"/>
    <col min="6433" max="6656" width="9.140625" style="903"/>
    <col min="6657" max="6657" width="3.7109375" style="903" customWidth="1"/>
    <col min="6658" max="6658" width="13.7109375" style="903" customWidth="1"/>
    <col min="6659" max="6659" width="3.7109375" style="903" customWidth="1"/>
    <col min="6660" max="6660" width="11.7109375" style="903" customWidth="1"/>
    <col min="6661" max="6661" width="30.42578125" style="903" customWidth="1"/>
    <col min="6662" max="6662" width="21.140625" style="903" customWidth="1"/>
    <col min="6663" max="6665" width="10.28515625" style="903" customWidth="1"/>
    <col min="6666" max="6666" width="11.5703125" style="903" customWidth="1"/>
    <col min="6667" max="6676" width="10.28515625" style="903" customWidth="1"/>
    <col min="6677" max="6677" width="11" style="903" customWidth="1"/>
    <col min="6678" max="6679" width="10.28515625" style="903" customWidth="1"/>
    <col min="6680" max="6680" width="9" style="903" customWidth="1"/>
    <col min="6681" max="6681" width="9.7109375" style="903" customWidth="1"/>
    <col min="6682" max="6682" width="10" style="903" customWidth="1"/>
    <col min="6683" max="6683" width="9.140625" style="903"/>
    <col min="6684" max="6684" width="10.85546875" style="903" customWidth="1"/>
    <col min="6685" max="6685" width="10.140625" style="903" customWidth="1"/>
    <col min="6686" max="6686" width="9.140625" style="903"/>
    <col min="6687" max="6687" width="10.28515625" style="903" customWidth="1"/>
    <col min="6688" max="6688" width="10.42578125" style="903" customWidth="1"/>
    <col min="6689" max="6912" width="9.140625" style="903"/>
    <col min="6913" max="6913" width="3.7109375" style="903" customWidth="1"/>
    <col min="6914" max="6914" width="13.7109375" style="903" customWidth="1"/>
    <col min="6915" max="6915" width="3.7109375" style="903" customWidth="1"/>
    <col min="6916" max="6916" width="11.7109375" style="903" customWidth="1"/>
    <col min="6917" max="6917" width="30.42578125" style="903" customWidth="1"/>
    <col min="6918" max="6918" width="21.140625" style="903" customWidth="1"/>
    <col min="6919" max="6921" width="10.28515625" style="903" customWidth="1"/>
    <col min="6922" max="6922" width="11.5703125" style="903" customWidth="1"/>
    <col min="6923" max="6932" width="10.28515625" style="903" customWidth="1"/>
    <col min="6933" max="6933" width="11" style="903" customWidth="1"/>
    <col min="6934" max="6935" width="10.28515625" style="903" customWidth="1"/>
    <col min="6936" max="6936" width="9" style="903" customWidth="1"/>
    <col min="6937" max="6937" width="9.7109375" style="903" customWidth="1"/>
    <col min="6938" max="6938" width="10" style="903" customWidth="1"/>
    <col min="6939" max="6939" width="9.140625" style="903"/>
    <col min="6940" max="6940" width="10.85546875" style="903" customWidth="1"/>
    <col min="6941" max="6941" width="10.140625" style="903" customWidth="1"/>
    <col min="6942" max="6942" width="9.140625" style="903"/>
    <col min="6943" max="6943" width="10.28515625" style="903" customWidth="1"/>
    <col min="6944" max="6944" width="10.42578125" style="903" customWidth="1"/>
    <col min="6945" max="7168" width="9.140625" style="903"/>
    <col min="7169" max="7169" width="3.7109375" style="903" customWidth="1"/>
    <col min="7170" max="7170" width="13.7109375" style="903" customWidth="1"/>
    <col min="7171" max="7171" width="3.7109375" style="903" customWidth="1"/>
    <col min="7172" max="7172" width="11.7109375" style="903" customWidth="1"/>
    <col min="7173" max="7173" width="30.42578125" style="903" customWidth="1"/>
    <col min="7174" max="7174" width="21.140625" style="903" customWidth="1"/>
    <col min="7175" max="7177" width="10.28515625" style="903" customWidth="1"/>
    <col min="7178" max="7178" width="11.5703125" style="903" customWidth="1"/>
    <col min="7179" max="7188" width="10.28515625" style="903" customWidth="1"/>
    <col min="7189" max="7189" width="11" style="903" customWidth="1"/>
    <col min="7190" max="7191" width="10.28515625" style="903" customWidth="1"/>
    <col min="7192" max="7192" width="9" style="903" customWidth="1"/>
    <col min="7193" max="7193" width="9.7109375" style="903" customWidth="1"/>
    <col min="7194" max="7194" width="10" style="903" customWidth="1"/>
    <col min="7195" max="7195" width="9.140625" style="903"/>
    <col min="7196" max="7196" width="10.85546875" style="903" customWidth="1"/>
    <col min="7197" max="7197" width="10.140625" style="903" customWidth="1"/>
    <col min="7198" max="7198" width="9.140625" style="903"/>
    <col min="7199" max="7199" width="10.28515625" style="903" customWidth="1"/>
    <col min="7200" max="7200" width="10.42578125" style="903" customWidth="1"/>
    <col min="7201" max="7424" width="9.140625" style="903"/>
    <col min="7425" max="7425" width="3.7109375" style="903" customWidth="1"/>
    <col min="7426" max="7426" width="13.7109375" style="903" customWidth="1"/>
    <col min="7427" max="7427" width="3.7109375" style="903" customWidth="1"/>
    <col min="7428" max="7428" width="11.7109375" style="903" customWidth="1"/>
    <col min="7429" max="7429" width="30.42578125" style="903" customWidth="1"/>
    <col min="7430" max="7430" width="21.140625" style="903" customWidth="1"/>
    <col min="7431" max="7433" width="10.28515625" style="903" customWidth="1"/>
    <col min="7434" max="7434" width="11.5703125" style="903" customWidth="1"/>
    <col min="7435" max="7444" width="10.28515625" style="903" customWidth="1"/>
    <col min="7445" max="7445" width="11" style="903" customWidth="1"/>
    <col min="7446" max="7447" width="10.28515625" style="903" customWidth="1"/>
    <col min="7448" max="7448" width="9" style="903" customWidth="1"/>
    <col min="7449" max="7449" width="9.7109375" style="903" customWidth="1"/>
    <col min="7450" max="7450" width="10" style="903" customWidth="1"/>
    <col min="7451" max="7451" width="9.140625" style="903"/>
    <col min="7452" max="7452" width="10.85546875" style="903" customWidth="1"/>
    <col min="7453" max="7453" width="10.140625" style="903" customWidth="1"/>
    <col min="7454" max="7454" width="9.140625" style="903"/>
    <col min="7455" max="7455" width="10.28515625" style="903" customWidth="1"/>
    <col min="7456" max="7456" width="10.42578125" style="903" customWidth="1"/>
    <col min="7457" max="7680" width="9.140625" style="903"/>
    <col min="7681" max="7681" width="3.7109375" style="903" customWidth="1"/>
    <col min="7682" max="7682" width="13.7109375" style="903" customWidth="1"/>
    <col min="7683" max="7683" width="3.7109375" style="903" customWidth="1"/>
    <col min="7684" max="7684" width="11.7109375" style="903" customWidth="1"/>
    <col min="7685" max="7685" width="30.42578125" style="903" customWidth="1"/>
    <col min="7686" max="7686" width="21.140625" style="903" customWidth="1"/>
    <col min="7687" max="7689" width="10.28515625" style="903" customWidth="1"/>
    <col min="7690" max="7690" width="11.5703125" style="903" customWidth="1"/>
    <col min="7691" max="7700" width="10.28515625" style="903" customWidth="1"/>
    <col min="7701" max="7701" width="11" style="903" customWidth="1"/>
    <col min="7702" max="7703" width="10.28515625" style="903" customWidth="1"/>
    <col min="7704" max="7704" width="9" style="903" customWidth="1"/>
    <col min="7705" max="7705" width="9.7109375" style="903" customWidth="1"/>
    <col min="7706" max="7706" width="10" style="903" customWidth="1"/>
    <col min="7707" max="7707" width="9.140625" style="903"/>
    <col min="7708" max="7708" width="10.85546875" style="903" customWidth="1"/>
    <col min="7709" max="7709" width="10.140625" style="903" customWidth="1"/>
    <col min="7710" max="7710" width="9.140625" style="903"/>
    <col min="7711" max="7711" width="10.28515625" style="903" customWidth="1"/>
    <col min="7712" max="7712" width="10.42578125" style="903" customWidth="1"/>
    <col min="7713" max="7936" width="9.140625" style="903"/>
    <col min="7937" max="7937" width="3.7109375" style="903" customWidth="1"/>
    <col min="7938" max="7938" width="13.7109375" style="903" customWidth="1"/>
    <col min="7939" max="7939" width="3.7109375" style="903" customWidth="1"/>
    <col min="7940" max="7940" width="11.7109375" style="903" customWidth="1"/>
    <col min="7941" max="7941" width="30.42578125" style="903" customWidth="1"/>
    <col min="7942" max="7942" width="21.140625" style="903" customWidth="1"/>
    <col min="7943" max="7945" width="10.28515625" style="903" customWidth="1"/>
    <col min="7946" max="7946" width="11.5703125" style="903" customWidth="1"/>
    <col min="7947" max="7956" width="10.28515625" style="903" customWidth="1"/>
    <col min="7957" max="7957" width="11" style="903" customWidth="1"/>
    <col min="7958" max="7959" width="10.28515625" style="903" customWidth="1"/>
    <col min="7960" max="7960" width="9" style="903" customWidth="1"/>
    <col min="7961" max="7961" width="9.7109375" style="903" customWidth="1"/>
    <col min="7962" max="7962" width="10" style="903" customWidth="1"/>
    <col min="7963" max="7963" width="9.140625" style="903"/>
    <col min="7964" max="7964" width="10.85546875" style="903" customWidth="1"/>
    <col min="7965" max="7965" width="10.140625" style="903" customWidth="1"/>
    <col min="7966" max="7966" width="9.140625" style="903"/>
    <col min="7967" max="7967" width="10.28515625" style="903" customWidth="1"/>
    <col min="7968" max="7968" width="10.42578125" style="903" customWidth="1"/>
    <col min="7969" max="8192" width="9.140625" style="903"/>
    <col min="8193" max="8193" width="3.7109375" style="903" customWidth="1"/>
    <col min="8194" max="8194" width="13.7109375" style="903" customWidth="1"/>
    <col min="8195" max="8195" width="3.7109375" style="903" customWidth="1"/>
    <col min="8196" max="8196" width="11.7109375" style="903" customWidth="1"/>
    <col min="8197" max="8197" width="30.42578125" style="903" customWidth="1"/>
    <col min="8198" max="8198" width="21.140625" style="903" customWidth="1"/>
    <col min="8199" max="8201" width="10.28515625" style="903" customWidth="1"/>
    <col min="8202" max="8202" width="11.5703125" style="903" customWidth="1"/>
    <col min="8203" max="8212" width="10.28515625" style="903" customWidth="1"/>
    <col min="8213" max="8213" width="11" style="903" customWidth="1"/>
    <col min="8214" max="8215" width="10.28515625" style="903" customWidth="1"/>
    <col min="8216" max="8216" width="9" style="903" customWidth="1"/>
    <col min="8217" max="8217" width="9.7109375" style="903" customWidth="1"/>
    <col min="8218" max="8218" width="10" style="903" customWidth="1"/>
    <col min="8219" max="8219" width="9.140625" style="903"/>
    <col min="8220" max="8220" width="10.85546875" style="903" customWidth="1"/>
    <col min="8221" max="8221" width="10.140625" style="903" customWidth="1"/>
    <col min="8222" max="8222" width="9.140625" style="903"/>
    <col min="8223" max="8223" width="10.28515625" style="903" customWidth="1"/>
    <col min="8224" max="8224" width="10.42578125" style="903" customWidth="1"/>
    <col min="8225" max="8448" width="9.140625" style="903"/>
    <col min="8449" max="8449" width="3.7109375" style="903" customWidth="1"/>
    <col min="8450" max="8450" width="13.7109375" style="903" customWidth="1"/>
    <col min="8451" max="8451" width="3.7109375" style="903" customWidth="1"/>
    <col min="8452" max="8452" width="11.7109375" style="903" customWidth="1"/>
    <col min="8453" max="8453" width="30.42578125" style="903" customWidth="1"/>
    <col min="8454" max="8454" width="21.140625" style="903" customWidth="1"/>
    <col min="8455" max="8457" width="10.28515625" style="903" customWidth="1"/>
    <col min="8458" max="8458" width="11.5703125" style="903" customWidth="1"/>
    <col min="8459" max="8468" width="10.28515625" style="903" customWidth="1"/>
    <col min="8469" max="8469" width="11" style="903" customWidth="1"/>
    <col min="8470" max="8471" width="10.28515625" style="903" customWidth="1"/>
    <col min="8472" max="8472" width="9" style="903" customWidth="1"/>
    <col min="8473" max="8473" width="9.7109375" style="903" customWidth="1"/>
    <col min="8474" max="8474" width="10" style="903" customWidth="1"/>
    <col min="8475" max="8475" width="9.140625" style="903"/>
    <col min="8476" max="8476" width="10.85546875" style="903" customWidth="1"/>
    <col min="8477" max="8477" width="10.140625" style="903" customWidth="1"/>
    <col min="8478" max="8478" width="9.140625" style="903"/>
    <col min="8479" max="8479" width="10.28515625" style="903" customWidth="1"/>
    <col min="8480" max="8480" width="10.42578125" style="903" customWidth="1"/>
    <col min="8481" max="8704" width="9.140625" style="903"/>
    <col min="8705" max="8705" width="3.7109375" style="903" customWidth="1"/>
    <col min="8706" max="8706" width="13.7109375" style="903" customWidth="1"/>
    <col min="8707" max="8707" width="3.7109375" style="903" customWidth="1"/>
    <col min="8708" max="8708" width="11.7109375" style="903" customWidth="1"/>
    <col min="8709" max="8709" width="30.42578125" style="903" customWidth="1"/>
    <col min="8710" max="8710" width="21.140625" style="903" customWidth="1"/>
    <col min="8711" max="8713" width="10.28515625" style="903" customWidth="1"/>
    <col min="8714" max="8714" width="11.5703125" style="903" customWidth="1"/>
    <col min="8715" max="8724" width="10.28515625" style="903" customWidth="1"/>
    <col min="8725" max="8725" width="11" style="903" customWidth="1"/>
    <col min="8726" max="8727" width="10.28515625" style="903" customWidth="1"/>
    <col min="8728" max="8728" width="9" style="903" customWidth="1"/>
    <col min="8729" max="8729" width="9.7109375" style="903" customWidth="1"/>
    <col min="8730" max="8730" width="10" style="903" customWidth="1"/>
    <col min="8731" max="8731" width="9.140625" style="903"/>
    <col min="8732" max="8732" width="10.85546875" style="903" customWidth="1"/>
    <col min="8733" max="8733" width="10.140625" style="903" customWidth="1"/>
    <col min="8734" max="8734" width="9.140625" style="903"/>
    <col min="8735" max="8735" width="10.28515625" style="903" customWidth="1"/>
    <col min="8736" max="8736" width="10.42578125" style="903" customWidth="1"/>
    <col min="8737" max="8960" width="9.140625" style="903"/>
    <col min="8961" max="8961" width="3.7109375" style="903" customWidth="1"/>
    <col min="8962" max="8962" width="13.7109375" style="903" customWidth="1"/>
    <col min="8963" max="8963" width="3.7109375" style="903" customWidth="1"/>
    <col min="8964" max="8964" width="11.7109375" style="903" customWidth="1"/>
    <col min="8965" max="8965" width="30.42578125" style="903" customWidth="1"/>
    <col min="8966" max="8966" width="21.140625" style="903" customWidth="1"/>
    <col min="8967" max="8969" width="10.28515625" style="903" customWidth="1"/>
    <col min="8970" max="8970" width="11.5703125" style="903" customWidth="1"/>
    <col min="8971" max="8980" width="10.28515625" style="903" customWidth="1"/>
    <col min="8981" max="8981" width="11" style="903" customWidth="1"/>
    <col min="8982" max="8983" width="10.28515625" style="903" customWidth="1"/>
    <col min="8984" max="8984" width="9" style="903" customWidth="1"/>
    <col min="8985" max="8985" width="9.7109375" style="903" customWidth="1"/>
    <col min="8986" max="8986" width="10" style="903" customWidth="1"/>
    <col min="8987" max="8987" width="9.140625" style="903"/>
    <col min="8988" max="8988" width="10.85546875" style="903" customWidth="1"/>
    <col min="8989" max="8989" width="10.140625" style="903" customWidth="1"/>
    <col min="8990" max="8990" width="9.140625" style="903"/>
    <col min="8991" max="8991" width="10.28515625" style="903" customWidth="1"/>
    <col min="8992" max="8992" width="10.42578125" style="903" customWidth="1"/>
    <col min="8993" max="9216" width="9.140625" style="903"/>
    <col min="9217" max="9217" width="3.7109375" style="903" customWidth="1"/>
    <col min="9218" max="9218" width="13.7109375" style="903" customWidth="1"/>
    <col min="9219" max="9219" width="3.7109375" style="903" customWidth="1"/>
    <col min="9220" max="9220" width="11.7109375" style="903" customWidth="1"/>
    <col min="9221" max="9221" width="30.42578125" style="903" customWidth="1"/>
    <col min="9222" max="9222" width="21.140625" style="903" customWidth="1"/>
    <col min="9223" max="9225" width="10.28515625" style="903" customWidth="1"/>
    <col min="9226" max="9226" width="11.5703125" style="903" customWidth="1"/>
    <col min="9227" max="9236" width="10.28515625" style="903" customWidth="1"/>
    <col min="9237" max="9237" width="11" style="903" customWidth="1"/>
    <col min="9238" max="9239" width="10.28515625" style="903" customWidth="1"/>
    <col min="9240" max="9240" width="9" style="903" customWidth="1"/>
    <col min="9241" max="9241" width="9.7109375" style="903" customWidth="1"/>
    <col min="9242" max="9242" width="10" style="903" customWidth="1"/>
    <col min="9243" max="9243" width="9.140625" style="903"/>
    <col min="9244" max="9244" width="10.85546875" style="903" customWidth="1"/>
    <col min="9245" max="9245" width="10.140625" style="903" customWidth="1"/>
    <col min="9246" max="9246" width="9.140625" style="903"/>
    <col min="9247" max="9247" width="10.28515625" style="903" customWidth="1"/>
    <col min="9248" max="9248" width="10.42578125" style="903" customWidth="1"/>
    <col min="9249" max="9472" width="9.140625" style="903"/>
    <col min="9473" max="9473" width="3.7109375" style="903" customWidth="1"/>
    <col min="9474" max="9474" width="13.7109375" style="903" customWidth="1"/>
    <col min="9475" max="9475" width="3.7109375" style="903" customWidth="1"/>
    <col min="9476" max="9476" width="11.7109375" style="903" customWidth="1"/>
    <col min="9477" max="9477" width="30.42578125" style="903" customWidth="1"/>
    <col min="9478" max="9478" width="21.140625" style="903" customWidth="1"/>
    <col min="9479" max="9481" width="10.28515625" style="903" customWidth="1"/>
    <col min="9482" max="9482" width="11.5703125" style="903" customWidth="1"/>
    <col min="9483" max="9492" width="10.28515625" style="903" customWidth="1"/>
    <col min="9493" max="9493" width="11" style="903" customWidth="1"/>
    <col min="9494" max="9495" width="10.28515625" style="903" customWidth="1"/>
    <col min="9496" max="9496" width="9" style="903" customWidth="1"/>
    <col min="9497" max="9497" width="9.7109375" style="903" customWidth="1"/>
    <col min="9498" max="9498" width="10" style="903" customWidth="1"/>
    <col min="9499" max="9499" width="9.140625" style="903"/>
    <col min="9500" max="9500" width="10.85546875" style="903" customWidth="1"/>
    <col min="9501" max="9501" width="10.140625" style="903" customWidth="1"/>
    <col min="9502" max="9502" width="9.140625" style="903"/>
    <col min="9503" max="9503" width="10.28515625" style="903" customWidth="1"/>
    <col min="9504" max="9504" width="10.42578125" style="903" customWidth="1"/>
    <col min="9505" max="9728" width="9.140625" style="903"/>
    <col min="9729" max="9729" width="3.7109375" style="903" customWidth="1"/>
    <col min="9730" max="9730" width="13.7109375" style="903" customWidth="1"/>
    <col min="9731" max="9731" width="3.7109375" style="903" customWidth="1"/>
    <col min="9732" max="9732" width="11.7109375" style="903" customWidth="1"/>
    <col min="9733" max="9733" width="30.42578125" style="903" customWidth="1"/>
    <col min="9734" max="9734" width="21.140625" style="903" customWidth="1"/>
    <col min="9735" max="9737" width="10.28515625" style="903" customWidth="1"/>
    <col min="9738" max="9738" width="11.5703125" style="903" customWidth="1"/>
    <col min="9739" max="9748" width="10.28515625" style="903" customWidth="1"/>
    <col min="9749" max="9749" width="11" style="903" customWidth="1"/>
    <col min="9750" max="9751" width="10.28515625" style="903" customWidth="1"/>
    <col min="9752" max="9752" width="9" style="903" customWidth="1"/>
    <col min="9753" max="9753" width="9.7109375" style="903" customWidth="1"/>
    <col min="9754" max="9754" width="10" style="903" customWidth="1"/>
    <col min="9755" max="9755" width="9.140625" style="903"/>
    <col min="9756" max="9756" width="10.85546875" style="903" customWidth="1"/>
    <col min="9757" max="9757" width="10.140625" style="903" customWidth="1"/>
    <col min="9758" max="9758" width="9.140625" style="903"/>
    <col min="9759" max="9759" width="10.28515625" style="903" customWidth="1"/>
    <col min="9760" max="9760" width="10.42578125" style="903" customWidth="1"/>
    <col min="9761" max="9984" width="9.140625" style="903"/>
    <col min="9985" max="9985" width="3.7109375" style="903" customWidth="1"/>
    <col min="9986" max="9986" width="13.7109375" style="903" customWidth="1"/>
    <col min="9987" max="9987" width="3.7109375" style="903" customWidth="1"/>
    <col min="9988" max="9988" width="11.7109375" style="903" customWidth="1"/>
    <col min="9989" max="9989" width="30.42578125" style="903" customWidth="1"/>
    <col min="9990" max="9990" width="21.140625" style="903" customWidth="1"/>
    <col min="9991" max="9993" width="10.28515625" style="903" customWidth="1"/>
    <col min="9994" max="9994" width="11.5703125" style="903" customWidth="1"/>
    <col min="9995" max="10004" width="10.28515625" style="903" customWidth="1"/>
    <col min="10005" max="10005" width="11" style="903" customWidth="1"/>
    <col min="10006" max="10007" width="10.28515625" style="903" customWidth="1"/>
    <col min="10008" max="10008" width="9" style="903" customWidth="1"/>
    <col min="10009" max="10009" width="9.7109375" style="903" customWidth="1"/>
    <col min="10010" max="10010" width="10" style="903" customWidth="1"/>
    <col min="10011" max="10011" width="9.140625" style="903"/>
    <col min="10012" max="10012" width="10.85546875" style="903" customWidth="1"/>
    <col min="10013" max="10013" width="10.140625" style="903" customWidth="1"/>
    <col min="10014" max="10014" width="9.140625" style="903"/>
    <col min="10015" max="10015" width="10.28515625" style="903" customWidth="1"/>
    <col min="10016" max="10016" width="10.42578125" style="903" customWidth="1"/>
    <col min="10017" max="10240" width="9.140625" style="903"/>
    <col min="10241" max="10241" width="3.7109375" style="903" customWidth="1"/>
    <col min="10242" max="10242" width="13.7109375" style="903" customWidth="1"/>
    <col min="10243" max="10243" width="3.7109375" style="903" customWidth="1"/>
    <col min="10244" max="10244" width="11.7109375" style="903" customWidth="1"/>
    <col min="10245" max="10245" width="30.42578125" style="903" customWidth="1"/>
    <col min="10246" max="10246" width="21.140625" style="903" customWidth="1"/>
    <col min="10247" max="10249" width="10.28515625" style="903" customWidth="1"/>
    <col min="10250" max="10250" width="11.5703125" style="903" customWidth="1"/>
    <col min="10251" max="10260" width="10.28515625" style="903" customWidth="1"/>
    <col min="10261" max="10261" width="11" style="903" customWidth="1"/>
    <col min="10262" max="10263" width="10.28515625" style="903" customWidth="1"/>
    <col min="10264" max="10264" width="9" style="903" customWidth="1"/>
    <col min="10265" max="10265" width="9.7109375" style="903" customWidth="1"/>
    <col min="10266" max="10266" width="10" style="903" customWidth="1"/>
    <col min="10267" max="10267" width="9.140625" style="903"/>
    <col min="10268" max="10268" width="10.85546875" style="903" customWidth="1"/>
    <col min="10269" max="10269" width="10.140625" style="903" customWidth="1"/>
    <col min="10270" max="10270" width="9.140625" style="903"/>
    <col min="10271" max="10271" width="10.28515625" style="903" customWidth="1"/>
    <col min="10272" max="10272" width="10.42578125" style="903" customWidth="1"/>
    <col min="10273" max="10496" width="9.140625" style="903"/>
    <col min="10497" max="10497" width="3.7109375" style="903" customWidth="1"/>
    <col min="10498" max="10498" width="13.7109375" style="903" customWidth="1"/>
    <col min="10499" max="10499" width="3.7109375" style="903" customWidth="1"/>
    <col min="10500" max="10500" width="11.7109375" style="903" customWidth="1"/>
    <col min="10501" max="10501" width="30.42578125" style="903" customWidth="1"/>
    <col min="10502" max="10502" width="21.140625" style="903" customWidth="1"/>
    <col min="10503" max="10505" width="10.28515625" style="903" customWidth="1"/>
    <col min="10506" max="10506" width="11.5703125" style="903" customWidth="1"/>
    <col min="10507" max="10516" width="10.28515625" style="903" customWidth="1"/>
    <col min="10517" max="10517" width="11" style="903" customWidth="1"/>
    <col min="10518" max="10519" width="10.28515625" style="903" customWidth="1"/>
    <col min="10520" max="10520" width="9" style="903" customWidth="1"/>
    <col min="10521" max="10521" width="9.7109375" style="903" customWidth="1"/>
    <col min="10522" max="10522" width="10" style="903" customWidth="1"/>
    <col min="10523" max="10523" width="9.140625" style="903"/>
    <col min="10524" max="10524" width="10.85546875" style="903" customWidth="1"/>
    <col min="10525" max="10525" width="10.140625" style="903" customWidth="1"/>
    <col min="10526" max="10526" width="9.140625" style="903"/>
    <col min="10527" max="10527" width="10.28515625" style="903" customWidth="1"/>
    <col min="10528" max="10528" width="10.42578125" style="903" customWidth="1"/>
    <col min="10529" max="10752" width="9.140625" style="903"/>
    <col min="10753" max="10753" width="3.7109375" style="903" customWidth="1"/>
    <col min="10754" max="10754" width="13.7109375" style="903" customWidth="1"/>
    <col min="10755" max="10755" width="3.7109375" style="903" customWidth="1"/>
    <col min="10756" max="10756" width="11.7109375" style="903" customWidth="1"/>
    <col min="10757" max="10757" width="30.42578125" style="903" customWidth="1"/>
    <col min="10758" max="10758" width="21.140625" style="903" customWidth="1"/>
    <col min="10759" max="10761" width="10.28515625" style="903" customWidth="1"/>
    <col min="10762" max="10762" width="11.5703125" style="903" customWidth="1"/>
    <col min="10763" max="10772" width="10.28515625" style="903" customWidth="1"/>
    <col min="10773" max="10773" width="11" style="903" customWidth="1"/>
    <col min="10774" max="10775" width="10.28515625" style="903" customWidth="1"/>
    <col min="10776" max="10776" width="9" style="903" customWidth="1"/>
    <col min="10777" max="10777" width="9.7109375" style="903" customWidth="1"/>
    <col min="10778" max="10778" width="10" style="903" customWidth="1"/>
    <col min="10779" max="10779" width="9.140625" style="903"/>
    <col min="10780" max="10780" width="10.85546875" style="903" customWidth="1"/>
    <col min="10781" max="10781" width="10.140625" style="903" customWidth="1"/>
    <col min="10782" max="10782" width="9.140625" style="903"/>
    <col min="10783" max="10783" width="10.28515625" style="903" customWidth="1"/>
    <col min="10784" max="10784" width="10.42578125" style="903" customWidth="1"/>
    <col min="10785" max="11008" width="9.140625" style="903"/>
    <col min="11009" max="11009" width="3.7109375" style="903" customWidth="1"/>
    <col min="11010" max="11010" width="13.7109375" style="903" customWidth="1"/>
    <col min="11011" max="11011" width="3.7109375" style="903" customWidth="1"/>
    <col min="11012" max="11012" width="11.7109375" style="903" customWidth="1"/>
    <col min="11013" max="11013" width="30.42578125" style="903" customWidth="1"/>
    <col min="11014" max="11014" width="21.140625" style="903" customWidth="1"/>
    <col min="11015" max="11017" width="10.28515625" style="903" customWidth="1"/>
    <col min="11018" max="11018" width="11.5703125" style="903" customWidth="1"/>
    <col min="11019" max="11028" width="10.28515625" style="903" customWidth="1"/>
    <col min="11029" max="11029" width="11" style="903" customWidth="1"/>
    <col min="11030" max="11031" width="10.28515625" style="903" customWidth="1"/>
    <col min="11032" max="11032" width="9" style="903" customWidth="1"/>
    <col min="11033" max="11033" width="9.7109375" style="903" customWidth="1"/>
    <col min="11034" max="11034" width="10" style="903" customWidth="1"/>
    <col min="11035" max="11035" width="9.140625" style="903"/>
    <col min="11036" max="11036" width="10.85546875" style="903" customWidth="1"/>
    <col min="11037" max="11037" width="10.140625" style="903" customWidth="1"/>
    <col min="11038" max="11038" width="9.140625" style="903"/>
    <col min="11039" max="11039" width="10.28515625" style="903" customWidth="1"/>
    <col min="11040" max="11040" width="10.42578125" style="903" customWidth="1"/>
    <col min="11041" max="11264" width="9.140625" style="903"/>
    <col min="11265" max="11265" width="3.7109375" style="903" customWidth="1"/>
    <col min="11266" max="11266" width="13.7109375" style="903" customWidth="1"/>
    <col min="11267" max="11267" width="3.7109375" style="903" customWidth="1"/>
    <col min="11268" max="11268" width="11.7109375" style="903" customWidth="1"/>
    <col min="11269" max="11269" width="30.42578125" style="903" customWidth="1"/>
    <col min="11270" max="11270" width="21.140625" style="903" customWidth="1"/>
    <col min="11271" max="11273" width="10.28515625" style="903" customWidth="1"/>
    <col min="11274" max="11274" width="11.5703125" style="903" customWidth="1"/>
    <col min="11275" max="11284" width="10.28515625" style="903" customWidth="1"/>
    <col min="11285" max="11285" width="11" style="903" customWidth="1"/>
    <col min="11286" max="11287" width="10.28515625" style="903" customWidth="1"/>
    <col min="11288" max="11288" width="9" style="903" customWidth="1"/>
    <col min="11289" max="11289" width="9.7109375" style="903" customWidth="1"/>
    <col min="11290" max="11290" width="10" style="903" customWidth="1"/>
    <col min="11291" max="11291" width="9.140625" style="903"/>
    <col min="11292" max="11292" width="10.85546875" style="903" customWidth="1"/>
    <col min="11293" max="11293" width="10.140625" style="903" customWidth="1"/>
    <col min="11294" max="11294" width="9.140625" style="903"/>
    <col min="11295" max="11295" width="10.28515625" style="903" customWidth="1"/>
    <col min="11296" max="11296" width="10.42578125" style="903" customWidth="1"/>
    <col min="11297" max="11520" width="9.140625" style="903"/>
    <col min="11521" max="11521" width="3.7109375" style="903" customWidth="1"/>
    <col min="11522" max="11522" width="13.7109375" style="903" customWidth="1"/>
    <col min="11523" max="11523" width="3.7109375" style="903" customWidth="1"/>
    <col min="11524" max="11524" width="11.7109375" style="903" customWidth="1"/>
    <col min="11525" max="11525" width="30.42578125" style="903" customWidth="1"/>
    <col min="11526" max="11526" width="21.140625" style="903" customWidth="1"/>
    <col min="11527" max="11529" width="10.28515625" style="903" customWidth="1"/>
    <col min="11530" max="11530" width="11.5703125" style="903" customWidth="1"/>
    <col min="11531" max="11540" width="10.28515625" style="903" customWidth="1"/>
    <col min="11541" max="11541" width="11" style="903" customWidth="1"/>
    <col min="11542" max="11543" width="10.28515625" style="903" customWidth="1"/>
    <col min="11544" max="11544" width="9" style="903" customWidth="1"/>
    <col min="11545" max="11545" width="9.7109375" style="903" customWidth="1"/>
    <col min="11546" max="11546" width="10" style="903" customWidth="1"/>
    <col min="11547" max="11547" width="9.140625" style="903"/>
    <col min="11548" max="11548" width="10.85546875" style="903" customWidth="1"/>
    <col min="11549" max="11549" width="10.140625" style="903" customWidth="1"/>
    <col min="11550" max="11550" width="9.140625" style="903"/>
    <col min="11551" max="11551" width="10.28515625" style="903" customWidth="1"/>
    <col min="11552" max="11552" width="10.42578125" style="903" customWidth="1"/>
    <col min="11553" max="11776" width="9.140625" style="903"/>
    <col min="11777" max="11777" width="3.7109375" style="903" customWidth="1"/>
    <col min="11778" max="11778" width="13.7109375" style="903" customWidth="1"/>
    <col min="11779" max="11779" width="3.7109375" style="903" customWidth="1"/>
    <col min="11780" max="11780" width="11.7109375" style="903" customWidth="1"/>
    <col min="11781" max="11781" width="30.42578125" style="903" customWidth="1"/>
    <col min="11782" max="11782" width="21.140625" style="903" customWidth="1"/>
    <col min="11783" max="11785" width="10.28515625" style="903" customWidth="1"/>
    <col min="11786" max="11786" width="11.5703125" style="903" customWidth="1"/>
    <col min="11787" max="11796" width="10.28515625" style="903" customWidth="1"/>
    <col min="11797" max="11797" width="11" style="903" customWidth="1"/>
    <col min="11798" max="11799" width="10.28515625" style="903" customWidth="1"/>
    <col min="11800" max="11800" width="9" style="903" customWidth="1"/>
    <col min="11801" max="11801" width="9.7109375" style="903" customWidth="1"/>
    <col min="11802" max="11802" width="10" style="903" customWidth="1"/>
    <col min="11803" max="11803" width="9.140625" style="903"/>
    <col min="11804" max="11804" width="10.85546875" style="903" customWidth="1"/>
    <col min="11805" max="11805" width="10.140625" style="903" customWidth="1"/>
    <col min="11806" max="11806" width="9.140625" style="903"/>
    <col min="11807" max="11807" width="10.28515625" style="903" customWidth="1"/>
    <col min="11808" max="11808" width="10.42578125" style="903" customWidth="1"/>
    <col min="11809" max="12032" width="9.140625" style="903"/>
    <col min="12033" max="12033" width="3.7109375" style="903" customWidth="1"/>
    <col min="12034" max="12034" width="13.7109375" style="903" customWidth="1"/>
    <col min="12035" max="12035" width="3.7109375" style="903" customWidth="1"/>
    <col min="12036" max="12036" width="11.7109375" style="903" customWidth="1"/>
    <col min="12037" max="12037" width="30.42578125" style="903" customWidth="1"/>
    <col min="12038" max="12038" width="21.140625" style="903" customWidth="1"/>
    <col min="12039" max="12041" width="10.28515625" style="903" customWidth="1"/>
    <col min="12042" max="12042" width="11.5703125" style="903" customWidth="1"/>
    <col min="12043" max="12052" width="10.28515625" style="903" customWidth="1"/>
    <col min="12053" max="12053" width="11" style="903" customWidth="1"/>
    <col min="12054" max="12055" width="10.28515625" style="903" customWidth="1"/>
    <col min="12056" max="12056" width="9" style="903" customWidth="1"/>
    <col min="12057" max="12057" width="9.7109375" style="903" customWidth="1"/>
    <col min="12058" max="12058" width="10" style="903" customWidth="1"/>
    <col min="12059" max="12059" width="9.140625" style="903"/>
    <col min="12060" max="12060" width="10.85546875" style="903" customWidth="1"/>
    <col min="12061" max="12061" width="10.140625" style="903" customWidth="1"/>
    <col min="12062" max="12062" width="9.140625" style="903"/>
    <col min="12063" max="12063" width="10.28515625" style="903" customWidth="1"/>
    <col min="12064" max="12064" width="10.42578125" style="903" customWidth="1"/>
    <col min="12065" max="12288" width="9.140625" style="903"/>
    <col min="12289" max="12289" width="3.7109375" style="903" customWidth="1"/>
    <col min="12290" max="12290" width="13.7109375" style="903" customWidth="1"/>
    <col min="12291" max="12291" width="3.7109375" style="903" customWidth="1"/>
    <col min="12292" max="12292" width="11.7109375" style="903" customWidth="1"/>
    <col min="12293" max="12293" width="30.42578125" style="903" customWidth="1"/>
    <col min="12294" max="12294" width="21.140625" style="903" customWidth="1"/>
    <col min="12295" max="12297" width="10.28515625" style="903" customWidth="1"/>
    <col min="12298" max="12298" width="11.5703125" style="903" customWidth="1"/>
    <col min="12299" max="12308" width="10.28515625" style="903" customWidth="1"/>
    <col min="12309" max="12309" width="11" style="903" customWidth="1"/>
    <col min="12310" max="12311" width="10.28515625" style="903" customWidth="1"/>
    <col min="12312" max="12312" width="9" style="903" customWidth="1"/>
    <col min="12313" max="12313" width="9.7109375" style="903" customWidth="1"/>
    <col min="12314" max="12314" width="10" style="903" customWidth="1"/>
    <col min="12315" max="12315" width="9.140625" style="903"/>
    <col min="12316" max="12316" width="10.85546875" style="903" customWidth="1"/>
    <col min="12317" max="12317" width="10.140625" style="903" customWidth="1"/>
    <col min="12318" max="12318" width="9.140625" style="903"/>
    <col min="12319" max="12319" width="10.28515625" style="903" customWidth="1"/>
    <col min="12320" max="12320" width="10.42578125" style="903" customWidth="1"/>
    <col min="12321" max="12544" width="9.140625" style="903"/>
    <col min="12545" max="12545" width="3.7109375" style="903" customWidth="1"/>
    <col min="12546" max="12546" width="13.7109375" style="903" customWidth="1"/>
    <col min="12547" max="12547" width="3.7109375" style="903" customWidth="1"/>
    <col min="12548" max="12548" width="11.7109375" style="903" customWidth="1"/>
    <col min="12549" max="12549" width="30.42578125" style="903" customWidth="1"/>
    <col min="12550" max="12550" width="21.140625" style="903" customWidth="1"/>
    <col min="12551" max="12553" width="10.28515625" style="903" customWidth="1"/>
    <col min="12554" max="12554" width="11.5703125" style="903" customWidth="1"/>
    <col min="12555" max="12564" width="10.28515625" style="903" customWidth="1"/>
    <col min="12565" max="12565" width="11" style="903" customWidth="1"/>
    <col min="12566" max="12567" width="10.28515625" style="903" customWidth="1"/>
    <col min="12568" max="12568" width="9" style="903" customWidth="1"/>
    <col min="12569" max="12569" width="9.7109375" style="903" customWidth="1"/>
    <col min="12570" max="12570" width="10" style="903" customWidth="1"/>
    <col min="12571" max="12571" width="9.140625" style="903"/>
    <col min="12572" max="12572" width="10.85546875" style="903" customWidth="1"/>
    <col min="12573" max="12573" width="10.140625" style="903" customWidth="1"/>
    <col min="12574" max="12574" width="9.140625" style="903"/>
    <col min="12575" max="12575" width="10.28515625" style="903" customWidth="1"/>
    <col min="12576" max="12576" width="10.42578125" style="903" customWidth="1"/>
    <col min="12577" max="12800" width="9.140625" style="903"/>
    <col min="12801" max="12801" width="3.7109375" style="903" customWidth="1"/>
    <col min="12802" max="12802" width="13.7109375" style="903" customWidth="1"/>
    <col min="12803" max="12803" width="3.7109375" style="903" customWidth="1"/>
    <col min="12804" max="12804" width="11.7109375" style="903" customWidth="1"/>
    <col min="12805" max="12805" width="30.42578125" style="903" customWidth="1"/>
    <col min="12806" max="12806" width="21.140625" style="903" customWidth="1"/>
    <col min="12807" max="12809" width="10.28515625" style="903" customWidth="1"/>
    <col min="12810" max="12810" width="11.5703125" style="903" customWidth="1"/>
    <col min="12811" max="12820" width="10.28515625" style="903" customWidth="1"/>
    <col min="12821" max="12821" width="11" style="903" customWidth="1"/>
    <col min="12822" max="12823" width="10.28515625" style="903" customWidth="1"/>
    <col min="12824" max="12824" width="9" style="903" customWidth="1"/>
    <col min="12825" max="12825" width="9.7109375" style="903" customWidth="1"/>
    <col min="12826" max="12826" width="10" style="903" customWidth="1"/>
    <col min="12827" max="12827" width="9.140625" style="903"/>
    <col min="12828" max="12828" width="10.85546875" style="903" customWidth="1"/>
    <col min="12829" max="12829" width="10.140625" style="903" customWidth="1"/>
    <col min="12830" max="12830" width="9.140625" style="903"/>
    <col min="12831" max="12831" width="10.28515625" style="903" customWidth="1"/>
    <col min="12832" max="12832" width="10.42578125" style="903" customWidth="1"/>
    <col min="12833" max="13056" width="9.140625" style="903"/>
    <col min="13057" max="13057" width="3.7109375" style="903" customWidth="1"/>
    <col min="13058" max="13058" width="13.7109375" style="903" customWidth="1"/>
    <col min="13059" max="13059" width="3.7109375" style="903" customWidth="1"/>
    <col min="13060" max="13060" width="11.7109375" style="903" customWidth="1"/>
    <col min="13061" max="13061" width="30.42578125" style="903" customWidth="1"/>
    <col min="13062" max="13062" width="21.140625" style="903" customWidth="1"/>
    <col min="13063" max="13065" width="10.28515625" style="903" customWidth="1"/>
    <col min="13066" max="13066" width="11.5703125" style="903" customWidth="1"/>
    <col min="13067" max="13076" width="10.28515625" style="903" customWidth="1"/>
    <col min="13077" max="13077" width="11" style="903" customWidth="1"/>
    <col min="13078" max="13079" width="10.28515625" style="903" customWidth="1"/>
    <col min="13080" max="13080" width="9" style="903" customWidth="1"/>
    <col min="13081" max="13081" width="9.7109375" style="903" customWidth="1"/>
    <col min="13082" max="13082" width="10" style="903" customWidth="1"/>
    <col min="13083" max="13083" width="9.140625" style="903"/>
    <col min="13084" max="13084" width="10.85546875" style="903" customWidth="1"/>
    <col min="13085" max="13085" width="10.140625" style="903" customWidth="1"/>
    <col min="13086" max="13086" width="9.140625" style="903"/>
    <col min="13087" max="13087" width="10.28515625" style="903" customWidth="1"/>
    <col min="13088" max="13088" width="10.42578125" style="903" customWidth="1"/>
    <col min="13089" max="13312" width="9.140625" style="903"/>
    <col min="13313" max="13313" width="3.7109375" style="903" customWidth="1"/>
    <col min="13314" max="13314" width="13.7109375" style="903" customWidth="1"/>
    <col min="13315" max="13315" width="3.7109375" style="903" customWidth="1"/>
    <col min="13316" max="13316" width="11.7109375" style="903" customWidth="1"/>
    <col min="13317" max="13317" width="30.42578125" style="903" customWidth="1"/>
    <col min="13318" max="13318" width="21.140625" style="903" customWidth="1"/>
    <col min="13319" max="13321" width="10.28515625" style="903" customWidth="1"/>
    <col min="13322" max="13322" width="11.5703125" style="903" customWidth="1"/>
    <col min="13323" max="13332" width="10.28515625" style="903" customWidth="1"/>
    <col min="13333" max="13333" width="11" style="903" customWidth="1"/>
    <col min="13334" max="13335" width="10.28515625" style="903" customWidth="1"/>
    <col min="13336" max="13336" width="9" style="903" customWidth="1"/>
    <col min="13337" max="13337" width="9.7109375" style="903" customWidth="1"/>
    <col min="13338" max="13338" width="10" style="903" customWidth="1"/>
    <col min="13339" max="13339" width="9.140625" style="903"/>
    <col min="13340" max="13340" width="10.85546875" style="903" customWidth="1"/>
    <col min="13341" max="13341" width="10.140625" style="903" customWidth="1"/>
    <col min="13342" max="13342" width="9.140625" style="903"/>
    <col min="13343" max="13343" width="10.28515625" style="903" customWidth="1"/>
    <col min="13344" max="13344" width="10.42578125" style="903" customWidth="1"/>
    <col min="13345" max="13568" width="9.140625" style="903"/>
    <col min="13569" max="13569" width="3.7109375" style="903" customWidth="1"/>
    <col min="13570" max="13570" width="13.7109375" style="903" customWidth="1"/>
    <col min="13571" max="13571" width="3.7109375" style="903" customWidth="1"/>
    <col min="13572" max="13572" width="11.7109375" style="903" customWidth="1"/>
    <col min="13573" max="13573" width="30.42578125" style="903" customWidth="1"/>
    <col min="13574" max="13574" width="21.140625" style="903" customWidth="1"/>
    <col min="13575" max="13577" width="10.28515625" style="903" customWidth="1"/>
    <col min="13578" max="13578" width="11.5703125" style="903" customWidth="1"/>
    <col min="13579" max="13588" width="10.28515625" style="903" customWidth="1"/>
    <col min="13589" max="13589" width="11" style="903" customWidth="1"/>
    <col min="13590" max="13591" width="10.28515625" style="903" customWidth="1"/>
    <col min="13592" max="13592" width="9" style="903" customWidth="1"/>
    <col min="13593" max="13593" width="9.7109375" style="903" customWidth="1"/>
    <col min="13594" max="13594" width="10" style="903" customWidth="1"/>
    <col min="13595" max="13595" width="9.140625" style="903"/>
    <col min="13596" max="13596" width="10.85546875" style="903" customWidth="1"/>
    <col min="13597" max="13597" width="10.140625" style="903" customWidth="1"/>
    <col min="13598" max="13598" width="9.140625" style="903"/>
    <col min="13599" max="13599" width="10.28515625" style="903" customWidth="1"/>
    <col min="13600" max="13600" width="10.42578125" style="903" customWidth="1"/>
    <col min="13601" max="13824" width="9.140625" style="903"/>
    <col min="13825" max="13825" width="3.7109375" style="903" customWidth="1"/>
    <col min="13826" max="13826" width="13.7109375" style="903" customWidth="1"/>
    <col min="13827" max="13827" width="3.7109375" style="903" customWidth="1"/>
    <col min="13828" max="13828" width="11.7109375" style="903" customWidth="1"/>
    <col min="13829" max="13829" width="30.42578125" style="903" customWidth="1"/>
    <col min="13830" max="13830" width="21.140625" style="903" customWidth="1"/>
    <col min="13831" max="13833" width="10.28515625" style="903" customWidth="1"/>
    <col min="13834" max="13834" width="11.5703125" style="903" customWidth="1"/>
    <col min="13835" max="13844" width="10.28515625" style="903" customWidth="1"/>
    <col min="13845" max="13845" width="11" style="903" customWidth="1"/>
    <col min="13846" max="13847" width="10.28515625" style="903" customWidth="1"/>
    <col min="13848" max="13848" width="9" style="903" customWidth="1"/>
    <col min="13849" max="13849" width="9.7109375" style="903" customWidth="1"/>
    <col min="13850" max="13850" width="10" style="903" customWidth="1"/>
    <col min="13851" max="13851" width="9.140625" style="903"/>
    <col min="13852" max="13852" width="10.85546875" style="903" customWidth="1"/>
    <col min="13853" max="13853" width="10.140625" style="903" customWidth="1"/>
    <col min="13854" max="13854" width="9.140625" style="903"/>
    <col min="13855" max="13855" width="10.28515625" style="903" customWidth="1"/>
    <col min="13856" max="13856" width="10.42578125" style="903" customWidth="1"/>
    <col min="13857" max="14080" width="9.140625" style="903"/>
    <col min="14081" max="14081" width="3.7109375" style="903" customWidth="1"/>
    <col min="14082" max="14082" width="13.7109375" style="903" customWidth="1"/>
    <col min="14083" max="14083" width="3.7109375" style="903" customWidth="1"/>
    <col min="14084" max="14084" width="11.7109375" style="903" customWidth="1"/>
    <col min="14085" max="14085" width="30.42578125" style="903" customWidth="1"/>
    <col min="14086" max="14086" width="21.140625" style="903" customWidth="1"/>
    <col min="14087" max="14089" width="10.28515625" style="903" customWidth="1"/>
    <col min="14090" max="14090" width="11.5703125" style="903" customWidth="1"/>
    <col min="14091" max="14100" width="10.28515625" style="903" customWidth="1"/>
    <col min="14101" max="14101" width="11" style="903" customWidth="1"/>
    <col min="14102" max="14103" width="10.28515625" style="903" customWidth="1"/>
    <col min="14104" max="14104" width="9" style="903" customWidth="1"/>
    <col min="14105" max="14105" width="9.7109375" style="903" customWidth="1"/>
    <col min="14106" max="14106" width="10" style="903" customWidth="1"/>
    <col min="14107" max="14107" width="9.140625" style="903"/>
    <col min="14108" max="14108" width="10.85546875" style="903" customWidth="1"/>
    <col min="14109" max="14109" width="10.140625" style="903" customWidth="1"/>
    <col min="14110" max="14110" width="9.140625" style="903"/>
    <col min="14111" max="14111" width="10.28515625" style="903" customWidth="1"/>
    <col min="14112" max="14112" width="10.42578125" style="903" customWidth="1"/>
    <col min="14113" max="14336" width="9.140625" style="903"/>
    <col min="14337" max="14337" width="3.7109375" style="903" customWidth="1"/>
    <col min="14338" max="14338" width="13.7109375" style="903" customWidth="1"/>
    <col min="14339" max="14339" width="3.7109375" style="903" customWidth="1"/>
    <col min="14340" max="14340" width="11.7109375" style="903" customWidth="1"/>
    <col min="14341" max="14341" width="30.42578125" style="903" customWidth="1"/>
    <col min="14342" max="14342" width="21.140625" style="903" customWidth="1"/>
    <col min="14343" max="14345" width="10.28515625" style="903" customWidth="1"/>
    <col min="14346" max="14346" width="11.5703125" style="903" customWidth="1"/>
    <col min="14347" max="14356" width="10.28515625" style="903" customWidth="1"/>
    <col min="14357" max="14357" width="11" style="903" customWidth="1"/>
    <col min="14358" max="14359" width="10.28515625" style="903" customWidth="1"/>
    <col min="14360" max="14360" width="9" style="903" customWidth="1"/>
    <col min="14361" max="14361" width="9.7109375" style="903" customWidth="1"/>
    <col min="14362" max="14362" width="10" style="903" customWidth="1"/>
    <col min="14363" max="14363" width="9.140625" style="903"/>
    <col min="14364" max="14364" width="10.85546875" style="903" customWidth="1"/>
    <col min="14365" max="14365" width="10.140625" style="903" customWidth="1"/>
    <col min="14366" max="14366" width="9.140625" style="903"/>
    <col min="14367" max="14367" width="10.28515625" style="903" customWidth="1"/>
    <col min="14368" max="14368" width="10.42578125" style="903" customWidth="1"/>
    <col min="14369" max="14592" width="9.140625" style="903"/>
    <col min="14593" max="14593" width="3.7109375" style="903" customWidth="1"/>
    <col min="14594" max="14594" width="13.7109375" style="903" customWidth="1"/>
    <col min="14595" max="14595" width="3.7109375" style="903" customWidth="1"/>
    <col min="14596" max="14596" width="11.7109375" style="903" customWidth="1"/>
    <col min="14597" max="14597" width="30.42578125" style="903" customWidth="1"/>
    <col min="14598" max="14598" width="21.140625" style="903" customWidth="1"/>
    <col min="14599" max="14601" width="10.28515625" style="903" customWidth="1"/>
    <col min="14602" max="14602" width="11.5703125" style="903" customWidth="1"/>
    <col min="14603" max="14612" width="10.28515625" style="903" customWidth="1"/>
    <col min="14613" max="14613" width="11" style="903" customWidth="1"/>
    <col min="14614" max="14615" width="10.28515625" style="903" customWidth="1"/>
    <col min="14616" max="14616" width="9" style="903" customWidth="1"/>
    <col min="14617" max="14617" width="9.7109375" style="903" customWidth="1"/>
    <col min="14618" max="14618" width="10" style="903" customWidth="1"/>
    <col min="14619" max="14619" width="9.140625" style="903"/>
    <col min="14620" max="14620" width="10.85546875" style="903" customWidth="1"/>
    <col min="14621" max="14621" width="10.140625" style="903" customWidth="1"/>
    <col min="14622" max="14622" width="9.140625" style="903"/>
    <col min="14623" max="14623" width="10.28515625" style="903" customWidth="1"/>
    <col min="14624" max="14624" width="10.42578125" style="903" customWidth="1"/>
    <col min="14625" max="14848" width="9.140625" style="903"/>
    <col min="14849" max="14849" width="3.7109375" style="903" customWidth="1"/>
    <col min="14850" max="14850" width="13.7109375" style="903" customWidth="1"/>
    <col min="14851" max="14851" width="3.7109375" style="903" customWidth="1"/>
    <col min="14852" max="14852" width="11.7109375" style="903" customWidth="1"/>
    <col min="14853" max="14853" width="30.42578125" style="903" customWidth="1"/>
    <col min="14854" max="14854" width="21.140625" style="903" customWidth="1"/>
    <col min="14855" max="14857" width="10.28515625" style="903" customWidth="1"/>
    <col min="14858" max="14858" width="11.5703125" style="903" customWidth="1"/>
    <col min="14859" max="14868" width="10.28515625" style="903" customWidth="1"/>
    <col min="14869" max="14869" width="11" style="903" customWidth="1"/>
    <col min="14870" max="14871" width="10.28515625" style="903" customWidth="1"/>
    <col min="14872" max="14872" width="9" style="903" customWidth="1"/>
    <col min="14873" max="14873" width="9.7109375" style="903" customWidth="1"/>
    <col min="14874" max="14874" width="10" style="903" customWidth="1"/>
    <col min="14875" max="14875" width="9.140625" style="903"/>
    <col min="14876" max="14876" width="10.85546875" style="903" customWidth="1"/>
    <col min="14877" max="14877" width="10.140625" style="903" customWidth="1"/>
    <col min="14878" max="14878" width="9.140625" style="903"/>
    <col min="14879" max="14879" width="10.28515625" style="903" customWidth="1"/>
    <col min="14880" max="14880" width="10.42578125" style="903" customWidth="1"/>
    <col min="14881" max="15104" width="9.140625" style="903"/>
    <col min="15105" max="15105" width="3.7109375" style="903" customWidth="1"/>
    <col min="15106" max="15106" width="13.7109375" style="903" customWidth="1"/>
    <col min="15107" max="15107" width="3.7109375" style="903" customWidth="1"/>
    <col min="15108" max="15108" width="11.7109375" style="903" customWidth="1"/>
    <col min="15109" max="15109" width="30.42578125" style="903" customWidth="1"/>
    <col min="15110" max="15110" width="21.140625" style="903" customWidth="1"/>
    <col min="15111" max="15113" width="10.28515625" style="903" customWidth="1"/>
    <col min="15114" max="15114" width="11.5703125" style="903" customWidth="1"/>
    <col min="15115" max="15124" width="10.28515625" style="903" customWidth="1"/>
    <col min="15125" max="15125" width="11" style="903" customWidth="1"/>
    <col min="15126" max="15127" width="10.28515625" style="903" customWidth="1"/>
    <col min="15128" max="15128" width="9" style="903" customWidth="1"/>
    <col min="15129" max="15129" width="9.7109375" style="903" customWidth="1"/>
    <col min="15130" max="15130" width="10" style="903" customWidth="1"/>
    <col min="15131" max="15131" width="9.140625" style="903"/>
    <col min="15132" max="15132" width="10.85546875" style="903" customWidth="1"/>
    <col min="15133" max="15133" width="10.140625" style="903" customWidth="1"/>
    <col min="15134" max="15134" width="9.140625" style="903"/>
    <col min="15135" max="15135" width="10.28515625" style="903" customWidth="1"/>
    <col min="15136" max="15136" width="10.42578125" style="903" customWidth="1"/>
    <col min="15137" max="15360" width="9.140625" style="903"/>
    <col min="15361" max="15361" width="3.7109375" style="903" customWidth="1"/>
    <col min="15362" max="15362" width="13.7109375" style="903" customWidth="1"/>
    <col min="15363" max="15363" width="3.7109375" style="903" customWidth="1"/>
    <col min="15364" max="15364" width="11.7109375" style="903" customWidth="1"/>
    <col min="15365" max="15365" width="30.42578125" style="903" customWidth="1"/>
    <col min="15366" max="15366" width="21.140625" style="903" customWidth="1"/>
    <col min="15367" max="15369" width="10.28515625" style="903" customWidth="1"/>
    <col min="15370" max="15370" width="11.5703125" style="903" customWidth="1"/>
    <col min="15371" max="15380" width="10.28515625" style="903" customWidth="1"/>
    <col min="15381" max="15381" width="11" style="903" customWidth="1"/>
    <col min="15382" max="15383" width="10.28515625" style="903" customWidth="1"/>
    <col min="15384" max="15384" width="9" style="903" customWidth="1"/>
    <col min="15385" max="15385" width="9.7109375" style="903" customWidth="1"/>
    <col min="15386" max="15386" width="10" style="903" customWidth="1"/>
    <col min="15387" max="15387" width="9.140625" style="903"/>
    <col min="15388" max="15388" width="10.85546875" style="903" customWidth="1"/>
    <col min="15389" max="15389" width="10.140625" style="903" customWidth="1"/>
    <col min="15390" max="15390" width="9.140625" style="903"/>
    <col min="15391" max="15391" width="10.28515625" style="903" customWidth="1"/>
    <col min="15392" max="15392" width="10.42578125" style="903" customWidth="1"/>
    <col min="15393" max="15616" width="9.140625" style="903"/>
    <col min="15617" max="15617" width="3.7109375" style="903" customWidth="1"/>
    <col min="15618" max="15618" width="13.7109375" style="903" customWidth="1"/>
    <col min="15619" max="15619" width="3.7109375" style="903" customWidth="1"/>
    <col min="15620" max="15620" width="11.7109375" style="903" customWidth="1"/>
    <col min="15621" max="15621" width="30.42578125" style="903" customWidth="1"/>
    <col min="15622" max="15622" width="21.140625" style="903" customWidth="1"/>
    <col min="15623" max="15625" width="10.28515625" style="903" customWidth="1"/>
    <col min="15626" max="15626" width="11.5703125" style="903" customWidth="1"/>
    <col min="15627" max="15636" width="10.28515625" style="903" customWidth="1"/>
    <col min="15637" max="15637" width="11" style="903" customWidth="1"/>
    <col min="15638" max="15639" width="10.28515625" style="903" customWidth="1"/>
    <col min="15640" max="15640" width="9" style="903" customWidth="1"/>
    <col min="15641" max="15641" width="9.7109375" style="903" customWidth="1"/>
    <col min="15642" max="15642" width="10" style="903" customWidth="1"/>
    <col min="15643" max="15643" width="9.140625" style="903"/>
    <col min="15644" max="15644" width="10.85546875" style="903" customWidth="1"/>
    <col min="15645" max="15645" width="10.140625" style="903" customWidth="1"/>
    <col min="15646" max="15646" width="9.140625" style="903"/>
    <col min="15647" max="15647" width="10.28515625" style="903" customWidth="1"/>
    <col min="15648" max="15648" width="10.42578125" style="903" customWidth="1"/>
    <col min="15649" max="15872" width="9.140625" style="903"/>
    <col min="15873" max="15873" width="3.7109375" style="903" customWidth="1"/>
    <col min="15874" max="15874" width="13.7109375" style="903" customWidth="1"/>
    <col min="15875" max="15875" width="3.7109375" style="903" customWidth="1"/>
    <col min="15876" max="15876" width="11.7109375" style="903" customWidth="1"/>
    <col min="15877" max="15877" width="30.42578125" style="903" customWidth="1"/>
    <col min="15878" max="15878" width="21.140625" style="903" customWidth="1"/>
    <col min="15879" max="15881" width="10.28515625" style="903" customWidth="1"/>
    <col min="15882" max="15882" width="11.5703125" style="903" customWidth="1"/>
    <col min="15883" max="15892" width="10.28515625" style="903" customWidth="1"/>
    <col min="15893" max="15893" width="11" style="903" customWidth="1"/>
    <col min="15894" max="15895" width="10.28515625" style="903" customWidth="1"/>
    <col min="15896" max="15896" width="9" style="903" customWidth="1"/>
    <col min="15897" max="15897" width="9.7109375" style="903" customWidth="1"/>
    <col min="15898" max="15898" width="10" style="903" customWidth="1"/>
    <col min="15899" max="15899" width="9.140625" style="903"/>
    <col min="15900" max="15900" width="10.85546875" style="903" customWidth="1"/>
    <col min="15901" max="15901" width="10.140625" style="903" customWidth="1"/>
    <col min="15902" max="15902" width="9.140625" style="903"/>
    <col min="15903" max="15903" width="10.28515625" style="903" customWidth="1"/>
    <col min="15904" max="15904" width="10.42578125" style="903" customWidth="1"/>
    <col min="15905" max="16128" width="9.140625" style="903"/>
    <col min="16129" max="16129" width="3.7109375" style="903" customWidth="1"/>
    <col min="16130" max="16130" width="13.7109375" style="903" customWidth="1"/>
    <col min="16131" max="16131" width="3.7109375" style="903" customWidth="1"/>
    <col min="16132" max="16132" width="11.7109375" style="903" customWidth="1"/>
    <col min="16133" max="16133" width="30.42578125" style="903" customWidth="1"/>
    <col min="16134" max="16134" width="21.140625" style="903" customWidth="1"/>
    <col min="16135" max="16137" width="10.28515625" style="903" customWidth="1"/>
    <col min="16138" max="16138" width="11.5703125" style="903" customWidth="1"/>
    <col min="16139" max="16148" width="10.28515625" style="903" customWidth="1"/>
    <col min="16149" max="16149" width="11" style="903" customWidth="1"/>
    <col min="16150" max="16151" width="10.28515625" style="903" customWidth="1"/>
    <col min="16152" max="16152" width="9" style="903" customWidth="1"/>
    <col min="16153" max="16153" width="9.7109375" style="903" customWidth="1"/>
    <col min="16154" max="16154" width="10" style="903" customWidth="1"/>
    <col min="16155" max="16155" width="9.140625" style="903"/>
    <col min="16156" max="16156" width="10.85546875" style="903" customWidth="1"/>
    <col min="16157" max="16157" width="10.140625" style="903" customWidth="1"/>
    <col min="16158" max="16158" width="9.140625" style="903"/>
    <col min="16159" max="16159" width="10.28515625" style="903" customWidth="1"/>
    <col min="16160" max="16160" width="10.42578125" style="903" customWidth="1"/>
    <col min="16161" max="16384" width="9.140625" style="903"/>
  </cols>
  <sheetData>
    <row r="1" spans="1:28" x14ac:dyDescent="0.25">
      <c r="A1" s="902"/>
      <c r="B1" s="1391"/>
      <c r="C1" s="1391"/>
      <c r="D1" s="1682"/>
      <c r="E1" s="1682"/>
      <c r="F1" s="1682"/>
      <c r="G1" s="1683"/>
      <c r="H1" s="1683"/>
      <c r="I1" s="1683"/>
      <c r="J1" s="1683"/>
      <c r="K1" s="1683"/>
      <c r="L1" s="1683"/>
      <c r="M1" s="1683"/>
      <c r="N1" s="1683"/>
      <c r="O1" s="1683"/>
      <c r="P1" s="1683"/>
      <c r="Q1" s="1683"/>
      <c r="R1" s="1683"/>
      <c r="S1" s="1684"/>
      <c r="T1" s="1685"/>
      <c r="W1" s="1687"/>
    </row>
    <row r="2" spans="1:28" ht="15" customHeight="1" x14ac:dyDescent="0.25">
      <c r="A2" s="902">
        <v>1</v>
      </c>
      <c r="B2" s="902" t="s">
        <v>0</v>
      </c>
      <c r="C2" s="902">
        <v>22</v>
      </c>
      <c r="D2" s="1688" t="s">
        <v>702</v>
      </c>
      <c r="E2" s="1689"/>
      <c r="F2" s="1689"/>
      <c r="G2" s="1689"/>
      <c r="H2" s="1689"/>
      <c r="I2" s="1689"/>
      <c r="J2" s="1689"/>
      <c r="K2" s="1689"/>
      <c r="L2" s="1689"/>
      <c r="M2" s="1689"/>
      <c r="N2" s="1689"/>
      <c r="O2" s="1689"/>
      <c r="P2" s="1689"/>
      <c r="Q2" s="1689"/>
      <c r="R2" s="1689"/>
      <c r="S2" s="1689"/>
      <c r="T2" s="1689"/>
      <c r="U2" s="1689"/>
      <c r="V2" s="1689"/>
      <c r="W2" s="1690"/>
    </row>
    <row r="3" spans="1:28" ht="12.75" customHeight="1" x14ac:dyDescent="0.25">
      <c r="A3" s="902">
        <v>2</v>
      </c>
      <c r="B3" s="902" t="s">
        <v>2</v>
      </c>
      <c r="C3" s="902"/>
      <c r="D3" s="4048" t="s">
        <v>647</v>
      </c>
      <c r="E3" s="4049"/>
      <c r="F3" s="4049"/>
      <c r="G3" s="4049"/>
      <c r="H3" s="4049"/>
      <c r="I3" s="4049"/>
      <c r="J3" s="4049"/>
      <c r="K3" s="4049"/>
      <c r="L3" s="4049"/>
      <c r="M3" s="4049"/>
      <c r="N3" s="4049"/>
      <c r="O3" s="4049"/>
      <c r="P3" s="4049"/>
      <c r="Q3" s="4049"/>
      <c r="R3" s="4049"/>
      <c r="S3" s="4049"/>
      <c r="T3" s="4049"/>
      <c r="U3" s="4049"/>
      <c r="V3" s="4049"/>
      <c r="W3" s="4050"/>
      <c r="X3" s="52"/>
      <c r="Y3" s="52"/>
    </row>
    <row r="4" spans="1:28" ht="15" customHeight="1" x14ac:dyDescent="0.25">
      <c r="A4" s="902">
        <v>3</v>
      </c>
      <c r="B4" s="902" t="s">
        <v>4</v>
      </c>
      <c r="C4" s="902"/>
      <c r="D4" s="4048" t="s">
        <v>703</v>
      </c>
      <c r="E4" s="4049"/>
      <c r="F4" s="4049"/>
      <c r="G4" s="4049"/>
      <c r="H4" s="4049"/>
      <c r="I4" s="4049"/>
      <c r="J4" s="4049"/>
      <c r="K4" s="4049"/>
      <c r="L4" s="4049"/>
      <c r="M4" s="4049"/>
      <c r="N4" s="4049"/>
      <c r="O4" s="4049"/>
      <c r="P4" s="4049"/>
      <c r="Q4" s="4049"/>
      <c r="R4" s="4049"/>
      <c r="S4" s="4049"/>
      <c r="T4" s="4049"/>
      <c r="U4" s="4049"/>
      <c r="V4" s="4049"/>
      <c r="W4" s="4050"/>
      <c r="X4" s="1691"/>
      <c r="Y4" s="52"/>
    </row>
    <row r="5" spans="1:28" ht="15" customHeight="1" x14ac:dyDescent="0.25">
      <c r="A5" s="902"/>
      <c r="B5" s="902"/>
      <c r="C5" s="902"/>
      <c r="D5" s="142"/>
      <c r="E5" s="142"/>
      <c r="F5" s="142"/>
      <c r="G5" s="142"/>
      <c r="H5" s="142"/>
      <c r="I5" s="142"/>
      <c r="J5" s="142"/>
      <c r="K5" s="142"/>
      <c r="L5" s="142"/>
      <c r="M5" s="142"/>
      <c r="N5" s="142"/>
      <c r="O5" s="142"/>
      <c r="P5" s="142"/>
      <c r="Q5" s="142"/>
      <c r="R5" s="142"/>
      <c r="S5" s="142"/>
      <c r="T5" s="142"/>
      <c r="U5" s="142"/>
      <c r="V5" s="142"/>
      <c r="W5" s="142"/>
      <c r="X5" s="1691"/>
      <c r="Y5" s="52"/>
    </row>
    <row r="6" spans="1:28" s="1692" customFormat="1" ht="21.6" customHeight="1" x14ac:dyDescent="0.25">
      <c r="A6" s="902">
        <v>4</v>
      </c>
      <c r="B6" s="902" t="s">
        <v>5</v>
      </c>
      <c r="C6" s="1166"/>
      <c r="D6" s="903" t="s">
        <v>704</v>
      </c>
      <c r="E6" s="903"/>
      <c r="F6" s="903"/>
      <c r="G6" s="903"/>
      <c r="H6" s="903"/>
      <c r="K6" s="903"/>
      <c r="L6" s="1693"/>
      <c r="R6" s="52"/>
      <c r="S6" s="1694"/>
    </row>
    <row r="7" spans="1:28" s="1692" customFormat="1" ht="16.899999999999999" customHeight="1" x14ac:dyDescent="0.2">
      <c r="A7" s="1165"/>
      <c r="B7" s="1166"/>
      <c r="C7" s="1166"/>
      <c r="D7" s="3939"/>
      <c r="E7" s="3940">
        <v>2006</v>
      </c>
      <c r="F7" s="3940">
        <v>2009</v>
      </c>
      <c r="G7" s="3940">
        <v>2011</v>
      </c>
      <c r="H7" s="3941">
        <v>2015</v>
      </c>
      <c r="K7" s="1691"/>
      <c r="L7" s="1691"/>
      <c r="M7" s="1693"/>
      <c r="S7" s="52"/>
      <c r="T7" s="1694"/>
    </row>
    <row r="8" spans="1:28" s="1692" customFormat="1" ht="30.75" customHeight="1" x14ac:dyDescent="0.2">
      <c r="A8" s="1165"/>
      <c r="B8" s="1166"/>
      <c r="C8" s="1166"/>
      <c r="D8" s="3942" t="s">
        <v>705</v>
      </c>
      <c r="E8" s="3943">
        <v>0.66600000000000004</v>
      </c>
      <c r="F8" s="3944">
        <v>0.621</v>
      </c>
      <c r="G8" s="3943">
        <v>0.53200000000000003</v>
      </c>
      <c r="H8" s="3945">
        <v>0.55500000000000005</v>
      </c>
      <c r="K8" s="1691"/>
      <c r="L8" s="1691"/>
      <c r="M8" s="1693"/>
      <c r="S8" s="52"/>
      <c r="T8" s="1694"/>
    </row>
    <row r="9" spans="1:28" s="1692" customFormat="1" ht="16.899999999999999" customHeight="1" x14ac:dyDescent="0.2">
      <c r="A9" s="1165"/>
      <c r="B9" s="1166"/>
      <c r="C9" s="1166"/>
      <c r="D9" s="3942" t="s">
        <v>706</v>
      </c>
      <c r="E9" s="3946">
        <v>31.6</v>
      </c>
      <c r="F9" s="3947">
        <v>30.9</v>
      </c>
      <c r="G9" s="3946">
        <v>27.3</v>
      </c>
      <c r="H9" s="3948">
        <v>30.4</v>
      </c>
      <c r="K9" s="1691"/>
      <c r="L9" s="1691"/>
      <c r="M9" s="1693"/>
      <c r="S9" s="52"/>
      <c r="T9" s="1694"/>
    </row>
    <row r="10" spans="1:28" s="1692" customFormat="1" ht="16.899999999999999" customHeight="1" x14ac:dyDescent="0.2">
      <c r="A10" s="1165"/>
      <c r="B10" s="1166"/>
      <c r="C10" s="1166"/>
      <c r="D10" s="3942" t="s">
        <v>707</v>
      </c>
      <c r="E10" s="3943">
        <v>0.51</v>
      </c>
      <c r="F10" s="3944">
        <v>0.47599999999999998</v>
      </c>
      <c r="G10" s="3943">
        <v>0.36399999999999999</v>
      </c>
      <c r="H10" s="3945">
        <v>0.4</v>
      </c>
      <c r="K10" s="1691"/>
      <c r="L10" s="1691"/>
      <c r="M10" s="1693"/>
      <c r="S10" s="52"/>
      <c r="T10" s="1694"/>
    </row>
    <row r="11" spans="1:28" s="1692" customFormat="1" ht="26.25" customHeight="1" x14ac:dyDescent="0.2">
      <c r="A11" s="1165"/>
      <c r="B11" s="1166"/>
      <c r="C11" s="1166"/>
      <c r="D11" s="3942" t="s">
        <v>708</v>
      </c>
      <c r="E11" s="3946">
        <v>24.2</v>
      </c>
      <c r="F11" s="3947">
        <v>23.7</v>
      </c>
      <c r="G11" s="3946">
        <v>18.7</v>
      </c>
      <c r="H11" s="3948">
        <v>21.9</v>
      </c>
      <c r="K11" s="1691"/>
      <c r="L11" s="1691"/>
      <c r="M11" s="1693"/>
      <c r="S11" s="52"/>
      <c r="T11" s="1694"/>
    </row>
    <row r="12" spans="1:28" s="52" customFormat="1" ht="27" customHeight="1" x14ac:dyDescent="0.2">
      <c r="A12" s="1165"/>
      <c r="B12" s="1166"/>
      <c r="C12" s="1166"/>
      <c r="D12" s="3942" t="s">
        <v>709</v>
      </c>
      <c r="E12" s="3943">
        <v>0.28399999999999997</v>
      </c>
      <c r="F12" s="3944">
        <v>0.33500000000000002</v>
      </c>
      <c r="G12" s="3943">
        <v>0.214</v>
      </c>
      <c r="H12" s="3945">
        <v>0.252</v>
      </c>
      <c r="K12" s="1701"/>
      <c r="L12" s="1702"/>
      <c r="M12" s="1703"/>
      <c r="T12" s="1694"/>
    </row>
    <row r="13" spans="1:28" s="52" customFormat="1" ht="24" customHeight="1" x14ac:dyDescent="0.2">
      <c r="A13" s="1165"/>
      <c r="B13" s="1166"/>
      <c r="C13" s="1166"/>
      <c r="D13" s="3949" t="s">
        <v>710</v>
      </c>
      <c r="E13" s="3950">
        <v>13.4</v>
      </c>
      <c r="F13" s="3951">
        <v>16.7</v>
      </c>
      <c r="G13" s="3950">
        <v>11</v>
      </c>
      <c r="H13" s="3952">
        <v>13.8</v>
      </c>
      <c r="K13" s="1701"/>
      <c r="L13" s="1702"/>
      <c r="M13" s="1703"/>
      <c r="T13" s="1694"/>
    </row>
    <row r="14" spans="1:28" ht="15.75" x14ac:dyDescent="0.25">
      <c r="A14" s="902"/>
      <c r="B14" s="1391"/>
      <c r="C14" s="1391"/>
      <c r="D14" s="1682"/>
      <c r="E14" s="1682"/>
      <c r="F14" s="1683"/>
      <c r="G14" s="1683"/>
      <c r="H14" s="1683"/>
      <c r="I14" s="903"/>
      <c r="J14" s="903"/>
      <c r="P14" s="903"/>
      <c r="Q14" s="903"/>
      <c r="R14" s="903"/>
      <c r="S14" s="1685"/>
      <c r="T14" s="1685"/>
      <c r="U14" s="1685"/>
      <c r="V14" s="1685"/>
      <c r="W14" s="903"/>
      <c r="Z14" s="1706"/>
      <c r="AA14" s="1707"/>
      <c r="AB14" s="1708"/>
    </row>
    <row r="15" spans="1:28" ht="15.75" x14ac:dyDescent="0.25">
      <c r="A15" s="902">
        <v>5</v>
      </c>
      <c r="B15" s="902" t="s">
        <v>90</v>
      </c>
      <c r="C15" s="1391"/>
      <c r="D15" s="1682"/>
      <c r="E15" s="1682"/>
      <c r="F15" s="1683"/>
      <c r="G15" s="1683"/>
      <c r="H15" s="1683"/>
      <c r="I15" s="903"/>
      <c r="J15" s="903"/>
      <c r="P15" s="903"/>
      <c r="Q15" s="903"/>
      <c r="R15" s="903"/>
      <c r="S15" s="1685"/>
      <c r="T15" s="1685"/>
      <c r="U15" s="1685"/>
      <c r="V15" s="1685"/>
      <c r="W15" s="903"/>
      <c r="Z15" s="1706"/>
      <c r="AA15" s="1707"/>
      <c r="AB15" s="1708"/>
    </row>
    <row r="16" spans="1:28" ht="15.75" x14ac:dyDescent="0.25">
      <c r="A16" s="902"/>
      <c r="B16" s="1391"/>
      <c r="C16" s="1391"/>
      <c r="D16" s="1682"/>
      <c r="E16" s="1682"/>
      <c r="F16" s="1683"/>
      <c r="G16" s="1683"/>
      <c r="H16" s="1683"/>
      <c r="I16" s="903"/>
      <c r="J16" s="903"/>
      <c r="P16" s="903"/>
      <c r="Q16" s="903"/>
      <c r="R16" s="903"/>
      <c r="S16" s="1685"/>
      <c r="T16" s="1685"/>
      <c r="U16" s="1685"/>
      <c r="V16" s="1685"/>
      <c r="W16" s="903"/>
      <c r="Z16" s="1706"/>
      <c r="AA16" s="1707"/>
      <c r="AB16" s="1708"/>
    </row>
    <row r="17" spans="1:31" ht="15.75" x14ac:dyDescent="0.25">
      <c r="A17" s="902"/>
      <c r="B17" s="1391"/>
      <c r="C17" s="1391"/>
      <c r="D17" s="1682"/>
      <c r="E17" s="1682"/>
      <c r="F17" s="1683"/>
      <c r="G17" s="1683"/>
      <c r="H17" s="1683"/>
      <c r="I17" s="903"/>
      <c r="J17" s="903"/>
      <c r="K17" s="903"/>
      <c r="L17" s="903"/>
      <c r="M17" s="903"/>
      <c r="N17" s="903"/>
      <c r="O17" s="903"/>
      <c r="P17" s="903"/>
      <c r="Q17" s="903"/>
      <c r="R17" s="903"/>
      <c r="S17" s="1685"/>
      <c r="T17" s="1685"/>
      <c r="U17" s="1685"/>
      <c r="V17" s="1685"/>
      <c r="W17" s="903"/>
      <c r="Z17" s="1706"/>
      <c r="AA17" s="1707"/>
      <c r="AB17" s="1708"/>
    </row>
    <row r="18" spans="1:31" ht="15.75" x14ac:dyDescent="0.25">
      <c r="A18" s="902"/>
      <c r="B18" s="1391"/>
      <c r="C18" s="1391"/>
      <c r="D18" s="1682"/>
      <c r="E18" s="1682"/>
      <c r="F18" s="1683"/>
      <c r="G18" s="1683"/>
      <c r="H18" s="1683"/>
      <c r="I18" s="903"/>
      <c r="J18" s="903"/>
      <c r="K18" s="903"/>
      <c r="L18" s="903"/>
      <c r="M18" s="903"/>
      <c r="N18" s="903"/>
      <c r="O18" s="903"/>
      <c r="P18" s="903"/>
      <c r="Q18" s="903"/>
      <c r="R18" s="903"/>
      <c r="S18" s="1685"/>
      <c r="T18" s="1685"/>
      <c r="U18" s="1685"/>
      <c r="V18" s="1685"/>
      <c r="W18" s="903"/>
      <c r="Z18" s="1706"/>
      <c r="AA18" s="1707"/>
      <c r="AB18" s="1708"/>
    </row>
    <row r="19" spans="1:31" ht="15.75" x14ac:dyDescent="0.25">
      <c r="A19" s="902"/>
      <c r="B19" s="1391"/>
      <c r="C19" s="1391"/>
      <c r="D19" s="1682"/>
      <c r="E19" s="1682"/>
      <c r="F19" s="1683"/>
      <c r="G19" s="1683"/>
      <c r="H19" s="1683"/>
      <c r="I19" s="903"/>
      <c r="J19" s="903"/>
      <c r="K19" s="903"/>
      <c r="L19" s="903"/>
      <c r="M19" s="903"/>
      <c r="N19" s="903"/>
      <c r="O19" s="903"/>
      <c r="P19" s="903"/>
      <c r="Q19" s="903"/>
      <c r="R19" s="903"/>
      <c r="S19" s="1685"/>
      <c r="T19" s="1685"/>
      <c r="U19" s="1685"/>
      <c r="V19" s="1685"/>
      <c r="W19" s="903"/>
      <c r="Z19" s="1706"/>
      <c r="AA19" s="1707"/>
      <c r="AB19" s="1708"/>
    </row>
    <row r="20" spans="1:31" ht="15.75" x14ac:dyDescent="0.25">
      <c r="A20" s="902"/>
      <c r="B20" s="1391"/>
      <c r="C20" s="1391"/>
      <c r="D20" s="1682"/>
      <c r="E20" s="1682"/>
      <c r="F20" s="1683"/>
      <c r="G20" s="1683"/>
      <c r="H20" s="1683"/>
      <c r="I20" s="903"/>
      <c r="J20" s="903"/>
      <c r="K20" s="903"/>
      <c r="L20" s="903"/>
      <c r="M20" s="903"/>
      <c r="N20" s="903"/>
      <c r="O20" s="903"/>
      <c r="P20" s="903"/>
      <c r="Q20" s="903"/>
      <c r="R20" s="903"/>
      <c r="S20" s="1685"/>
      <c r="T20" s="1685"/>
      <c r="U20" s="1685"/>
      <c r="V20" s="1685"/>
      <c r="W20" s="903"/>
      <c r="Z20" s="1706"/>
      <c r="AA20" s="1707"/>
      <c r="AB20" s="1708"/>
    </row>
    <row r="21" spans="1:31" ht="15.75" x14ac:dyDescent="0.25">
      <c r="A21" s="902"/>
      <c r="B21" s="1391"/>
      <c r="C21" s="1391"/>
      <c r="D21" s="1682"/>
      <c r="E21" s="1682"/>
      <c r="F21" s="1683"/>
      <c r="G21" s="1683"/>
      <c r="H21" s="1683"/>
      <c r="I21" s="903"/>
      <c r="J21" s="903"/>
      <c r="K21" s="903"/>
      <c r="L21" s="903"/>
      <c r="M21" s="903"/>
      <c r="N21" s="903"/>
      <c r="O21" s="903"/>
      <c r="P21" s="903"/>
      <c r="Q21" s="903"/>
      <c r="R21" s="903"/>
      <c r="S21" s="1685"/>
      <c r="T21" s="1685"/>
      <c r="U21" s="1685"/>
      <c r="V21" s="1685"/>
      <c r="W21" s="903"/>
      <c r="Z21" s="1706"/>
      <c r="AA21" s="1707"/>
      <c r="AB21" s="1708"/>
    </row>
    <row r="22" spans="1:31" ht="15.75" x14ac:dyDescent="0.25">
      <c r="A22" s="902"/>
      <c r="B22" s="1391"/>
      <c r="C22" s="1391"/>
      <c r="D22" s="1682"/>
      <c r="E22" s="1682"/>
      <c r="F22" s="1683"/>
      <c r="G22" s="1683"/>
      <c r="H22" s="1683"/>
      <c r="I22" s="903"/>
      <c r="J22" s="903"/>
      <c r="K22" s="903"/>
      <c r="L22" s="903"/>
      <c r="M22" s="903"/>
      <c r="N22" s="903"/>
      <c r="O22" s="903"/>
      <c r="P22" s="903"/>
      <c r="Q22" s="903"/>
      <c r="R22" s="903"/>
      <c r="S22" s="1685"/>
      <c r="T22" s="1685"/>
      <c r="U22" s="1685"/>
      <c r="V22" s="1685"/>
      <c r="W22" s="903"/>
      <c r="Z22" s="1706"/>
      <c r="AA22" s="1707"/>
      <c r="AB22" s="1708"/>
    </row>
    <row r="23" spans="1:31" ht="15.75" x14ac:dyDescent="0.25">
      <c r="A23" s="902"/>
      <c r="B23" s="1391"/>
      <c r="C23" s="1391"/>
      <c r="D23" s="1682"/>
      <c r="E23" s="1682"/>
      <c r="F23" s="1683"/>
      <c r="G23" s="1683"/>
      <c r="H23" s="1683"/>
      <c r="I23" s="903"/>
      <c r="J23" s="903"/>
      <c r="K23" s="903"/>
      <c r="L23" s="903"/>
      <c r="M23" s="903"/>
      <c r="N23" s="903"/>
      <c r="O23" s="903"/>
      <c r="P23" s="903"/>
      <c r="Q23" s="903"/>
      <c r="R23" s="903"/>
      <c r="S23" s="1685"/>
      <c r="T23" s="1685"/>
      <c r="U23" s="1685"/>
      <c r="V23" s="1685"/>
      <c r="W23" s="903"/>
      <c r="Z23" s="1706"/>
      <c r="AA23" s="1707"/>
      <c r="AB23" s="1708"/>
    </row>
    <row r="24" spans="1:31" ht="15.75" x14ac:dyDescent="0.25">
      <c r="A24" s="902"/>
      <c r="B24" s="1391"/>
      <c r="C24" s="1391"/>
      <c r="D24" s="1682"/>
      <c r="E24" s="1682"/>
      <c r="F24" s="1683"/>
      <c r="G24" s="1683"/>
      <c r="H24" s="1683"/>
      <c r="I24" s="903"/>
      <c r="J24" s="903"/>
      <c r="K24" s="903"/>
      <c r="L24" s="903"/>
      <c r="M24" s="903"/>
      <c r="N24" s="903"/>
      <c r="O24" s="903"/>
      <c r="P24" s="903"/>
      <c r="Q24" s="903"/>
      <c r="R24" s="903"/>
      <c r="S24" s="1685"/>
      <c r="T24" s="1685"/>
      <c r="U24" s="1685"/>
      <c r="V24" s="1685"/>
      <c r="W24" s="903"/>
      <c r="Z24" s="1706"/>
      <c r="AA24" s="1707"/>
      <c r="AB24" s="1708"/>
    </row>
    <row r="25" spans="1:31" ht="15.75" x14ac:dyDescent="0.25">
      <c r="A25" s="902"/>
      <c r="B25" s="1391"/>
      <c r="C25" s="1391"/>
      <c r="D25" s="1682"/>
      <c r="E25" s="1682"/>
      <c r="F25" s="1683"/>
      <c r="G25" s="1683"/>
      <c r="H25" s="1683"/>
      <c r="I25" s="903"/>
      <c r="J25" s="903"/>
      <c r="K25" s="903"/>
      <c r="L25" s="903"/>
      <c r="M25" s="903"/>
      <c r="N25" s="903"/>
      <c r="O25" s="903"/>
      <c r="P25" s="903"/>
      <c r="Q25" s="903"/>
      <c r="R25" s="903"/>
      <c r="S25" s="1685"/>
      <c r="T25" s="1685"/>
      <c r="U25" s="1685"/>
      <c r="V25" s="1685"/>
      <c r="W25" s="903"/>
      <c r="Z25" s="1706"/>
      <c r="AA25" s="1707"/>
      <c r="AB25" s="1708"/>
    </row>
    <row r="26" spans="1:31" ht="15.75" x14ac:dyDescent="0.25">
      <c r="A26" s="902"/>
      <c r="B26" s="1391"/>
      <c r="C26" s="1391"/>
      <c r="D26" s="1682"/>
      <c r="E26" s="1682"/>
      <c r="F26" s="1683"/>
      <c r="G26" s="1683"/>
      <c r="H26" s="1683"/>
      <c r="I26" s="903"/>
      <c r="J26" s="903"/>
      <c r="K26" s="903"/>
      <c r="L26" s="903"/>
      <c r="M26" s="903"/>
      <c r="N26" s="903"/>
      <c r="O26" s="903"/>
      <c r="P26" s="903"/>
      <c r="Q26" s="903"/>
      <c r="R26" s="903"/>
      <c r="S26" s="1685"/>
      <c r="T26" s="1685"/>
      <c r="U26" s="1685"/>
      <c r="V26" s="1685"/>
      <c r="W26" s="903"/>
      <c r="Z26" s="1706"/>
      <c r="AA26" s="1707"/>
      <c r="AB26" s="1708"/>
    </row>
    <row r="27" spans="1:31" s="52" customFormat="1" ht="16.5" customHeight="1" x14ac:dyDescent="0.25">
      <c r="A27" s="1165"/>
      <c r="B27" s="1166"/>
      <c r="C27" s="1166"/>
      <c r="D27" s="750"/>
      <c r="E27" s="1709"/>
      <c r="F27" s="1710"/>
      <c r="G27" s="1709"/>
      <c r="H27" s="1709"/>
      <c r="I27" s="1709"/>
      <c r="J27" s="1710"/>
      <c r="K27" s="1711"/>
      <c r="L27" s="1712"/>
      <c r="M27" s="1711"/>
      <c r="N27" s="1712"/>
      <c r="O27" s="1711"/>
      <c r="P27" s="1712"/>
      <c r="Q27" s="1703"/>
      <c r="W27" s="903"/>
      <c r="X27" s="903"/>
    </row>
    <row r="28" spans="1:31" s="52" customFormat="1" ht="16.5" customHeight="1" x14ac:dyDescent="0.25">
      <c r="A28" s="1165"/>
      <c r="B28" s="1166"/>
      <c r="C28" s="1166"/>
      <c r="D28" s="750"/>
      <c r="E28" s="1701"/>
      <c r="F28" s="1713"/>
      <c r="G28" s="1701"/>
      <c r="H28" s="1701"/>
      <c r="I28" s="1713"/>
      <c r="J28" s="1701"/>
      <c r="K28" s="1714"/>
      <c r="L28" s="1715"/>
      <c r="M28" s="1716"/>
      <c r="N28" s="1717"/>
      <c r="O28" s="1715"/>
      <c r="P28" s="1714"/>
      <c r="Q28" s="1703"/>
      <c r="W28" s="903"/>
      <c r="X28" s="903"/>
    </row>
    <row r="29" spans="1:31" ht="12" customHeight="1" x14ac:dyDescent="0.25">
      <c r="D29" s="750"/>
      <c r="E29" s="1719"/>
      <c r="F29" s="1720"/>
      <c r="G29" s="1719"/>
      <c r="H29" s="1719"/>
      <c r="I29" s="1720"/>
      <c r="J29" s="1719"/>
      <c r="K29" s="1714"/>
      <c r="L29" s="1720"/>
      <c r="M29" s="1716"/>
      <c r="N29" s="1714"/>
      <c r="O29" s="1720"/>
      <c r="P29" s="1716"/>
      <c r="Q29" s="1714"/>
      <c r="R29" s="1720"/>
      <c r="S29" s="1716"/>
      <c r="T29" s="1714"/>
      <c r="U29" s="1720"/>
      <c r="V29" s="1716"/>
      <c r="W29" s="96"/>
      <c r="X29" s="1721"/>
      <c r="Y29" s="1716"/>
      <c r="Z29" s="1714"/>
      <c r="AA29" s="1722"/>
      <c r="AB29" s="1716"/>
      <c r="AC29" s="1714"/>
      <c r="AD29" s="1722"/>
      <c r="AE29" s="1716"/>
    </row>
    <row r="30" spans="1:31" ht="15.75" customHeight="1" x14ac:dyDescent="0.25">
      <c r="A30" s="902">
        <v>6</v>
      </c>
      <c r="B30" s="902" t="s">
        <v>29</v>
      </c>
      <c r="C30" s="1441"/>
      <c r="D30" s="4187" t="s">
        <v>711</v>
      </c>
      <c r="E30" s="4188"/>
      <c r="F30" s="4188"/>
      <c r="G30" s="4188"/>
      <c r="H30" s="4188"/>
      <c r="I30" s="4188"/>
      <c r="J30" s="4188"/>
      <c r="K30" s="4188"/>
      <c r="L30" s="4188"/>
      <c r="M30" s="4188"/>
      <c r="N30" s="4188"/>
      <c r="O30" s="4188"/>
      <c r="P30" s="4188"/>
      <c r="Q30" s="4188"/>
      <c r="R30" s="4188"/>
      <c r="S30" s="4188"/>
      <c r="T30" s="4189"/>
      <c r="U30" s="1723"/>
      <c r="V30" s="1723"/>
      <c r="W30" s="1723"/>
      <c r="X30" s="96"/>
      <c r="Y30" s="1721"/>
      <c r="AA30" s="1708"/>
      <c r="AB30" s="1724"/>
      <c r="AC30" s="1708"/>
    </row>
    <row r="31" spans="1:31" ht="15.75" x14ac:dyDescent="0.25">
      <c r="A31" s="1441">
        <v>7</v>
      </c>
      <c r="B31" s="1441" t="s">
        <v>32</v>
      </c>
      <c r="C31" s="902"/>
      <c r="D31" s="4187" t="s">
        <v>712</v>
      </c>
      <c r="E31" s="4188"/>
      <c r="F31" s="4188"/>
      <c r="G31" s="4188"/>
      <c r="H31" s="4188"/>
      <c r="I31" s="4188"/>
      <c r="J31" s="4188"/>
      <c r="K31" s="4188"/>
      <c r="L31" s="4188"/>
      <c r="M31" s="4188"/>
      <c r="N31" s="4188"/>
      <c r="O31" s="4188"/>
      <c r="P31" s="4188"/>
      <c r="Q31" s="4188"/>
      <c r="R31" s="4188"/>
      <c r="S31" s="4188"/>
      <c r="T31" s="4189"/>
      <c r="U31" s="1723"/>
      <c r="V31" s="1723"/>
      <c r="W31" s="1723"/>
      <c r="Y31" s="1721"/>
      <c r="AA31" s="1708"/>
      <c r="AB31" s="1724"/>
      <c r="AC31" s="1708"/>
    </row>
    <row r="32" spans="1:31" ht="15.75" x14ac:dyDescent="0.25">
      <c r="A32" s="902">
        <v>8</v>
      </c>
      <c r="B32" s="902" t="s">
        <v>31</v>
      </c>
      <c r="C32" s="1568"/>
      <c r="D32" s="4190" t="s">
        <v>713</v>
      </c>
      <c r="E32" s="4191"/>
      <c r="F32" s="4191"/>
      <c r="G32" s="4191"/>
      <c r="H32" s="4191"/>
      <c r="I32" s="4191"/>
      <c r="J32" s="4191"/>
      <c r="K32" s="4191"/>
      <c r="L32" s="4191"/>
      <c r="M32" s="4191"/>
      <c r="N32" s="4191"/>
      <c r="O32" s="4191"/>
      <c r="P32" s="4191"/>
      <c r="Q32" s="4191"/>
      <c r="R32" s="4191"/>
      <c r="S32" s="4191"/>
      <c r="T32" s="4192"/>
      <c r="U32" s="1725"/>
      <c r="V32" s="1725"/>
      <c r="W32" s="1725"/>
      <c r="AA32" s="1708"/>
      <c r="AB32" s="1724"/>
      <c r="AC32" s="1708"/>
      <c r="AD32" s="52"/>
    </row>
    <row r="33" spans="1:29" ht="39.75" customHeight="1" x14ac:dyDescent="0.25">
      <c r="A33" s="902">
        <v>9</v>
      </c>
      <c r="B33" s="1726" t="s">
        <v>714</v>
      </c>
      <c r="C33" s="1568"/>
      <c r="D33" s="4187" t="s">
        <v>715</v>
      </c>
      <c r="E33" s="4188"/>
      <c r="F33" s="4188"/>
      <c r="G33" s="4188"/>
      <c r="H33" s="4188"/>
      <c r="I33" s="4188"/>
      <c r="J33" s="4188"/>
      <c r="K33" s="4188"/>
      <c r="L33" s="4188"/>
      <c r="M33" s="4188"/>
      <c r="N33" s="4188"/>
      <c r="O33" s="4188"/>
      <c r="P33" s="4188"/>
      <c r="Q33" s="4188"/>
      <c r="R33" s="4188"/>
      <c r="S33" s="4188"/>
      <c r="T33" s="4189"/>
      <c r="U33" s="1723"/>
      <c r="V33" s="1723"/>
      <c r="W33" s="1723"/>
      <c r="AA33" s="1708"/>
      <c r="AB33" s="1724"/>
      <c r="AC33" s="1708"/>
    </row>
    <row r="34" spans="1:29" ht="15.75" x14ac:dyDescent="0.25">
      <c r="A34" s="1727"/>
      <c r="B34" s="1727"/>
      <c r="C34" s="1727"/>
      <c r="D34" s="142"/>
      <c r="E34" s="142"/>
      <c r="F34" s="142"/>
      <c r="G34" s="142"/>
      <c r="H34" s="142"/>
      <c r="I34" s="142"/>
      <c r="J34" s="142"/>
      <c r="K34" s="142"/>
      <c r="L34" s="142"/>
      <c r="M34" s="142"/>
      <c r="N34" s="142"/>
      <c r="O34" s="142"/>
      <c r="P34" s="142"/>
      <c r="Q34" s="142"/>
      <c r="R34" s="142"/>
      <c r="S34" s="142"/>
      <c r="T34" s="142"/>
      <c r="U34" s="142"/>
      <c r="V34" s="142"/>
      <c r="W34" s="142"/>
      <c r="AA34" s="1708"/>
      <c r="AB34" s="1724"/>
      <c r="AC34" s="1708"/>
    </row>
    <row r="35" spans="1:29" ht="15.75" x14ac:dyDescent="0.25">
      <c r="A35" s="902"/>
      <c r="B35" s="1727"/>
      <c r="C35" s="1727"/>
      <c r="D35" s="142"/>
      <c r="E35" s="142"/>
      <c r="F35" s="142"/>
      <c r="G35" s="142"/>
      <c r="H35" s="142"/>
      <c r="I35" s="142"/>
      <c r="J35" s="142"/>
      <c r="K35" s="142"/>
      <c r="L35" s="142"/>
      <c r="M35" s="142"/>
      <c r="N35" s="142"/>
      <c r="O35" s="142"/>
      <c r="P35" s="142"/>
      <c r="Q35" s="142"/>
      <c r="R35" s="142"/>
      <c r="S35" s="142"/>
      <c r="T35" s="142"/>
      <c r="U35" s="142"/>
      <c r="V35" s="142"/>
      <c r="W35" s="142"/>
      <c r="Z35" s="1721"/>
      <c r="AA35" s="1708"/>
      <c r="AB35" s="1724"/>
      <c r="AC35" s="1708"/>
    </row>
    <row r="42" spans="1:29" x14ac:dyDescent="0.25">
      <c r="B42" s="903" t="s">
        <v>716</v>
      </c>
      <c r="C42" s="1701"/>
      <c r="D42" s="1702"/>
      <c r="E42" s="1701"/>
      <c r="F42" s="1702"/>
    </row>
    <row r="43" spans="1:29" x14ac:dyDescent="0.25">
      <c r="B43" s="1695"/>
      <c r="C43" s="1696">
        <v>2006</v>
      </c>
      <c r="D43" s="1696">
        <v>2009</v>
      </c>
      <c r="E43" s="1696">
        <v>2011</v>
      </c>
      <c r="F43" s="1697">
        <v>2015</v>
      </c>
    </row>
    <row r="44" spans="1:29" x14ac:dyDescent="0.25">
      <c r="B44" s="1728" t="s">
        <v>705</v>
      </c>
      <c r="C44" s="1729">
        <v>0.66600000000000004</v>
      </c>
      <c r="D44" s="1730">
        <v>0.621</v>
      </c>
      <c r="E44" s="1729">
        <v>0.53200000000000003</v>
      </c>
      <c r="F44" s="1731">
        <v>0.55500000000000005</v>
      </c>
    </row>
    <row r="45" spans="1:29" x14ac:dyDescent="0.25">
      <c r="B45" s="1698" t="s">
        <v>707</v>
      </c>
      <c r="C45" s="1699">
        <v>0.51</v>
      </c>
      <c r="D45" s="1700">
        <v>0.47599999999999998</v>
      </c>
      <c r="E45" s="1699">
        <v>0.36399999999999999</v>
      </c>
      <c r="F45" s="1732">
        <v>0.4</v>
      </c>
    </row>
    <row r="46" spans="1:29" x14ac:dyDescent="0.25">
      <c r="B46" s="1704" t="s">
        <v>709</v>
      </c>
      <c r="C46" s="1733">
        <v>0.28399999999999997</v>
      </c>
      <c r="D46" s="1734">
        <v>0.33500000000000002</v>
      </c>
      <c r="E46" s="1733">
        <v>0.214</v>
      </c>
      <c r="F46" s="1735">
        <v>0.252</v>
      </c>
    </row>
  </sheetData>
  <mergeCells count="6">
    <mergeCell ref="D33:T33"/>
    <mergeCell ref="D3:W3"/>
    <mergeCell ref="D4:W4"/>
    <mergeCell ref="D30:T30"/>
    <mergeCell ref="D31:T31"/>
    <mergeCell ref="D32:T32"/>
  </mergeCells>
  <pageMargins left="0.74803149606299202" right="0.74803149606299202" top="0.98425196850393704" bottom="0.98425196850393704" header="0.511811023622047" footer="0.511811023622047"/>
  <pageSetup paperSize="9" scale="4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43"/>
  <sheetViews>
    <sheetView showGridLines="0" view="pageBreakPreview" zoomScaleNormal="100" zoomScaleSheetLayoutView="100" workbookViewId="0">
      <selection activeCell="Q39" sqref="Q39"/>
    </sheetView>
  </sheetViews>
  <sheetFormatPr defaultColWidth="9.140625" defaultRowHeight="15" x14ac:dyDescent="0.25"/>
  <cols>
    <col min="1" max="1" width="3.7109375" style="1680" customWidth="1"/>
    <col min="2" max="2" width="14.42578125" style="1718" customWidth="1"/>
    <col min="3" max="3" width="3.42578125" style="1718" customWidth="1"/>
    <col min="4" max="4" width="14.28515625" style="903" customWidth="1"/>
    <col min="5" max="5" width="10.5703125" style="903" customWidth="1"/>
    <col min="6" max="6" width="9.28515625" style="903" customWidth="1"/>
    <col min="7" max="12" width="9.42578125" style="903" customWidth="1"/>
    <col min="13" max="239" width="9.140625" style="903"/>
    <col min="240" max="240" width="3.7109375" style="903" customWidth="1"/>
    <col min="241" max="241" width="14.42578125" style="903" customWidth="1"/>
    <col min="242" max="242" width="6.5703125" style="903" customWidth="1"/>
    <col min="243" max="243" width="23.85546875" style="903" customWidth="1"/>
    <col min="244" max="244" width="6.28515625" style="903" customWidth="1"/>
    <col min="245" max="257" width="5.42578125" style="903" customWidth="1"/>
    <col min="258" max="258" width="6.42578125" style="903" customWidth="1"/>
    <col min="259" max="259" width="6.28515625" style="903" customWidth="1"/>
    <col min="260" max="260" width="12.85546875" style="903" bestFit="1" customWidth="1"/>
    <col min="261" max="261" width="13.42578125" style="903" bestFit="1" customWidth="1"/>
    <col min="262" max="262" width="6.7109375" style="903" customWidth="1"/>
    <col min="263" max="263" width="10.5703125" style="903" customWidth="1"/>
    <col min="264" max="264" width="10.140625" style="903" customWidth="1"/>
    <col min="265" max="495" width="9.140625" style="903"/>
    <col min="496" max="496" width="3.7109375" style="903" customWidth="1"/>
    <col min="497" max="497" width="14.42578125" style="903" customWidth="1"/>
    <col min="498" max="498" width="6.5703125" style="903" customWidth="1"/>
    <col min="499" max="499" width="23.85546875" style="903" customWidth="1"/>
    <col min="500" max="500" width="6.28515625" style="903" customWidth="1"/>
    <col min="501" max="513" width="5.42578125" style="903" customWidth="1"/>
    <col min="514" max="514" width="6.42578125" style="903" customWidth="1"/>
    <col min="515" max="515" width="6.28515625" style="903" customWidth="1"/>
    <col min="516" max="516" width="12.85546875" style="903" bestFit="1" customWidth="1"/>
    <col min="517" max="517" width="13.42578125" style="903" bestFit="1" customWidth="1"/>
    <col min="518" max="518" width="6.7109375" style="903" customWidth="1"/>
    <col min="519" max="519" width="10.5703125" style="903" customWidth="1"/>
    <col min="520" max="520" width="10.140625" style="903" customWidth="1"/>
    <col min="521" max="751" width="9.140625" style="903"/>
    <col min="752" max="752" width="3.7109375" style="903" customWidth="1"/>
    <col min="753" max="753" width="14.42578125" style="903" customWidth="1"/>
    <col min="754" max="754" width="6.5703125" style="903" customWidth="1"/>
    <col min="755" max="755" width="23.85546875" style="903" customWidth="1"/>
    <col min="756" max="756" width="6.28515625" style="903" customWidth="1"/>
    <col min="757" max="769" width="5.42578125" style="903" customWidth="1"/>
    <col min="770" max="770" width="6.42578125" style="903" customWidth="1"/>
    <col min="771" max="771" width="6.28515625" style="903" customWidth="1"/>
    <col min="772" max="772" width="12.85546875" style="903" bestFit="1" customWidth="1"/>
    <col min="773" max="773" width="13.42578125" style="903" bestFit="1" customWidth="1"/>
    <col min="774" max="774" width="6.7109375" style="903" customWidth="1"/>
    <col min="775" max="775" width="10.5703125" style="903" customWidth="1"/>
    <col min="776" max="776" width="10.140625" style="903" customWidth="1"/>
    <col min="777" max="1007" width="9.140625" style="903"/>
    <col min="1008" max="1008" width="3.7109375" style="903" customWidth="1"/>
    <col min="1009" max="1009" width="14.42578125" style="903" customWidth="1"/>
    <col min="1010" max="1010" width="6.5703125" style="903" customWidth="1"/>
    <col min="1011" max="1011" width="23.85546875" style="903" customWidth="1"/>
    <col min="1012" max="1012" width="6.28515625" style="903" customWidth="1"/>
    <col min="1013" max="1025" width="5.42578125" style="903" customWidth="1"/>
    <col min="1026" max="1026" width="6.42578125" style="903" customWidth="1"/>
    <col min="1027" max="1027" width="6.28515625" style="903" customWidth="1"/>
    <col min="1028" max="1028" width="12.85546875" style="903" bestFit="1" customWidth="1"/>
    <col min="1029" max="1029" width="13.42578125" style="903" bestFit="1" customWidth="1"/>
    <col min="1030" max="1030" width="6.7109375" style="903" customWidth="1"/>
    <col min="1031" max="1031" width="10.5703125" style="903" customWidth="1"/>
    <col min="1032" max="1032" width="10.140625" style="903" customWidth="1"/>
    <col min="1033" max="1263" width="9.140625" style="903"/>
    <col min="1264" max="1264" width="3.7109375" style="903" customWidth="1"/>
    <col min="1265" max="1265" width="14.42578125" style="903" customWidth="1"/>
    <col min="1266" max="1266" width="6.5703125" style="903" customWidth="1"/>
    <col min="1267" max="1267" width="23.85546875" style="903" customWidth="1"/>
    <col min="1268" max="1268" width="6.28515625" style="903" customWidth="1"/>
    <col min="1269" max="1281" width="5.42578125" style="903" customWidth="1"/>
    <col min="1282" max="1282" width="6.42578125" style="903" customWidth="1"/>
    <col min="1283" max="1283" width="6.28515625" style="903" customWidth="1"/>
    <col min="1284" max="1284" width="12.85546875" style="903" bestFit="1" customWidth="1"/>
    <col min="1285" max="1285" width="13.42578125" style="903" bestFit="1" customWidth="1"/>
    <col min="1286" max="1286" width="6.7109375" style="903" customWidth="1"/>
    <col min="1287" max="1287" width="10.5703125" style="903" customWidth="1"/>
    <col min="1288" max="1288" width="10.140625" style="903" customWidth="1"/>
    <col min="1289" max="1519" width="9.140625" style="903"/>
    <col min="1520" max="1520" width="3.7109375" style="903" customWidth="1"/>
    <col min="1521" max="1521" width="14.42578125" style="903" customWidth="1"/>
    <col min="1522" max="1522" width="6.5703125" style="903" customWidth="1"/>
    <col min="1523" max="1523" width="23.85546875" style="903" customWidth="1"/>
    <col min="1524" max="1524" width="6.28515625" style="903" customWidth="1"/>
    <col min="1525" max="1537" width="5.42578125" style="903" customWidth="1"/>
    <col min="1538" max="1538" width="6.42578125" style="903" customWidth="1"/>
    <col min="1539" max="1539" width="6.28515625" style="903" customWidth="1"/>
    <col min="1540" max="1540" width="12.85546875" style="903" bestFit="1" customWidth="1"/>
    <col min="1541" max="1541" width="13.42578125" style="903" bestFit="1" customWidth="1"/>
    <col min="1542" max="1542" width="6.7109375" style="903" customWidth="1"/>
    <col min="1543" max="1543" width="10.5703125" style="903" customWidth="1"/>
    <col min="1544" max="1544" width="10.140625" style="903" customWidth="1"/>
    <col min="1545" max="1775" width="9.140625" style="903"/>
    <col min="1776" max="1776" width="3.7109375" style="903" customWidth="1"/>
    <col min="1777" max="1777" width="14.42578125" style="903" customWidth="1"/>
    <col min="1778" max="1778" width="6.5703125" style="903" customWidth="1"/>
    <col min="1779" max="1779" width="23.85546875" style="903" customWidth="1"/>
    <col min="1780" max="1780" width="6.28515625" style="903" customWidth="1"/>
    <col min="1781" max="1793" width="5.42578125" style="903" customWidth="1"/>
    <col min="1794" max="1794" width="6.42578125" style="903" customWidth="1"/>
    <col min="1795" max="1795" width="6.28515625" style="903" customWidth="1"/>
    <col min="1796" max="1796" width="12.85546875" style="903" bestFit="1" customWidth="1"/>
    <col min="1797" max="1797" width="13.42578125" style="903" bestFit="1" customWidth="1"/>
    <col min="1798" max="1798" width="6.7109375" style="903" customWidth="1"/>
    <col min="1799" max="1799" width="10.5703125" style="903" customWidth="1"/>
    <col min="1800" max="1800" width="10.140625" style="903" customWidth="1"/>
    <col min="1801" max="2031" width="9.140625" style="903"/>
    <col min="2032" max="2032" width="3.7109375" style="903" customWidth="1"/>
    <col min="2033" max="2033" width="14.42578125" style="903" customWidth="1"/>
    <col min="2034" max="2034" width="6.5703125" style="903" customWidth="1"/>
    <col min="2035" max="2035" width="23.85546875" style="903" customWidth="1"/>
    <col min="2036" max="2036" width="6.28515625" style="903" customWidth="1"/>
    <col min="2037" max="2049" width="5.42578125" style="903" customWidth="1"/>
    <col min="2050" max="2050" width="6.42578125" style="903" customWidth="1"/>
    <col min="2051" max="2051" width="6.28515625" style="903" customWidth="1"/>
    <col min="2052" max="2052" width="12.85546875" style="903" bestFit="1" customWidth="1"/>
    <col min="2053" max="2053" width="13.42578125" style="903" bestFit="1" customWidth="1"/>
    <col min="2054" max="2054" width="6.7109375" style="903" customWidth="1"/>
    <col min="2055" max="2055" width="10.5703125" style="903" customWidth="1"/>
    <col min="2056" max="2056" width="10.140625" style="903" customWidth="1"/>
    <col min="2057" max="2287" width="9.140625" style="903"/>
    <col min="2288" max="2288" width="3.7109375" style="903" customWidth="1"/>
    <col min="2289" max="2289" width="14.42578125" style="903" customWidth="1"/>
    <col min="2290" max="2290" width="6.5703125" style="903" customWidth="1"/>
    <col min="2291" max="2291" width="23.85546875" style="903" customWidth="1"/>
    <col min="2292" max="2292" width="6.28515625" style="903" customWidth="1"/>
    <col min="2293" max="2305" width="5.42578125" style="903" customWidth="1"/>
    <col min="2306" max="2306" width="6.42578125" style="903" customWidth="1"/>
    <col min="2307" max="2307" width="6.28515625" style="903" customWidth="1"/>
    <col min="2308" max="2308" width="12.85546875" style="903" bestFit="1" customWidth="1"/>
    <col min="2309" max="2309" width="13.42578125" style="903" bestFit="1" customWidth="1"/>
    <col min="2310" max="2310" width="6.7109375" style="903" customWidth="1"/>
    <col min="2311" max="2311" width="10.5703125" style="903" customWidth="1"/>
    <col min="2312" max="2312" width="10.140625" style="903" customWidth="1"/>
    <col min="2313" max="2543" width="9.140625" style="903"/>
    <col min="2544" max="2544" width="3.7109375" style="903" customWidth="1"/>
    <col min="2545" max="2545" width="14.42578125" style="903" customWidth="1"/>
    <col min="2546" max="2546" width="6.5703125" style="903" customWidth="1"/>
    <col min="2547" max="2547" width="23.85546875" style="903" customWidth="1"/>
    <col min="2548" max="2548" width="6.28515625" style="903" customWidth="1"/>
    <col min="2549" max="2561" width="5.42578125" style="903" customWidth="1"/>
    <col min="2562" max="2562" width="6.42578125" style="903" customWidth="1"/>
    <col min="2563" max="2563" width="6.28515625" style="903" customWidth="1"/>
    <col min="2564" max="2564" width="12.85546875" style="903" bestFit="1" customWidth="1"/>
    <col min="2565" max="2565" width="13.42578125" style="903" bestFit="1" customWidth="1"/>
    <col min="2566" max="2566" width="6.7109375" style="903" customWidth="1"/>
    <col min="2567" max="2567" width="10.5703125" style="903" customWidth="1"/>
    <col min="2568" max="2568" width="10.140625" style="903" customWidth="1"/>
    <col min="2569" max="2799" width="9.140625" style="903"/>
    <col min="2800" max="2800" width="3.7109375" style="903" customWidth="1"/>
    <col min="2801" max="2801" width="14.42578125" style="903" customWidth="1"/>
    <col min="2802" max="2802" width="6.5703125" style="903" customWidth="1"/>
    <col min="2803" max="2803" width="23.85546875" style="903" customWidth="1"/>
    <col min="2804" max="2804" width="6.28515625" style="903" customWidth="1"/>
    <col min="2805" max="2817" width="5.42578125" style="903" customWidth="1"/>
    <col min="2818" max="2818" width="6.42578125" style="903" customWidth="1"/>
    <col min="2819" max="2819" width="6.28515625" style="903" customWidth="1"/>
    <col min="2820" max="2820" width="12.85546875" style="903" bestFit="1" customWidth="1"/>
    <col min="2821" max="2821" width="13.42578125" style="903" bestFit="1" customWidth="1"/>
    <col min="2822" max="2822" width="6.7109375" style="903" customWidth="1"/>
    <col min="2823" max="2823" width="10.5703125" style="903" customWidth="1"/>
    <col min="2824" max="2824" width="10.140625" style="903" customWidth="1"/>
    <col min="2825" max="3055" width="9.140625" style="903"/>
    <col min="3056" max="3056" width="3.7109375" style="903" customWidth="1"/>
    <col min="3057" max="3057" width="14.42578125" style="903" customWidth="1"/>
    <col min="3058" max="3058" width="6.5703125" style="903" customWidth="1"/>
    <col min="3059" max="3059" width="23.85546875" style="903" customWidth="1"/>
    <col min="3060" max="3060" width="6.28515625" style="903" customWidth="1"/>
    <col min="3061" max="3073" width="5.42578125" style="903" customWidth="1"/>
    <col min="3074" max="3074" width="6.42578125" style="903" customWidth="1"/>
    <col min="3075" max="3075" width="6.28515625" style="903" customWidth="1"/>
    <col min="3076" max="3076" width="12.85546875" style="903" bestFit="1" customWidth="1"/>
    <col min="3077" max="3077" width="13.42578125" style="903" bestFit="1" customWidth="1"/>
    <col min="3078" max="3078" width="6.7109375" style="903" customWidth="1"/>
    <col min="3079" max="3079" width="10.5703125" style="903" customWidth="1"/>
    <col min="3080" max="3080" width="10.140625" style="903" customWidth="1"/>
    <col min="3081" max="3311" width="9.140625" style="903"/>
    <col min="3312" max="3312" width="3.7109375" style="903" customWidth="1"/>
    <col min="3313" max="3313" width="14.42578125" style="903" customWidth="1"/>
    <col min="3314" max="3314" width="6.5703125" style="903" customWidth="1"/>
    <col min="3315" max="3315" width="23.85546875" style="903" customWidth="1"/>
    <col min="3316" max="3316" width="6.28515625" style="903" customWidth="1"/>
    <col min="3317" max="3329" width="5.42578125" style="903" customWidth="1"/>
    <col min="3330" max="3330" width="6.42578125" style="903" customWidth="1"/>
    <col min="3331" max="3331" width="6.28515625" style="903" customWidth="1"/>
    <col min="3332" max="3332" width="12.85546875" style="903" bestFit="1" customWidth="1"/>
    <col min="3333" max="3333" width="13.42578125" style="903" bestFit="1" customWidth="1"/>
    <col min="3334" max="3334" width="6.7109375" style="903" customWidth="1"/>
    <col min="3335" max="3335" width="10.5703125" style="903" customWidth="1"/>
    <col min="3336" max="3336" width="10.140625" style="903" customWidth="1"/>
    <col min="3337" max="3567" width="9.140625" style="903"/>
    <col min="3568" max="3568" width="3.7109375" style="903" customWidth="1"/>
    <col min="3569" max="3569" width="14.42578125" style="903" customWidth="1"/>
    <col min="3570" max="3570" width="6.5703125" style="903" customWidth="1"/>
    <col min="3571" max="3571" width="23.85546875" style="903" customWidth="1"/>
    <col min="3572" max="3572" width="6.28515625" style="903" customWidth="1"/>
    <col min="3573" max="3585" width="5.42578125" style="903" customWidth="1"/>
    <col min="3586" max="3586" width="6.42578125" style="903" customWidth="1"/>
    <col min="3587" max="3587" width="6.28515625" style="903" customWidth="1"/>
    <col min="3588" max="3588" width="12.85546875" style="903" bestFit="1" customWidth="1"/>
    <col min="3589" max="3589" width="13.42578125" style="903" bestFit="1" customWidth="1"/>
    <col min="3590" max="3590" width="6.7109375" style="903" customWidth="1"/>
    <col min="3591" max="3591" width="10.5703125" style="903" customWidth="1"/>
    <col min="3592" max="3592" width="10.140625" style="903" customWidth="1"/>
    <col min="3593" max="3823" width="9.140625" style="903"/>
    <col min="3824" max="3824" width="3.7109375" style="903" customWidth="1"/>
    <col min="3825" max="3825" width="14.42578125" style="903" customWidth="1"/>
    <col min="3826" max="3826" width="6.5703125" style="903" customWidth="1"/>
    <col min="3827" max="3827" width="23.85546875" style="903" customWidth="1"/>
    <col min="3828" max="3828" width="6.28515625" style="903" customWidth="1"/>
    <col min="3829" max="3841" width="5.42578125" style="903" customWidth="1"/>
    <col min="3842" max="3842" width="6.42578125" style="903" customWidth="1"/>
    <col min="3843" max="3843" width="6.28515625" style="903" customWidth="1"/>
    <col min="3844" max="3844" width="12.85546875" style="903" bestFit="1" customWidth="1"/>
    <col min="3845" max="3845" width="13.42578125" style="903" bestFit="1" customWidth="1"/>
    <col min="3846" max="3846" width="6.7109375" style="903" customWidth="1"/>
    <col min="3847" max="3847" width="10.5703125" style="903" customWidth="1"/>
    <col min="3848" max="3848" width="10.140625" style="903" customWidth="1"/>
    <col min="3849" max="4079" width="9.140625" style="903"/>
    <col min="4080" max="4080" width="3.7109375" style="903" customWidth="1"/>
    <col min="4081" max="4081" width="14.42578125" style="903" customWidth="1"/>
    <col min="4082" max="4082" width="6.5703125" style="903" customWidth="1"/>
    <col min="4083" max="4083" width="23.85546875" style="903" customWidth="1"/>
    <col min="4084" max="4084" width="6.28515625" style="903" customWidth="1"/>
    <col min="4085" max="4097" width="5.42578125" style="903" customWidth="1"/>
    <col min="4098" max="4098" width="6.42578125" style="903" customWidth="1"/>
    <col min="4099" max="4099" width="6.28515625" style="903" customWidth="1"/>
    <col min="4100" max="4100" width="12.85546875" style="903" bestFit="1" customWidth="1"/>
    <col min="4101" max="4101" width="13.42578125" style="903" bestFit="1" customWidth="1"/>
    <col min="4102" max="4102" width="6.7109375" style="903" customWidth="1"/>
    <col min="4103" max="4103" width="10.5703125" style="903" customWidth="1"/>
    <col min="4104" max="4104" width="10.140625" style="903" customWidth="1"/>
    <col min="4105" max="4335" width="9.140625" style="903"/>
    <col min="4336" max="4336" width="3.7109375" style="903" customWidth="1"/>
    <col min="4337" max="4337" width="14.42578125" style="903" customWidth="1"/>
    <col min="4338" max="4338" width="6.5703125" style="903" customWidth="1"/>
    <col min="4339" max="4339" width="23.85546875" style="903" customWidth="1"/>
    <col min="4340" max="4340" width="6.28515625" style="903" customWidth="1"/>
    <col min="4341" max="4353" width="5.42578125" style="903" customWidth="1"/>
    <col min="4354" max="4354" width="6.42578125" style="903" customWidth="1"/>
    <col min="4355" max="4355" width="6.28515625" style="903" customWidth="1"/>
    <col min="4356" max="4356" width="12.85546875" style="903" bestFit="1" customWidth="1"/>
    <col min="4357" max="4357" width="13.42578125" style="903" bestFit="1" customWidth="1"/>
    <col min="4358" max="4358" width="6.7109375" style="903" customWidth="1"/>
    <col min="4359" max="4359" width="10.5703125" style="903" customWidth="1"/>
    <col min="4360" max="4360" width="10.140625" style="903" customWidth="1"/>
    <col min="4361" max="4591" width="9.140625" style="903"/>
    <col min="4592" max="4592" width="3.7109375" style="903" customWidth="1"/>
    <col min="4593" max="4593" width="14.42578125" style="903" customWidth="1"/>
    <col min="4594" max="4594" width="6.5703125" style="903" customWidth="1"/>
    <col min="4595" max="4595" width="23.85546875" style="903" customWidth="1"/>
    <col min="4596" max="4596" width="6.28515625" style="903" customWidth="1"/>
    <col min="4597" max="4609" width="5.42578125" style="903" customWidth="1"/>
    <col min="4610" max="4610" width="6.42578125" style="903" customWidth="1"/>
    <col min="4611" max="4611" width="6.28515625" style="903" customWidth="1"/>
    <col min="4612" max="4612" width="12.85546875" style="903" bestFit="1" customWidth="1"/>
    <col min="4613" max="4613" width="13.42578125" style="903" bestFit="1" customWidth="1"/>
    <col min="4614" max="4614" width="6.7109375" style="903" customWidth="1"/>
    <col min="4615" max="4615" width="10.5703125" style="903" customWidth="1"/>
    <col min="4616" max="4616" width="10.140625" style="903" customWidth="1"/>
    <col min="4617" max="4847" width="9.140625" style="903"/>
    <col min="4848" max="4848" width="3.7109375" style="903" customWidth="1"/>
    <col min="4849" max="4849" width="14.42578125" style="903" customWidth="1"/>
    <col min="4850" max="4850" width="6.5703125" style="903" customWidth="1"/>
    <col min="4851" max="4851" width="23.85546875" style="903" customWidth="1"/>
    <col min="4852" max="4852" width="6.28515625" style="903" customWidth="1"/>
    <col min="4853" max="4865" width="5.42578125" style="903" customWidth="1"/>
    <col min="4866" max="4866" width="6.42578125" style="903" customWidth="1"/>
    <col min="4867" max="4867" width="6.28515625" style="903" customWidth="1"/>
    <col min="4868" max="4868" width="12.85546875" style="903" bestFit="1" customWidth="1"/>
    <col min="4869" max="4869" width="13.42578125" style="903" bestFit="1" customWidth="1"/>
    <col min="4870" max="4870" width="6.7109375" style="903" customWidth="1"/>
    <col min="4871" max="4871" width="10.5703125" style="903" customWidth="1"/>
    <col min="4872" max="4872" width="10.140625" style="903" customWidth="1"/>
    <col min="4873" max="5103" width="9.140625" style="903"/>
    <col min="5104" max="5104" width="3.7109375" style="903" customWidth="1"/>
    <col min="5105" max="5105" width="14.42578125" style="903" customWidth="1"/>
    <col min="5106" max="5106" width="6.5703125" style="903" customWidth="1"/>
    <col min="5107" max="5107" width="23.85546875" style="903" customWidth="1"/>
    <col min="5108" max="5108" width="6.28515625" style="903" customWidth="1"/>
    <col min="5109" max="5121" width="5.42578125" style="903" customWidth="1"/>
    <col min="5122" max="5122" width="6.42578125" style="903" customWidth="1"/>
    <col min="5123" max="5123" width="6.28515625" style="903" customWidth="1"/>
    <col min="5124" max="5124" width="12.85546875" style="903" bestFit="1" customWidth="1"/>
    <col min="5125" max="5125" width="13.42578125" style="903" bestFit="1" customWidth="1"/>
    <col min="5126" max="5126" width="6.7109375" style="903" customWidth="1"/>
    <col min="5127" max="5127" width="10.5703125" style="903" customWidth="1"/>
    <col min="5128" max="5128" width="10.140625" style="903" customWidth="1"/>
    <col min="5129" max="5359" width="9.140625" style="903"/>
    <col min="5360" max="5360" width="3.7109375" style="903" customWidth="1"/>
    <col min="5361" max="5361" width="14.42578125" style="903" customWidth="1"/>
    <col min="5362" max="5362" width="6.5703125" style="903" customWidth="1"/>
    <col min="5363" max="5363" width="23.85546875" style="903" customWidth="1"/>
    <col min="5364" max="5364" width="6.28515625" style="903" customWidth="1"/>
    <col min="5365" max="5377" width="5.42578125" style="903" customWidth="1"/>
    <col min="5378" max="5378" width="6.42578125" style="903" customWidth="1"/>
    <col min="5379" max="5379" width="6.28515625" style="903" customWidth="1"/>
    <col min="5380" max="5380" width="12.85546875" style="903" bestFit="1" customWidth="1"/>
    <col min="5381" max="5381" width="13.42578125" style="903" bestFit="1" customWidth="1"/>
    <col min="5382" max="5382" width="6.7109375" style="903" customWidth="1"/>
    <col min="5383" max="5383" width="10.5703125" style="903" customWidth="1"/>
    <col min="5384" max="5384" width="10.140625" style="903" customWidth="1"/>
    <col min="5385" max="5615" width="9.140625" style="903"/>
    <col min="5616" max="5616" width="3.7109375" style="903" customWidth="1"/>
    <col min="5617" max="5617" width="14.42578125" style="903" customWidth="1"/>
    <col min="5618" max="5618" width="6.5703125" style="903" customWidth="1"/>
    <col min="5619" max="5619" width="23.85546875" style="903" customWidth="1"/>
    <col min="5620" max="5620" width="6.28515625" style="903" customWidth="1"/>
    <col min="5621" max="5633" width="5.42578125" style="903" customWidth="1"/>
    <col min="5634" max="5634" width="6.42578125" style="903" customWidth="1"/>
    <col min="5635" max="5635" width="6.28515625" style="903" customWidth="1"/>
    <col min="5636" max="5636" width="12.85546875" style="903" bestFit="1" customWidth="1"/>
    <col min="5637" max="5637" width="13.42578125" style="903" bestFit="1" customWidth="1"/>
    <col min="5638" max="5638" width="6.7109375" style="903" customWidth="1"/>
    <col min="5639" max="5639" width="10.5703125" style="903" customWidth="1"/>
    <col min="5640" max="5640" width="10.140625" style="903" customWidth="1"/>
    <col min="5641" max="5871" width="9.140625" style="903"/>
    <col min="5872" max="5872" width="3.7109375" style="903" customWidth="1"/>
    <col min="5873" max="5873" width="14.42578125" style="903" customWidth="1"/>
    <col min="5874" max="5874" width="6.5703125" style="903" customWidth="1"/>
    <col min="5875" max="5875" width="23.85546875" style="903" customWidth="1"/>
    <col min="5876" max="5876" width="6.28515625" style="903" customWidth="1"/>
    <col min="5877" max="5889" width="5.42578125" style="903" customWidth="1"/>
    <col min="5890" max="5890" width="6.42578125" style="903" customWidth="1"/>
    <col min="5891" max="5891" width="6.28515625" style="903" customWidth="1"/>
    <col min="5892" max="5892" width="12.85546875" style="903" bestFit="1" customWidth="1"/>
    <col min="5893" max="5893" width="13.42578125" style="903" bestFit="1" customWidth="1"/>
    <col min="5894" max="5894" width="6.7109375" style="903" customWidth="1"/>
    <col min="5895" max="5895" width="10.5703125" style="903" customWidth="1"/>
    <col min="5896" max="5896" width="10.140625" style="903" customWidth="1"/>
    <col min="5897" max="6127" width="9.140625" style="903"/>
    <col min="6128" max="6128" width="3.7109375" style="903" customWidth="1"/>
    <col min="6129" max="6129" width="14.42578125" style="903" customWidth="1"/>
    <col min="6130" max="6130" width="6.5703125" style="903" customWidth="1"/>
    <col min="6131" max="6131" width="23.85546875" style="903" customWidth="1"/>
    <col min="6132" max="6132" width="6.28515625" style="903" customWidth="1"/>
    <col min="6133" max="6145" width="5.42578125" style="903" customWidth="1"/>
    <col min="6146" max="6146" width="6.42578125" style="903" customWidth="1"/>
    <col min="6147" max="6147" width="6.28515625" style="903" customWidth="1"/>
    <col min="6148" max="6148" width="12.85546875" style="903" bestFit="1" customWidth="1"/>
    <col min="6149" max="6149" width="13.42578125" style="903" bestFit="1" customWidth="1"/>
    <col min="6150" max="6150" width="6.7109375" style="903" customWidth="1"/>
    <col min="6151" max="6151" width="10.5703125" style="903" customWidth="1"/>
    <col min="6152" max="6152" width="10.140625" style="903" customWidth="1"/>
    <col min="6153" max="6383" width="9.140625" style="903"/>
    <col min="6384" max="6384" width="3.7109375" style="903" customWidth="1"/>
    <col min="6385" max="6385" width="14.42578125" style="903" customWidth="1"/>
    <col min="6386" max="6386" width="6.5703125" style="903" customWidth="1"/>
    <col min="6387" max="6387" width="23.85546875" style="903" customWidth="1"/>
    <col min="6388" max="6388" width="6.28515625" style="903" customWidth="1"/>
    <col min="6389" max="6401" width="5.42578125" style="903" customWidth="1"/>
    <col min="6402" max="6402" width="6.42578125" style="903" customWidth="1"/>
    <col min="6403" max="6403" width="6.28515625" style="903" customWidth="1"/>
    <col min="6404" max="6404" width="12.85546875" style="903" bestFit="1" customWidth="1"/>
    <col min="6405" max="6405" width="13.42578125" style="903" bestFit="1" customWidth="1"/>
    <col min="6406" max="6406" width="6.7109375" style="903" customWidth="1"/>
    <col min="6407" max="6407" width="10.5703125" style="903" customWidth="1"/>
    <col min="6408" max="6408" width="10.140625" style="903" customWidth="1"/>
    <col min="6409" max="6639" width="9.140625" style="903"/>
    <col min="6640" max="6640" width="3.7109375" style="903" customWidth="1"/>
    <col min="6641" max="6641" width="14.42578125" style="903" customWidth="1"/>
    <col min="6642" max="6642" width="6.5703125" style="903" customWidth="1"/>
    <col min="6643" max="6643" width="23.85546875" style="903" customWidth="1"/>
    <col min="6644" max="6644" width="6.28515625" style="903" customWidth="1"/>
    <col min="6645" max="6657" width="5.42578125" style="903" customWidth="1"/>
    <col min="6658" max="6658" width="6.42578125" style="903" customWidth="1"/>
    <col min="6659" max="6659" width="6.28515625" style="903" customWidth="1"/>
    <col min="6660" max="6660" width="12.85546875" style="903" bestFit="1" customWidth="1"/>
    <col min="6661" max="6661" width="13.42578125" style="903" bestFit="1" customWidth="1"/>
    <col min="6662" max="6662" width="6.7109375" style="903" customWidth="1"/>
    <col min="6663" max="6663" width="10.5703125" style="903" customWidth="1"/>
    <col min="6664" max="6664" width="10.140625" style="903" customWidth="1"/>
    <col min="6665" max="6895" width="9.140625" style="903"/>
    <col min="6896" max="6896" width="3.7109375" style="903" customWidth="1"/>
    <col min="6897" max="6897" width="14.42578125" style="903" customWidth="1"/>
    <col min="6898" max="6898" width="6.5703125" style="903" customWidth="1"/>
    <col min="6899" max="6899" width="23.85546875" style="903" customWidth="1"/>
    <col min="6900" max="6900" width="6.28515625" style="903" customWidth="1"/>
    <col min="6901" max="6913" width="5.42578125" style="903" customWidth="1"/>
    <col min="6914" max="6914" width="6.42578125" style="903" customWidth="1"/>
    <col min="6915" max="6915" width="6.28515625" style="903" customWidth="1"/>
    <col min="6916" max="6916" width="12.85546875" style="903" bestFit="1" customWidth="1"/>
    <col min="6917" max="6917" width="13.42578125" style="903" bestFit="1" customWidth="1"/>
    <col min="6918" max="6918" width="6.7109375" style="903" customWidth="1"/>
    <col min="6919" max="6919" width="10.5703125" style="903" customWidth="1"/>
    <col min="6920" max="6920" width="10.140625" style="903" customWidth="1"/>
    <col min="6921" max="7151" width="9.140625" style="903"/>
    <col min="7152" max="7152" width="3.7109375" style="903" customWidth="1"/>
    <col min="7153" max="7153" width="14.42578125" style="903" customWidth="1"/>
    <col min="7154" max="7154" width="6.5703125" style="903" customWidth="1"/>
    <col min="7155" max="7155" width="23.85546875" style="903" customWidth="1"/>
    <col min="7156" max="7156" width="6.28515625" style="903" customWidth="1"/>
    <col min="7157" max="7169" width="5.42578125" style="903" customWidth="1"/>
    <col min="7170" max="7170" width="6.42578125" style="903" customWidth="1"/>
    <col min="7171" max="7171" width="6.28515625" style="903" customWidth="1"/>
    <col min="7172" max="7172" width="12.85546875" style="903" bestFit="1" customWidth="1"/>
    <col min="7173" max="7173" width="13.42578125" style="903" bestFit="1" customWidth="1"/>
    <col min="7174" max="7174" width="6.7109375" style="903" customWidth="1"/>
    <col min="7175" max="7175" width="10.5703125" style="903" customWidth="1"/>
    <col min="7176" max="7176" width="10.140625" style="903" customWidth="1"/>
    <col min="7177" max="7407" width="9.140625" style="903"/>
    <col min="7408" max="7408" width="3.7109375" style="903" customWidth="1"/>
    <col min="7409" max="7409" width="14.42578125" style="903" customWidth="1"/>
    <col min="7410" max="7410" width="6.5703125" style="903" customWidth="1"/>
    <col min="7411" max="7411" width="23.85546875" style="903" customWidth="1"/>
    <col min="7412" max="7412" width="6.28515625" style="903" customWidth="1"/>
    <col min="7413" max="7425" width="5.42578125" style="903" customWidth="1"/>
    <col min="7426" max="7426" width="6.42578125" style="903" customWidth="1"/>
    <col min="7427" max="7427" width="6.28515625" style="903" customWidth="1"/>
    <col min="7428" max="7428" width="12.85546875" style="903" bestFit="1" customWidth="1"/>
    <col min="7429" max="7429" width="13.42578125" style="903" bestFit="1" customWidth="1"/>
    <col min="7430" max="7430" width="6.7109375" style="903" customWidth="1"/>
    <col min="7431" max="7431" width="10.5703125" style="903" customWidth="1"/>
    <col min="7432" max="7432" width="10.140625" style="903" customWidth="1"/>
    <col min="7433" max="7663" width="9.140625" style="903"/>
    <col min="7664" max="7664" width="3.7109375" style="903" customWidth="1"/>
    <col min="7665" max="7665" width="14.42578125" style="903" customWidth="1"/>
    <col min="7666" max="7666" width="6.5703125" style="903" customWidth="1"/>
    <col min="7667" max="7667" width="23.85546875" style="903" customWidth="1"/>
    <col min="7668" max="7668" width="6.28515625" style="903" customWidth="1"/>
    <col min="7669" max="7681" width="5.42578125" style="903" customWidth="1"/>
    <col min="7682" max="7682" width="6.42578125" style="903" customWidth="1"/>
    <col min="7683" max="7683" width="6.28515625" style="903" customWidth="1"/>
    <col min="7684" max="7684" width="12.85546875" style="903" bestFit="1" customWidth="1"/>
    <col min="7685" max="7685" width="13.42578125" style="903" bestFit="1" customWidth="1"/>
    <col min="7686" max="7686" width="6.7109375" style="903" customWidth="1"/>
    <col min="7687" max="7687" width="10.5703125" style="903" customWidth="1"/>
    <col min="7688" max="7688" width="10.140625" style="903" customWidth="1"/>
    <col min="7689" max="7919" width="9.140625" style="903"/>
    <col min="7920" max="7920" width="3.7109375" style="903" customWidth="1"/>
    <col min="7921" max="7921" width="14.42578125" style="903" customWidth="1"/>
    <col min="7922" max="7922" width="6.5703125" style="903" customWidth="1"/>
    <col min="7923" max="7923" width="23.85546875" style="903" customWidth="1"/>
    <col min="7924" max="7924" width="6.28515625" style="903" customWidth="1"/>
    <col min="7925" max="7937" width="5.42578125" style="903" customWidth="1"/>
    <col min="7938" max="7938" width="6.42578125" style="903" customWidth="1"/>
    <col min="7939" max="7939" width="6.28515625" style="903" customWidth="1"/>
    <col min="7940" max="7940" width="12.85546875" style="903" bestFit="1" customWidth="1"/>
    <col min="7941" max="7941" width="13.42578125" style="903" bestFit="1" customWidth="1"/>
    <col min="7942" max="7942" width="6.7109375" style="903" customWidth="1"/>
    <col min="7943" max="7943" width="10.5703125" style="903" customWidth="1"/>
    <col min="7944" max="7944" width="10.140625" style="903" customWidth="1"/>
    <col min="7945" max="8175" width="9.140625" style="903"/>
    <col min="8176" max="8176" width="3.7109375" style="903" customWidth="1"/>
    <col min="8177" max="8177" width="14.42578125" style="903" customWidth="1"/>
    <col min="8178" max="8178" width="6.5703125" style="903" customWidth="1"/>
    <col min="8179" max="8179" width="23.85546875" style="903" customWidth="1"/>
    <col min="8180" max="8180" width="6.28515625" style="903" customWidth="1"/>
    <col min="8181" max="8193" width="5.42578125" style="903" customWidth="1"/>
    <col min="8194" max="8194" width="6.42578125" style="903" customWidth="1"/>
    <col min="8195" max="8195" width="6.28515625" style="903" customWidth="1"/>
    <col min="8196" max="8196" width="12.85546875" style="903" bestFit="1" customWidth="1"/>
    <col min="8197" max="8197" width="13.42578125" style="903" bestFit="1" customWidth="1"/>
    <col min="8198" max="8198" width="6.7109375" style="903" customWidth="1"/>
    <col min="8199" max="8199" width="10.5703125" style="903" customWidth="1"/>
    <col min="8200" max="8200" width="10.140625" style="903" customWidth="1"/>
    <col min="8201" max="8431" width="9.140625" style="903"/>
    <col min="8432" max="8432" width="3.7109375" style="903" customWidth="1"/>
    <col min="8433" max="8433" width="14.42578125" style="903" customWidth="1"/>
    <col min="8434" max="8434" width="6.5703125" style="903" customWidth="1"/>
    <col min="8435" max="8435" width="23.85546875" style="903" customWidth="1"/>
    <col min="8436" max="8436" width="6.28515625" style="903" customWidth="1"/>
    <col min="8437" max="8449" width="5.42578125" style="903" customWidth="1"/>
    <col min="8450" max="8450" width="6.42578125" style="903" customWidth="1"/>
    <col min="8451" max="8451" width="6.28515625" style="903" customWidth="1"/>
    <col min="8452" max="8452" width="12.85546875" style="903" bestFit="1" customWidth="1"/>
    <col min="8453" max="8453" width="13.42578125" style="903" bestFit="1" customWidth="1"/>
    <col min="8454" max="8454" width="6.7109375" style="903" customWidth="1"/>
    <col min="8455" max="8455" width="10.5703125" style="903" customWidth="1"/>
    <col min="8456" max="8456" width="10.140625" style="903" customWidth="1"/>
    <col min="8457" max="8687" width="9.140625" style="903"/>
    <col min="8688" max="8688" width="3.7109375" style="903" customWidth="1"/>
    <col min="8689" max="8689" width="14.42578125" style="903" customWidth="1"/>
    <col min="8690" max="8690" width="6.5703125" style="903" customWidth="1"/>
    <col min="8691" max="8691" width="23.85546875" style="903" customWidth="1"/>
    <col min="8692" max="8692" width="6.28515625" style="903" customWidth="1"/>
    <col min="8693" max="8705" width="5.42578125" style="903" customWidth="1"/>
    <col min="8706" max="8706" width="6.42578125" style="903" customWidth="1"/>
    <col min="8707" max="8707" width="6.28515625" style="903" customWidth="1"/>
    <col min="8708" max="8708" width="12.85546875" style="903" bestFit="1" customWidth="1"/>
    <col min="8709" max="8709" width="13.42578125" style="903" bestFit="1" customWidth="1"/>
    <col min="8710" max="8710" width="6.7109375" style="903" customWidth="1"/>
    <col min="8711" max="8711" width="10.5703125" style="903" customWidth="1"/>
    <col min="8712" max="8712" width="10.140625" style="903" customWidth="1"/>
    <col min="8713" max="8943" width="9.140625" style="903"/>
    <col min="8944" max="8944" width="3.7109375" style="903" customWidth="1"/>
    <col min="8945" max="8945" width="14.42578125" style="903" customWidth="1"/>
    <col min="8946" max="8946" width="6.5703125" style="903" customWidth="1"/>
    <col min="8947" max="8947" width="23.85546875" style="903" customWidth="1"/>
    <col min="8948" max="8948" width="6.28515625" style="903" customWidth="1"/>
    <col min="8949" max="8961" width="5.42578125" style="903" customWidth="1"/>
    <col min="8962" max="8962" width="6.42578125" style="903" customWidth="1"/>
    <col min="8963" max="8963" width="6.28515625" style="903" customWidth="1"/>
    <col min="8964" max="8964" width="12.85546875" style="903" bestFit="1" customWidth="1"/>
    <col min="8965" max="8965" width="13.42578125" style="903" bestFit="1" customWidth="1"/>
    <col min="8966" max="8966" width="6.7109375" style="903" customWidth="1"/>
    <col min="8967" max="8967" width="10.5703125" style="903" customWidth="1"/>
    <col min="8968" max="8968" width="10.140625" style="903" customWidth="1"/>
    <col min="8969" max="9199" width="9.140625" style="903"/>
    <col min="9200" max="9200" width="3.7109375" style="903" customWidth="1"/>
    <col min="9201" max="9201" width="14.42578125" style="903" customWidth="1"/>
    <col min="9202" max="9202" width="6.5703125" style="903" customWidth="1"/>
    <col min="9203" max="9203" width="23.85546875" style="903" customWidth="1"/>
    <col min="9204" max="9204" width="6.28515625" style="903" customWidth="1"/>
    <col min="9205" max="9217" width="5.42578125" style="903" customWidth="1"/>
    <col min="9218" max="9218" width="6.42578125" style="903" customWidth="1"/>
    <col min="9219" max="9219" width="6.28515625" style="903" customWidth="1"/>
    <col min="9220" max="9220" width="12.85546875" style="903" bestFit="1" customWidth="1"/>
    <col min="9221" max="9221" width="13.42578125" style="903" bestFit="1" customWidth="1"/>
    <col min="9222" max="9222" width="6.7109375" style="903" customWidth="1"/>
    <col min="9223" max="9223" width="10.5703125" style="903" customWidth="1"/>
    <col min="9224" max="9224" width="10.140625" style="903" customWidth="1"/>
    <col min="9225" max="9455" width="9.140625" style="903"/>
    <col min="9456" max="9456" width="3.7109375" style="903" customWidth="1"/>
    <col min="9457" max="9457" width="14.42578125" style="903" customWidth="1"/>
    <col min="9458" max="9458" width="6.5703125" style="903" customWidth="1"/>
    <col min="9459" max="9459" width="23.85546875" style="903" customWidth="1"/>
    <col min="9460" max="9460" width="6.28515625" style="903" customWidth="1"/>
    <col min="9461" max="9473" width="5.42578125" style="903" customWidth="1"/>
    <col min="9474" max="9474" width="6.42578125" style="903" customWidth="1"/>
    <col min="9475" max="9475" width="6.28515625" style="903" customWidth="1"/>
    <col min="9476" max="9476" width="12.85546875" style="903" bestFit="1" customWidth="1"/>
    <col min="9477" max="9477" width="13.42578125" style="903" bestFit="1" customWidth="1"/>
    <col min="9478" max="9478" width="6.7109375" style="903" customWidth="1"/>
    <col min="9479" max="9479" width="10.5703125" style="903" customWidth="1"/>
    <col min="9480" max="9480" width="10.140625" style="903" customWidth="1"/>
    <col min="9481" max="9711" width="9.140625" style="903"/>
    <col min="9712" max="9712" width="3.7109375" style="903" customWidth="1"/>
    <col min="9713" max="9713" width="14.42578125" style="903" customWidth="1"/>
    <col min="9714" max="9714" width="6.5703125" style="903" customWidth="1"/>
    <col min="9715" max="9715" width="23.85546875" style="903" customWidth="1"/>
    <col min="9716" max="9716" width="6.28515625" style="903" customWidth="1"/>
    <col min="9717" max="9729" width="5.42578125" style="903" customWidth="1"/>
    <col min="9730" max="9730" width="6.42578125" style="903" customWidth="1"/>
    <col min="9731" max="9731" width="6.28515625" style="903" customWidth="1"/>
    <col min="9732" max="9732" width="12.85546875" style="903" bestFit="1" customWidth="1"/>
    <col min="9733" max="9733" width="13.42578125" style="903" bestFit="1" customWidth="1"/>
    <col min="9734" max="9734" width="6.7109375" style="903" customWidth="1"/>
    <col min="9735" max="9735" width="10.5703125" style="903" customWidth="1"/>
    <col min="9736" max="9736" width="10.140625" style="903" customWidth="1"/>
    <col min="9737" max="9967" width="9.140625" style="903"/>
    <col min="9968" max="9968" width="3.7109375" style="903" customWidth="1"/>
    <col min="9969" max="9969" width="14.42578125" style="903" customWidth="1"/>
    <col min="9970" max="9970" width="6.5703125" style="903" customWidth="1"/>
    <col min="9971" max="9971" width="23.85546875" style="903" customWidth="1"/>
    <col min="9972" max="9972" width="6.28515625" style="903" customWidth="1"/>
    <col min="9973" max="9985" width="5.42578125" style="903" customWidth="1"/>
    <col min="9986" max="9986" width="6.42578125" style="903" customWidth="1"/>
    <col min="9987" max="9987" width="6.28515625" style="903" customWidth="1"/>
    <col min="9988" max="9988" width="12.85546875" style="903" bestFit="1" customWidth="1"/>
    <col min="9989" max="9989" width="13.42578125" style="903" bestFit="1" customWidth="1"/>
    <col min="9990" max="9990" width="6.7109375" style="903" customWidth="1"/>
    <col min="9991" max="9991" width="10.5703125" style="903" customWidth="1"/>
    <col min="9992" max="9992" width="10.140625" style="903" customWidth="1"/>
    <col min="9993" max="10223" width="9.140625" style="903"/>
    <col min="10224" max="10224" width="3.7109375" style="903" customWidth="1"/>
    <col min="10225" max="10225" width="14.42578125" style="903" customWidth="1"/>
    <col min="10226" max="10226" width="6.5703125" style="903" customWidth="1"/>
    <col min="10227" max="10227" width="23.85546875" style="903" customWidth="1"/>
    <col min="10228" max="10228" width="6.28515625" style="903" customWidth="1"/>
    <col min="10229" max="10241" width="5.42578125" style="903" customWidth="1"/>
    <col min="10242" max="10242" width="6.42578125" style="903" customWidth="1"/>
    <col min="10243" max="10243" width="6.28515625" style="903" customWidth="1"/>
    <col min="10244" max="10244" width="12.85546875" style="903" bestFit="1" customWidth="1"/>
    <col min="10245" max="10245" width="13.42578125" style="903" bestFit="1" customWidth="1"/>
    <col min="10246" max="10246" width="6.7109375" style="903" customWidth="1"/>
    <col min="10247" max="10247" width="10.5703125" style="903" customWidth="1"/>
    <col min="10248" max="10248" width="10.140625" style="903" customWidth="1"/>
    <col min="10249" max="10479" width="9.140625" style="903"/>
    <col min="10480" max="10480" width="3.7109375" style="903" customWidth="1"/>
    <col min="10481" max="10481" width="14.42578125" style="903" customWidth="1"/>
    <col min="10482" max="10482" width="6.5703125" style="903" customWidth="1"/>
    <col min="10483" max="10483" width="23.85546875" style="903" customWidth="1"/>
    <col min="10484" max="10484" width="6.28515625" style="903" customWidth="1"/>
    <col min="10485" max="10497" width="5.42578125" style="903" customWidth="1"/>
    <col min="10498" max="10498" width="6.42578125" style="903" customWidth="1"/>
    <col min="10499" max="10499" width="6.28515625" style="903" customWidth="1"/>
    <col min="10500" max="10500" width="12.85546875" style="903" bestFit="1" customWidth="1"/>
    <col min="10501" max="10501" width="13.42578125" style="903" bestFit="1" customWidth="1"/>
    <col min="10502" max="10502" width="6.7109375" style="903" customWidth="1"/>
    <col min="10503" max="10503" width="10.5703125" style="903" customWidth="1"/>
    <col min="10504" max="10504" width="10.140625" style="903" customWidth="1"/>
    <col min="10505" max="10735" width="9.140625" style="903"/>
    <col min="10736" max="10736" width="3.7109375" style="903" customWidth="1"/>
    <col min="10737" max="10737" width="14.42578125" style="903" customWidth="1"/>
    <col min="10738" max="10738" width="6.5703125" style="903" customWidth="1"/>
    <col min="10739" max="10739" width="23.85546875" style="903" customWidth="1"/>
    <col min="10740" max="10740" width="6.28515625" style="903" customWidth="1"/>
    <col min="10741" max="10753" width="5.42578125" style="903" customWidth="1"/>
    <col min="10754" max="10754" width="6.42578125" style="903" customWidth="1"/>
    <col min="10755" max="10755" width="6.28515625" style="903" customWidth="1"/>
    <col min="10756" max="10756" width="12.85546875" style="903" bestFit="1" customWidth="1"/>
    <col min="10757" max="10757" width="13.42578125" style="903" bestFit="1" customWidth="1"/>
    <col min="10758" max="10758" width="6.7109375" style="903" customWidth="1"/>
    <col min="10759" max="10759" width="10.5703125" style="903" customWidth="1"/>
    <col min="10760" max="10760" width="10.140625" style="903" customWidth="1"/>
    <col min="10761" max="10991" width="9.140625" style="903"/>
    <col min="10992" max="10992" width="3.7109375" style="903" customWidth="1"/>
    <col min="10993" max="10993" width="14.42578125" style="903" customWidth="1"/>
    <col min="10994" max="10994" width="6.5703125" style="903" customWidth="1"/>
    <col min="10995" max="10995" width="23.85546875" style="903" customWidth="1"/>
    <col min="10996" max="10996" width="6.28515625" style="903" customWidth="1"/>
    <col min="10997" max="11009" width="5.42578125" style="903" customWidth="1"/>
    <col min="11010" max="11010" width="6.42578125" style="903" customWidth="1"/>
    <col min="11011" max="11011" width="6.28515625" style="903" customWidth="1"/>
    <col min="11012" max="11012" width="12.85546875" style="903" bestFit="1" customWidth="1"/>
    <col min="11013" max="11013" width="13.42578125" style="903" bestFit="1" customWidth="1"/>
    <col min="11014" max="11014" width="6.7109375" style="903" customWidth="1"/>
    <col min="11015" max="11015" width="10.5703125" style="903" customWidth="1"/>
    <col min="11016" max="11016" width="10.140625" style="903" customWidth="1"/>
    <col min="11017" max="11247" width="9.140625" style="903"/>
    <col min="11248" max="11248" width="3.7109375" style="903" customWidth="1"/>
    <col min="11249" max="11249" width="14.42578125" style="903" customWidth="1"/>
    <col min="11250" max="11250" width="6.5703125" style="903" customWidth="1"/>
    <col min="11251" max="11251" width="23.85546875" style="903" customWidth="1"/>
    <col min="11252" max="11252" width="6.28515625" style="903" customWidth="1"/>
    <col min="11253" max="11265" width="5.42578125" style="903" customWidth="1"/>
    <col min="11266" max="11266" width="6.42578125" style="903" customWidth="1"/>
    <col min="11267" max="11267" width="6.28515625" style="903" customWidth="1"/>
    <col min="11268" max="11268" width="12.85546875" style="903" bestFit="1" customWidth="1"/>
    <col min="11269" max="11269" width="13.42578125" style="903" bestFit="1" customWidth="1"/>
    <col min="11270" max="11270" width="6.7109375" style="903" customWidth="1"/>
    <col min="11271" max="11271" width="10.5703125" style="903" customWidth="1"/>
    <col min="11272" max="11272" width="10.140625" style="903" customWidth="1"/>
    <col min="11273" max="11503" width="9.140625" style="903"/>
    <col min="11504" max="11504" width="3.7109375" style="903" customWidth="1"/>
    <col min="11505" max="11505" width="14.42578125" style="903" customWidth="1"/>
    <col min="11506" max="11506" width="6.5703125" style="903" customWidth="1"/>
    <col min="11507" max="11507" width="23.85546875" style="903" customWidth="1"/>
    <col min="11508" max="11508" width="6.28515625" style="903" customWidth="1"/>
    <col min="11509" max="11521" width="5.42578125" style="903" customWidth="1"/>
    <col min="11522" max="11522" width="6.42578125" style="903" customWidth="1"/>
    <col min="11523" max="11523" width="6.28515625" style="903" customWidth="1"/>
    <col min="11524" max="11524" width="12.85546875" style="903" bestFit="1" customWidth="1"/>
    <col min="11525" max="11525" width="13.42578125" style="903" bestFit="1" customWidth="1"/>
    <col min="11526" max="11526" width="6.7109375" style="903" customWidth="1"/>
    <col min="11527" max="11527" width="10.5703125" style="903" customWidth="1"/>
    <col min="11528" max="11528" width="10.140625" style="903" customWidth="1"/>
    <col min="11529" max="11759" width="9.140625" style="903"/>
    <col min="11760" max="11760" width="3.7109375" style="903" customWidth="1"/>
    <col min="11761" max="11761" width="14.42578125" style="903" customWidth="1"/>
    <col min="11762" max="11762" width="6.5703125" style="903" customWidth="1"/>
    <col min="11763" max="11763" width="23.85546875" style="903" customWidth="1"/>
    <col min="11764" max="11764" width="6.28515625" style="903" customWidth="1"/>
    <col min="11765" max="11777" width="5.42578125" style="903" customWidth="1"/>
    <col min="11778" max="11778" width="6.42578125" style="903" customWidth="1"/>
    <col min="11779" max="11779" width="6.28515625" style="903" customWidth="1"/>
    <col min="11780" max="11780" width="12.85546875" style="903" bestFit="1" customWidth="1"/>
    <col min="11781" max="11781" width="13.42578125" style="903" bestFit="1" customWidth="1"/>
    <col min="11782" max="11782" width="6.7109375" style="903" customWidth="1"/>
    <col min="11783" max="11783" width="10.5703125" style="903" customWidth="1"/>
    <col min="11784" max="11784" width="10.140625" style="903" customWidth="1"/>
    <col min="11785" max="12015" width="9.140625" style="903"/>
    <col min="12016" max="12016" width="3.7109375" style="903" customWidth="1"/>
    <col min="12017" max="12017" width="14.42578125" style="903" customWidth="1"/>
    <col min="12018" max="12018" width="6.5703125" style="903" customWidth="1"/>
    <col min="12019" max="12019" width="23.85546875" style="903" customWidth="1"/>
    <col min="12020" max="12020" width="6.28515625" style="903" customWidth="1"/>
    <col min="12021" max="12033" width="5.42578125" style="903" customWidth="1"/>
    <col min="12034" max="12034" width="6.42578125" style="903" customWidth="1"/>
    <col min="12035" max="12035" width="6.28515625" style="903" customWidth="1"/>
    <col min="12036" max="12036" width="12.85546875" style="903" bestFit="1" customWidth="1"/>
    <col min="12037" max="12037" width="13.42578125" style="903" bestFit="1" customWidth="1"/>
    <col min="12038" max="12038" width="6.7109375" style="903" customWidth="1"/>
    <col min="12039" max="12039" width="10.5703125" style="903" customWidth="1"/>
    <col min="12040" max="12040" width="10.140625" style="903" customWidth="1"/>
    <col min="12041" max="12271" width="9.140625" style="903"/>
    <col min="12272" max="12272" width="3.7109375" style="903" customWidth="1"/>
    <col min="12273" max="12273" width="14.42578125" style="903" customWidth="1"/>
    <col min="12274" max="12274" width="6.5703125" style="903" customWidth="1"/>
    <col min="12275" max="12275" width="23.85546875" style="903" customWidth="1"/>
    <col min="12276" max="12276" width="6.28515625" style="903" customWidth="1"/>
    <col min="12277" max="12289" width="5.42578125" style="903" customWidth="1"/>
    <col min="12290" max="12290" width="6.42578125" style="903" customWidth="1"/>
    <col min="12291" max="12291" width="6.28515625" style="903" customWidth="1"/>
    <col min="12292" max="12292" width="12.85546875" style="903" bestFit="1" customWidth="1"/>
    <col min="12293" max="12293" width="13.42578125" style="903" bestFit="1" customWidth="1"/>
    <col min="12294" max="12294" width="6.7109375" style="903" customWidth="1"/>
    <col min="12295" max="12295" width="10.5703125" style="903" customWidth="1"/>
    <col min="12296" max="12296" width="10.140625" style="903" customWidth="1"/>
    <col min="12297" max="12527" width="9.140625" style="903"/>
    <col min="12528" max="12528" width="3.7109375" style="903" customWidth="1"/>
    <col min="12529" max="12529" width="14.42578125" style="903" customWidth="1"/>
    <col min="12530" max="12530" width="6.5703125" style="903" customWidth="1"/>
    <col min="12531" max="12531" width="23.85546875" style="903" customWidth="1"/>
    <col min="12532" max="12532" width="6.28515625" style="903" customWidth="1"/>
    <col min="12533" max="12545" width="5.42578125" style="903" customWidth="1"/>
    <col min="12546" max="12546" width="6.42578125" style="903" customWidth="1"/>
    <col min="12547" max="12547" width="6.28515625" style="903" customWidth="1"/>
    <col min="12548" max="12548" width="12.85546875" style="903" bestFit="1" customWidth="1"/>
    <col min="12549" max="12549" width="13.42578125" style="903" bestFit="1" customWidth="1"/>
    <col min="12550" max="12550" width="6.7109375" style="903" customWidth="1"/>
    <col min="12551" max="12551" width="10.5703125" style="903" customWidth="1"/>
    <col min="12552" max="12552" width="10.140625" style="903" customWidth="1"/>
    <col min="12553" max="12783" width="9.140625" style="903"/>
    <col min="12784" max="12784" width="3.7109375" style="903" customWidth="1"/>
    <col min="12785" max="12785" width="14.42578125" style="903" customWidth="1"/>
    <col min="12786" max="12786" width="6.5703125" style="903" customWidth="1"/>
    <col min="12787" max="12787" width="23.85546875" style="903" customWidth="1"/>
    <col min="12788" max="12788" width="6.28515625" style="903" customWidth="1"/>
    <col min="12789" max="12801" width="5.42578125" style="903" customWidth="1"/>
    <col min="12802" max="12802" width="6.42578125" style="903" customWidth="1"/>
    <col min="12803" max="12803" width="6.28515625" style="903" customWidth="1"/>
    <col min="12804" max="12804" width="12.85546875" style="903" bestFit="1" customWidth="1"/>
    <col min="12805" max="12805" width="13.42578125" style="903" bestFit="1" customWidth="1"/>
    <col min="12806" max="12806" width="6.7109375" style="903" customWidth="1"/>
    <col min="12807" max="12807" width="10.5703125" style="903" customWidth="1"/>
    <col min="12808" max="12808" width="10.140625" style="903" customWidth="1"/>
    <col min="12809" max="13039" width="9.140625" style="903"/>
    <col min="13040" max="13040" width="3.7109375" style="903" customWidth="1"/>
    <col min="13041" max="13041" width="14.42578125" style="903" customWidth="1"/>
    <col min="13042" max="13042" width="6.5703125" style="903" customWidth="1"/>
    <col min="13043" max="13043" width="23.85546875" style="903" customWidth="1"/>
    <col min="13044" max="13044" width="6.28515625" style="903" customWidth="1"/>
    <col min="13045" max="13057" width="5.42578125" style="903" customWidth="1"/>
    <col min="13058" max="13058" width="6.42578125" style="903" customWidth="1"/>
    <col min="13059" max="13059" width="6.28515625" style="903" customWidth="1"/>
    <col min="13060" max="13060" width="12.85546875" style="903" bestFit="1" customWidth="1"/>
    <col min="13061" max="13061" width="13.42578125" style="903" bestFit="1" customWidth="1"/>
    <col min="13062" max="13062" width="6.7109375" style="903" customWidth="1"/>
    <col min="13063" max="13063" width="10.5703125" style="903" customWidth="1"/>
    <col min="13064" max="13064" width="10.140625" style="903" customWidth="1"/>
    <col min="13065" max="13295" width="9.140625" style="903"/>
    <col min="13296" max="13296" width="3.7109375" style="903" customWidth="1"/>
    <col min="13297" max="13297" width="14.42578125" style="903" customWidth="1"/>
    <col min="13298" max="13298" width="6.5703125" style="903" customWidth="1"/>
    <col min="13299" max="13299" width="23.85546875" style="903" customWidth="1"/>
    <col min="13300" max="13300" width="6.28515625" style="903" customWidth="1"/>
    <col min="13301" max="13313" width="5.42578125" style="903" customWidth="1"/>
    <col min="13314" max="13314" width="6.42578125" style="903" customWidth="1"/>
    <col min="13315" max="13315" width="6.28515625" style="903" customWidth="1"/>
    <col min="13316" max="13316" width="12.85546875" style="903" bestFit="1" customWidth="1"/>
    <col min="13317" max="13317" width="13.42578125" style="903" bestFit="1" customWidth="1"/>
    <col min="13318" max="13318" width="6.7109375" style="903" customWidth="1"/>
    <col min="13319" max="13319" width="10.5703125" style="903" customWidth="1"/>
    <col min="13320" max="13320" width="10.140625" style="903" customWidth="1"/>
    <col min="13321" max="13551" width="9.140625" style="903"/>
    <col min="13552" max="13552" width="3.7109375" style="903" customWidth="1"/>
    <col min="13553" max="13553" width="14.42578125" style="903" customWidth="1"/>
    <col min="13554" max="13554" width="6.5703125" style="903" customWidth="1"/>
    <col min="13555" max="13555" width="23.85546875" style="903" customWidth="1"/>
    <col min="13556" max="13556" width="6.28515625" style="903" customWidth="1"/>
    <col min="13557" max="13569" width="5.42578125" style="903" customWidth="1"/>
    <col min="13570" max="13570" width="6.42578125" style="903" customWidth="1"/>
    <col min="13571" max="13571" width="6.28515625" style="903" customWidth="1"/>
    <col min="13572" max="13572" width="12.85546875" style="903" bestFit="1" customWidth="1"/>
    <col min="13573" max="13573" width="13.42578125" style="903" bestFit="1" customWidth="1"/>
    <col min="13574" max="13574" width="6.7109375" style="903" customWidth="1"/>
    <col min="13575" max="13575" width="10.5703125" style="903" customWidth="1"/>
    <col min="13576" max="13576" width="10.140625" style="903" customWidth="1"/>
    <col min="13577" max="13807" width="9.140625" style="903"/>
    <col min="13808" max="13808" width="3.7109375" style="903" customWidth="1"/>
    <col min="13809" max="13809" width="14.42578125" style="903" customWidth="1"/>
    <col min="13810" max="13810" width="6.5703125" style="903" customWidth="1"/>
    <col min="13811" max="13811" width="23.85546875" style="903" customWidth="1"/>
    <col min="13812" max="13812" width="6.28515625" style="903" customWidth="1"/>
    <col min="13813" max="13825" width="5.42578125" style="903" customWidth="1"/>
    <col min="13826" max="13826" width="6.42578125" style="903" customWidth="1"/>
    <col min="13827" max="13827" width="6.28515625" style="903" customWidth="1"/>
    <col min="13828" max="13828" width="12.85546875" style="903" bestFit="1" customWidth="1"/>
    <col min="13829" max="13829" width="13.42578125" style="903" bestFit="1" customWidth="1"/>
    <col min="13830" max="13830" width="6.7109375" style="903" customWidth="1"/>
    <col min="13831" max="13831" width="10.5703125" style="903" customWidth="1"/>
    <col min="13832" max="13832" width="10.140625" style="903" customWidth="1"/>
    <col min="13833" max="14063" width="9.140625" style="903"/>
    <col min="14064" max="14064" width="3.7109375" style="903" customWidth="1"/>
    <col min="14065" max="14065" width="14.42578125" style="903" customWidth="1"/>
    <col min="14066" max="14066" width="6.5703125" style="903" customWidth="1"/>
    <col min="14067" max="14067" width="23.85546875" style="903" customWidth="1"/>
    <col min="14068" max="14068" width="6.28515625" style="903" customWidth="1"/>
    <col min="14069" max="14081" width="5.42578125" style="903" customWidth="1"/>
    <col min="14082" max="14082" width="6.42578125" style="903" customWidth="1"/>
    <col min="14083" max="14083" width="6.28515625" style="903" customWidth="1"/>
    <col min="14084" max="14084" width="12.85546875" style="903" bestFit="1" customWidth="1"/>
    <col min="14085" max="14085" width="13.42578125" style="903" bestFit="1" customWidth="1"/>
    <col min="14086" max="14086" width="6.7109375" style="903" customWidth="1"/>
    <col min="14087" max="14087" width="10.5703125" style="903" customWidth="1"/>
    <col min="14088" max="14088" width="10.140625" style="903" customWidth="1"/>
    <col min="14089" max="14319" width="9.140625" style="903"/>
    <col min="14320" max="14320" width="3.7109375" style="903" customWidth="1"/>
    <col min="14321" max="14321" width="14.42578125" style="903" customWidth="1"/>
    <col min="14322" max="14322" width="6.5703125" style="903" customWidth="1"/>
    <col min="14323" max="14323" width="23.85546875" style="903" customWidth="1"/>
    <col min="14324" max="14324" width="6.28515625" style="903" customWidth="1"/>
    <col min="14325" max="14337" width="5.42578125" style="903" customWidth="1"/>
    <col min="14338" max="14338" width="6.42578125" style="903" customWidth="1"/>
    <col min="14339" max="14339" width="6.28515625" style="903" customWidth="1"/>
    <col min="14340" max="14340" width="12.85546875" style="903" bestFit="1" customWidth="1"/>
    <col min="14341" max="14341" width="13.42578125" style="903" bestFit="1" customWidth="1"/>
    <col min="14342" max="14342" width="6.7109375" style="903" customWidth="1"/>
    <col min="14343" max="14343" width="10.5703125" style="903" customWidth="1"/>
    <col min="14344" max="14344" width="10.140625" style="903" customWidth="1"/>
    <col min="14345" max="14575" width="9.140625" style="903"/>
    <col min="14576" max="14576" width="3.7109375" style="903" customWidth="1"/>
    <col min="14577" max="14577" width="14.42578125" style="903" customWidth="1"/>
    <col min="14578" max="14578" width="6.5703125" style="903" customWidth="1"/>
    <col min="14579" max="14579" width="23.85546875" style="903" customWidth="1"/>
    <col min="14580" max="14580" width="6.28515625" style="903" customWidth="1"/>
    <col min="14581" max="14593" width="5.42578125" style="903" customWidth="1"/>
    <col min="14594" max="14594" width="6.42578125" style="903" customWidth="1"/>
    <col min="14595" max="14595" width="6.28515625" style="903" customWidth="1"/>
    <col min="14596" max="14596" width="12.85546875" style="903" bestFit="1" customWidth="1"/>
    <col min="14597" max="14597" width="13.42578125" style="903" bestFit="1" customWidth="1"/>
    <col min="14598" max="14598" width="6.7109375" style="903" customWidth="1"/>
    <col min="14599" max="14599" width="10.5703125" style="903" customWidth="1"/>
    <col min="14600" max="14600" width="10.140625" style="903" customWidth="1"/>
    <col min="14601" max="14831" width="9.140625" style="903"/>
    <col min="14832" max="14832" width="3.7109375" style="903" customWidth="1"/>
    <col min="14833" max="14833" width="14.42578125" style="903" customWidth="1"/>
    <col min="14834" max="14834" width="6.5703125" style="903" customWidth="1"/>
    <col min="14835" max="14835" width="23.85546875" style="903" customWidth="1"/>
    <col min="14836" max="14836" width="6.28515625" style="903" customWidth="1"/>
    <col min="14837" max="14849" width="5.42578125" style="903" customWidth="1"/>
    <col min="14850" max="14850" width="6.42578125" style="903" customWidth="1"/>
    <col min="14851" max="14851" width="6.28515625" style="903" customWidth="1"/>
    <col min="14852" max="14852" width="12.85546875" style="903" bestFit="1" customWidth="1"/>
    <col min="14853" max="14853" width="13.42578125" style="903" bestFit="1" customWidth="1"/>
    <col min="14854" max="14854" width="6.7109375" style="903" customWidth="1"/>
    <col min="14855" max="14855" width="10.5703125" style="903" customWidth="1"/>
    <col min="14856" max="14856" width="10.140625" style="903" customWidth="1"/>
    <col min="14857" max="15087" width="9.140625" style="903"/>
    <col min="15088" max="15088" width="3.7109375" style="903" customWidth="1"/>
    <col min="15089" max="15089" width="14.42578125" style="903" customWidth="1"/>
    <col min="15090" max="15090" width="6.5703125" style="903" customWidth="1"/>
    <col min="15091" max="15091" width="23.85546875" style="903" customWidth="1"/>
    <col min="15092" max="15092" width="6.28515625" style="903" customWidth="1"/>
    <col min="15093" max="15105" width="5.42578125" style="903" customWidth="1"/>
    <col min="15106" max="15106" width="6.42578125" style="903" customWidth="1"/>
    <col min="15107" max="15107" width="6.28515625" style="903" customWidth="1"/>
    <col min="15108" max="15108" width="12.85546875" style="903" bestFit="1" customWidth="1"/>
    <col min="15109" max="15109" width="13.42578125" style="903" bestFit="1" customWidth="1"/>
    <col min="15110" max="15110" width="6.7109375" style="903" customWidth="1"/>
    <col min="15111" max="15111" width="10.5703125" style="903" customWidth="1"/>
    <col min="15112" max="15112" width="10.140625" style="903" customWidth="1"/>
    <col min="15113" max="15343" width="9.140625" style="903"/>
    <col min="15344" max="15344" width="3.7109375" style="903" customWidth="1"/>
    <col min="15345" max="15345" width="14.42578125" style="903" customWidth="1"/>
    <col min="15346" max="15346" width="6.5703125" style="903" customWidth="1"/>
    <col min="15347" max="15347" width="23.85546875" style="903" customWidth="1"/>
    <col min="15348" max="15348" width="6.28515625" style="903" customWidth="1"/>
    <col min="15349" max="15361" width="5.42578125" style="903" customWidth="1"/>
    <col min="15362" max="15362" width="6.42578125" style="903" customWidth="1"/>
    <col min="15363" max="15363" width="6.28515625" style="903" customWidth="1"/>
    <col min="15364" max="15364" width="12.85546875" style="903" bestFit="1" customWidth="1"/>
    <col min="15365" max="15365" width="13.42578125" style="903" bestFit="1" customWidth="1"/>
    <col min="15366" max="15366" width="6.7109375" style="903" customWidth="1"/>
    <col min="15367" max="15367" width="10.5703125" style="903" customWidth="1"/>
    <col min="15368" max="15368" width="10.140625" style="903" customWidth="1"/>
    <col min="15369" max="15599" width="9.140625" style="903"/>
    <col min="15600" max="15600" width="3.7109375" style="903" customWidth="1"/>
    <col min="15601" max="15601" width="14.42578125" style="903" customWidth="1"/>
    <col min="15602" max="15602" width="6.5703125" style="903" customWidth="1"/>
    <col min="15603" max="15603" width="23.85546875" style="903" customWidth="1"/>
    <col min="15604" max="15604" width="6.28515625" style="903" customWidth="1"/>
    <col min="15605" max="15617" width="5.42578125" style="903" customWidth="1"/>
    <col min="15618" max="15618" width="6.42578125" style="903" customWidth="1"/>
    <col min="15619" max="15619" width="6.28515625" style="903" customWidth="1"/>
    <col min="15620" max="15620" width="12.85546875" style="903" bestFit="1" customWidth="1"/>
    <col min="15621" max="15621" width="13.42578125" style="903" bestFit="1" customWidth="1"/>
    <col min="15622" max="15622" width="6.7109375" style="903" customWidth="1"/>
    <col min="15623" max="15623" width="10.5703125" style="903" customWidth="1"/>
    <col min="15624" max="15624" width="10.140625" style="903" customWidth="1"/>
    <col min="15625" max="15855" width="9.140625" style="903"/>
    <col min="15856" max="15856" width="3.7109375" style="903" customWidth="1"/>
    <col min="15857" max="15857" width="14.42578125" style="903" customWidth="1"/>
    <col min="15858" max="15858" width="6.5703125" style="903" customWidth="1"/>
    <col min="15859" max="15859" width="23.85546875" style="903" customWidth="1"/>
    <col min="15860" max="15860" width="6.28515625" style="903" customWidth="1"/>
    <col min="15861" max="15873" width="5.42578125" style="903" customWidth="1"/>
    <col min="15874" max="15874" width="6.42578125" style="903" customWidth="1"/>
    <col min="15875" max="15875" width="6.28515625" style="903" customWidth="1"/>
    <col min="15876" max="15876" width="12.85546875" style="903" bestFit="1" customWidth="1"/>
    <col min="15877" max="15877" width="13.42578125" style="903" bestFit="1" customWidth="1"/>
    <col min="15878" max="15878" width="6.7109375" style="903" customWidth="1"/>
    <col min="15879" max="15879" width="10.5703125" style="903" customWidth="1"/>
    <col min="15880" max="15880" width="10.140625" style="903" customWidth="1"/>
    <col min="15881" max="16111" width="9.140625" style="903"/>
    <col min="16112" max="16112" width="3.7109375" style="903" customWidth="1"/>
    <col min="16113" max="16113" width="14.42578125" style="903" customWidth="1"/>
    <col min="16114" max="16114" width="6.5703125" style="903" customWidth="1"/>
    <col min="16115" max="16115" width="23.85546875" style="903" customWidth="1"/>
    <col min="16116" max="16116" width="6.28515625" style="903" customWidth="1"/>
    <col min="16117" max="16129" width="5.42578125" style="903" customWidth="1"/>
    <col min="16130" max="16130" width="6.42578125" style="903" customWidth="1"/>
    <col min="16131" max="16131" width="6.28515625" style="903" customWidth="1"/>
    <col min="16132" max="16132" width="12.85546875" style="903" bestFit="1" customWidth="1"/>
    <col min="16133" max="16133" width="13.42578125" style="903" bestFit="1" customWidth="1"/>
    <col min="16134" max="16134" width="6.7109375" style="903" customWidth="1"/>
    <col min="16135" max="16135" width="10.5703125" style="903" customWidth="1"/>
    <col min="16136" max="16136" width="10.140625" style="903" customWidth="1"/>
    <col min="16137" max="16384" width="9.140625" style="903"/>
  </cols>
  <sheetData>
    <row r="1" spans="1:16" x14ac:dyDescent="0.25">
      <c r="A1" s="902"/>
      <c r="B1" s="1391"/>
      <c r="C1" s="1391"/>
      <c r="E1" s="1736"/>
      <c r="F1" s="1736"/>
      <c r="G1" s="1736"/>
      <c r="H1" s="1736"/>
      <c r="I1" s="1736"/>
      <c r="J1" s="1736"/>
      <c r="K1" s="1736"/>
      <c r="L1" s="1736"/>
    </row>
    <row r="2" spans="1:16" ht="12.75" customHeight="1" x14ac:dyDescent="0.25">
      <c r="A2" s="902">
        <v>1</v>
      </c>
      <c r="B2" s="902" t="s">
        <v>0</v>
      </c>
      <c r="C2" s="902">
        <v>23</v>
      </c>
      <c r="D2" s="4072" t="s">
        <v>717</v>
      </c>
      <c r="E2" s="4073"/>
      <c r="F2" s="4073"/>
      <c r="G2" s="4073"/>
      <c r="H2" s="4073"/>
      <c r="I2" s="4073"/>
      <c r="J2" s="4073"/>
      <c r="K2" s="4073"/>
      <c r="L2" s="4073"/>
      <c r="M2" s="4073"/>
      <c r="N2" s="4073"/>
      <c r="O2" s="4073"/>
      <c r="P2" s="4074"/>
    </row>
    <row r="3" spans="1:16" ht="12.75" customHeight="1" x14ac:dyDescent="0.25">
      <c r="A3" s="902">
        <v>2</v>
      </c>
      <c r="B3" s="902" t="s">
        <v>2</v>
      </c>
      <c r="C3" s="902"/>
      <c r="D3" s="4048" t="s">
        <v>647</v>
      </c>
      <c r="E3" s="4049"/>
      <c r="F3" s="4049"/>
      <c r="G3" s="4049"/>
      <c r="H3" s="4049"/>
      <c r="I3" s="4049"/>
      <c r="J3" s="4049"/>
      <c r="K3" s="4049"/>
      <c r="L3" s="4049"/>
      <c r="M3" s="4049"/>
      <c r="N3" s="4049"/>
      <c r="O3" s="4049"/>
      <c r="P3" s="4050"/>
    </row>
    <row r="4" spans="1:16" ht="12.75" customHeight="1" x14ac:dyDescent="0.25">
      <c r="A4" s="902">
        <v>3</v>
      </c>
      <c r="B4" s="902" t="s">
        <v>4</v>
      </c>
      <c r="C4" s="902"/>
      <c r="D4" s="4048" t="s">
        <v>718</v>
      </c>
      <c r="E4" s="4049"/>
      <c r="F4" s="4049"/>
      <c r="G4" s="4049"/>
      <c r="H4" s="4049"/>
      <c r="I4" s="4049"/>
      <c r="J4" s="4049"/>
      <c r="K4" s="4049"/>
      <c r="L4" s="4049"/>
      <c r="M4" s="4049"/>
      <c r="N4" s="4049"/>
      <c r="O4" s="4049"/>
      <c r="P4" s="4050"/>
    </row>
    <row r="5" spans="1:16" ht="12.75" customHeight="1" x14ac:dyDescent="0.25">
      <c r="A5" s="902"/>
      <c r="B5" s="902"/>
      <c r="C5" s="902"/>
      <c r="D5" s="142"/>
      <c r="E5" s="142"/>
      <c r="F5" s="142"/>
      <c r="G5" s="142"/>
      <c r="H5" s="142"/>
      <c r="I5" s="142"/>
      <c r="J5" s="142"/>
      <c r="K5" s="142"/>
      <c r="L5" s="142"/>
    </row>
    <row r="6" spans="1:16" ht="15" customHeight="1" x14ac:dyDescent="0.25">
      <c r="A6" s="902">
        <v>4</v>
      </c>
      <c r="B6" s="902" t="s">
        <v>5</v>
      </c>
      <c r="C6" s="902"/>
    </row>
    <row r="7" spans="1:16" s="1692" customFormat="1" ht="17.45" customHeight="1" x14ac:dyDescent="0.2">
      <c r="A7" s="1165"/>
      <c r="B7" s="1166"/>
      <c r="C7" s="1166"/>
      <c r="D7" s="189" t="s">
        <v>40</v>
      </c>
      <c r="E7" s="1738" t="s">
        <v>719</v>
      </c>
      <c r="F7" s="1739"/>
      <c r="G7" s="1738"/>
      <c r="H7" s="1739"/>
      <c r="K7" s="1187" t="s">
        <v>67</v>
      </c>
      <c r="L7" s="1738" t="s">
        <v>720</v>
      </c>
      <c r="M7" s="1739"/>
      <c r="N7" s="1738"/>
    </row>
    <row r="8" spans="1:16" s="1692" customFormat="1" ht="16.899999999999999" customHeight="1" x14ac:dyDescent="0.25">
      <c r="A8" s="1165"/>
      <c r="B8" s="1166"/>
      <c r="C8" s="1166"/>
      <c r="D8" s="1740" t="s">
        <v>693</v>
      </c>
      <c r="E8" s="1741">
        <v>2006</v>
      </c>
      <c r="F8" s="1741">
        <v>2009</v>
      </c>
      <c r="G8" s="1741">
        <v>2011</v>
      </c>
      <c r="H8" s="1742">
        <v>2015</v>
      </c>
      <c r="K8" s="1740" t="s">
        <v>693</v>
      </c>
      <c r="L8" s="1741">
        <v>2006</v>
      </c>
      <c r="M8" s="1741">
        <v>2009</v>
      </c>
      <c r="N8" s="1741">
        <v>2011</v>
      </c>
      <c r="O8" s="1742">
        <v>2015</v>
      </c>
      <c r="P8" s="1743"/>
    </row>
    <row r="9" spans="1:16" s="1692" customFormat="1" ht="16.899999999999999" customHeight="1" x14ac:dyDescent="0.25">
      <c r="A9" s="1165"/>
      <c r="B9" s="1166"/>
      <c r="C9" s="1166"/>
      <c r="D9" s="1744" t="s">
        <v>19</v>
      </c>
      <c r="E9" s="1745">
        <v>43.9</v>
      </c>
      <c r="F9" s="1745">
        <v>44.9</v>
      </c>
      <c r="G9" s="1745">
        <v>35.5</v>
      </c>
      <c r="H9" s="1746">
        <v>41.3</v>
      </c>
      <c r="K9" s="1744" t="s">
        <v>19</v>
      </c>
      <c r="L9" s="1745">
        <v>28.4</v>
      </c>
      <c r="M9" s="1745">
        <v>29.6</v>
      </c>
      <c r="N9" s="1745">
        <v>21.6</v>
      </c>
      <c r="O9" s="1746">
        <v>27.1</v>
      </c>
      <c r="P9" s="1747"/>
    </row>
    <row r="10" spans="1:16" s="1692" customFormat="1" ht="16.899999999999999" customHeight="1" x14ac:dyDescent="0.25">
      <c r="A10" s="1165"/>
      <c r="B10" s="1166"/>
      <c r="C10" s="1166"/>
      <c r="D10" s="1744" t="s">
        <v>20</v>
      </c>
      <c r="E10" s="1748">
        <v>31</v>
      </c>
      <c r="F10" s="1748">
        <v>34.9</v>
      </c>
      <c r="G10" s="1748">
        <v>23.4</v>
      </c>
      <c r="H10" s="1749">
        <v>25.1</v>
      </c>
      <c r="K10" s="1744" t="s">
        <v>20</v>
      </c>
      <c r="L10" s="1748">
        <v>18.2</v>
      </c>
      <c r="M10" s="1748">
        <v>21</v>
      </c>
      <c r="N10" s="1748">
        <v>13.4</v>
      </c>
      <c r="O10" s="1749">
        <v>14.2</v>
      </c>
      <c r="P10" s="1747"/>
    </row>
    <row r="11" spans="1:16" s="1692" customFormat="1" ht="16.899999999999999" customHeight="1" x14ac:dyDescent="0.25">
      <c r="A11" s="1165"/>
      <c r="B11" s="1166"/>
      <c r="C11" s="1166"/>
      <c r="D11" s="1744" t="s">
        <v>21</v>
      </c>
      <c r="E11" s="1748">
        <v>18.3</v>
      </c>
      <c r="F11" s="1748">
        <v>16.600000000000001</v>
      </c>
      <c r="G11" s="1748">
        <v>12</v>
      </c>
      <c r="H11" s="1749">
        <v>13.2</v>
      </c>
      <c r="K11" s="1744" t="s">
        <v>21</v>
      </c>
      <c r="L11" s="1748">
        <v>9.6</v>
      </c>
      <c r="M11" s="1748">
        <v>9.1</v>
      </c>
      <c r="N11" s="1748">
        <v>6.4</v>
      </c>
      <c r="O11" s="1749">
        <v>6.9</v>
      </c>
      <c r="P11" s="1747"/>
    </row>
    <row r="12" spans="1:16" s="1692" customFormat="1" ht="16.899999999999999" customHeight="1" x14ac:dyDescent="0.25">
      <c r="A12" s="1165"/>
      <c r="B12" s="1166"/>
      <c r="C12" s="1166"/>
      <c r="D12" s="1744" t="s">
        <v>22</v>
      </c>
      <c r="E12" s="1748">
        <v>45.2</v>
      </c>
      <c r="F12" s="1748">
        <v>41.2</v>
      </c>
      <c r="G12" s="1748">
        <v>33.4</v>
      </c>
      <c r="H12" s="1749">
        <v>36.1</v>
      </c>
      <c r="K12" s="1744" t="s">
        <v>22</v>
      </c>
      <c r="L12" s="1748">
        <v>30.3</v>
      </c>
      <c r="M12" s="1748">
        <v>27.1</v>
      </c>
      <c r="N12" s="1748">
        <v>20.399999999999999</v>
      </c>
      <c r="O12" s="1749">
        <v>22.7</v>
      </c>
      <c r="P12" s="1747"/>
    </row>
    <row r="13" spans="1:16" s="1692" customFormat="1" ht="16.899999999999999" customHeight="1" x14ac:dyDescent="0.25">
      <c r="A13" s="1165"/>
      <c r="B13" s="1166"/>
      <c r="C13" s="1166"/>
      <c r="D13" s="1744" t="s">
        <v>23</v>
      </c>
      <c r="E13" s="1748">
        <v>47.4</v>
      </c>
      <c r="F13" s="1748">
        <v>50.6</v>
      </c>
      <c r="G13" s="1748">
        <v>36.799999999999997</v>
      </c>
      <c r="H13" s="1749">
        <v>40.299999999999997</v>
      </c>
      <c r="K13" s="1744" t="s">
        <v>23</v>
      </c>
      <c r="L13" s="1748">
        <v>31</v>
      </c>
      <c r="M13" s="1748">
        <v>34.700000000000003</v>
      </c>
      <c r="N13" s="1748">
        <v>23</v>
      </c>
      <c r="O13" s="1749">
        <v>26.4</v>
      </c>
      <c r="P13" s="1747"/>
    </row>
    <row r="14" spans="1:16" s="1692" customFormat="1" ht="16.899999999999999" customHeight="1" x14ac:dyDescent="0.25">
      <c r="A14" s="1165"/>
      <c r="B14" s="1166"/>
      <c r="C14" s="1166"/>
      <c r="D14" s="1744" t="s">
        <v>24</v>
      </c>
      <c r="E14" s="1748">
        <v>41.8</v>
      </c>
      <c r="F14" s="1748">
        <v>40.700000000000003</v>
      </c>
      <c r="G14" s="1748">
        <v>31.1</v>
      </c>
      <c r="H14" s="1749">
        <v>29</v>
      </c>
      <c r="K14" s="1744" t="s">
        <v>24</v>
      </c>
      <c r="L14" s="1748">
        <v>26.9</v>
      </c>
      <c r="M14" s="1748">
        <v>26.4</v>
      </c>
      <c r="N14" s="1748">
        <v>18</v>
      </c>
      <c r="O14" s="1749">
        <v>17.3</v>
      </c>
      <c r="P14" s="1747"/>
    </row>
    <row r="15" spans="1:16" s="1692" customFormat="1" ht="16.899999999999999" customHeight="1" x14ac:dyDescent="0.25">
      <c r="A15" s="1165"/>
      <c r="B15" s="1166"/>
      <c r="C15" s="1166"/>
      <c r="D15" s="1744" t="s">
        <v>26</v>
      </c>
      <c r="E15" s="1748">
        <v>40.9</v>
      </c>
      <c r="F15" s="1748">
        <v>36.6</v>
      </c>
      <c r="G15" s="1748">
        <v>26.4</v>
      </c>
      <c r="H15" s="1749">
        <v>28</v>
      </c>
      <c r="K15" s="1744" t="s">
        <v>26</v>
      </c>
      <c r="L15" s="1748">
        <v>26.2</v>
      </c>
      <c r="M15" s="1748">
        <v>22.6</v>
      </c>
      <c r="N15" s="1748">
        <v>14.9</v>
      </c>
      <c r="O15" s="1749">
        <v>16.5</v>
      </c>
      <c r="P15" s="1747"/>
    </row>
    <row r="16" spans="1:16" s="1692" customFormat="1" ht="16.899999999999999" customHeight="1" x14ac:dyDescent="0.25">
      <c r="A16" s="1165"/>
      <c r="B16" s="1166"/>
      <c r="C16" s="1166"/>
      <c r="D16" s="1744" t="s">
        <v>25</v>
      </c>
      <c r="E16" s="1748">
        <v>37.5</v>
      </c>
      <c r="F16" s="1748">
        <v>36</v>
      </c>
      <c r="G16" s="1748">
        <v>29.6</v>
      </c>
      <c r="H16" s="1749">
        <v>32.200000000000003</v>
      </c>
      <c r="K16" s="1744" t="s">
        <v>25</v>
      </c>
      <c r="L16" s="1748">
        <v>23.7</v>
      </c>
      <c r="M16" s="1748">
        <v>22.5</v>
      </c>
      <c r="N16" s="1748">
        <v>17.8</v>
      </c>
      <c r="O16" s="1749">
        <v>19.8</v>
      </c>
      <c r="P16" s="1747"/>
    </row>
    <row r="17" spans="1:16" s="1692" customFormat="1" ht="16.899999999999999" customHeight="1" x14ac:dyDescent="0.25">
      <c r="A17" s="1165"/>
      <c r="B17" s="1166"/>
      <c r="C17" s="1166"/>
      <c r="D17" s="1744" t="s">
        <v>27</v>
      </c>
      <c r="E17" s="1748">
        <v>21.2</v>
      </c>
      <c r="F17" s="1748">
        <v>18.100000000000001</v>
      </c>
      <c r="G17" s="1748">
        <v>12.5</v>
      </c>
      <c r="H17" s="1749">
        <v>14.7</v>
      </c>
      <c r="K17" s="1744" t="s">
        <v>27</v>
      </c>
      <c r="L17" s="1748">
        <v>11.7</v>
      </c>
      <c r="M17" s="1748">
        <v>9.9</v>
      </c>
      <c r="N17" s="1748">
        <v>6.2</v>
      </c>
      <c r="O17" s="1749">
        <v>7.6</v>
      </c>
      <c r="P17" s="1747"/>
    </row>
    <row r="18" spans="1:16" s="52" customFormat="1" ht="16.5" customHeight="1" x14ac:dyDescent="0.25">
      <c r="A18" s="1165"/>
      <c r="B18" s="1166"/>
      <c r="C18" s="1166"/>
      <c r="D18" s="1750" t="s">
        <v>28</v>
      </c>
      <c r="E18" s="1751">
        <v>35.6</v>
      </c>
      <c r="F18" s="1751">
        <v>33.5</v>
      </c>
      <c r="G18" s="1751">
        <v>25.5</v>
      </c>
      <c r="H18" s="1752">
        <v>27.7</v>
      </c>
      <c r="K18" s="1750" t="s">
        <v>721</v>
      </c>
      <c r="L18" s="1751">
        <v>22.5</v>
      </c>
      <c r="M18" s="1751">
        <v>21.3</v>
      </c>
      <c r="N18" s="1751">
        <v>15</v>
      </c>
      <c r="O18" s="1752">
        <v>17</v>
      </c>
      <c r="P18" s="1753"/>
    </row>
    <row r="19" spans="1:16" s="52" customFormat="1" ht="15" customHeight="1" x14ac:dyDescent="0.2">
      <c r="A19" s="1166"/>
      <c r="C19" s="1166"/>
      <c r="D19" s="749"/>
      <c r="E19" s="1754"/>
      <c r="F19" s="1754"/>
      <c r="G19" s="1754"/>
      <c r="H19" s="1755"/>
      <c r="I19" s="1756"/>
      <c r="J19" s="1755"/>
      <c r="K19" s="1755"/>
      <c r="L19" s="1755"/>
      <c r="M19" s="1755"/>
      <c r="N19" s="1755"/>
      <c r="O19" s="1757"/>
      <c r="P19" s="1753"/>
    </row>
    <row r="20" spans="1:16" s="52" customFormat="1" ht="15" customHeight="1" x14ac:dyDescent="0.2">
      <c r="A20" s="902">
        <v>5</v>
      </c>
      <c r="B20" s="902" t="s">
        <v>90</v>
      </c>
      <c r="C20" s="1166"/>
      <c r="D20" s="749"/>
      <c r="E20" s="1754"/>
      <c r="F20" s="1754"/>
      <c r="G20" s="1754"/>
      <c r="H20" s="1755"/>
      <c r="I20" s="1755"/>
      <c r="J20" s="1755"/>
      <c r="K20" s="1755"/>
      <c r="L20" s="1755"/>
      <c r="M20" s="1755"/>
      <c r="N20" s="1755"/>
      <c r="O20" s="1757"/>
      <c r="P20" s="1753"/>
    </row>
    <row r="21" spans="1:16" s="52" customFormat="1" ht="15" customHeight="1" x14ac:dyDescent="0.2">
      <c r="A21" s="1166"/>
      <c r="C21" s="1166"/>
      <c r="D21" s="749"/>
      <c r="E21" s="1754"/>
      <c r="F21" s="1754"/>
      <c r="G21" s="1754"/>
      <c r="H21" s="1755"/>
      <c r="I21" s="1755"/>
      <c r="J21" s="1755"/>
      <c r="K21" s="1755"/>
      <c r="L21" s="1755"/>
      <c r="M21" s="1755"/>
      <c r="N21" s="1755"/>
      <c r="O21" s="1757"/>
      <c r="P21" s="1753"/>
    </row>
    <row r="22" spans="1:16" s="52" customFormat="1" ht="15" customHeight="1" x14ac:dyDescent="0.2">
      <c r="A22" s="1166"/>
      <c r="C22" s="1166"/>
      <c r="D22" s="749"/>
      <c r="E22" s="1754"/>
      <c r="F22" s="1754"/>
      <c r="G22" s="1754"/>
      <c r="H22" s="1755"/>
      <c r="I22" s="1755"/>
      <c r="J22" s="1755"/>
      <c r="K22" s="1755"/>
      <c r="L22" s="1755"/>
      <c r="M22" s="1755"/>
      <c r="N22" s="1755"/>
      <c r="O22" s="1757"/>
      <c r="P22" s="1753"/>
    </row>
    <row r="23" spans="1:16" s="52" customFormat="1" ht="15" customHeight="1" x14ac:dyDescent="0.2">
      <c r="A23" s="1166"/>
      <c r="C23" s="1166"/>
      <c r="D23" s="749"/>
      <c r="E23" s="1754"/>
      <c r="F23" s="1754"/>
      <c r="G23" s="1754"/>
      <c r="H23" s="1755"/>
      <c r="I23" s="1755"/>
      <c r="J23" s="1755"/>
      <c r="K23" s="1755"/>
      <c r="L23" s="1755"/>
      <c r="M23" s="1755"/>
      <c r="N23" s="1755"/>
      <c r="O23" s="1757"/>
      <c r="P23" s="1753"/>
    </row>
    <row r="24" spans="1:16" s="52" customFormat="1" ht="15" customHeight="1" x14ac:dyDescent="0.2">
      <c r="A24" s="1166"/>
      <c r="C24" s="1166"/>
      <c r="D24" s="749"/>
      <c r="E24" s="1754"/>
      <c r="F24" s="1754"/>
      <c r="G24" s="1754"/>
      <c r="H24" s="1755"/>
      <c r="I24" s="1755"/>
      <c r="J24" s="1755"/>
      <c r="K24" s="1755"/>
      <c r="L24" s="1755"/>
      <c r="M24" s="1755"/>
      <c r="N24" s="1755"/>
      <c r="O24" s="1757"/>
      <c r="P24" s="1753"/>
    </row>
    <row r="25" spans="1:16" s="52" customFormat="1" ht="15" customHeight="1" x14ac:dyDescent="0.2">
      <c r="A25" s="1166"/>
      <c r="C25" s="1166"/>
      <c r="D25" s="749"/>
      <c r="E25" s="1754"/>
      <c r="F25" s="1754"/>
      <c r="G25" s="1754"/>
      <c r="H25" s="1755"/>
      <c r="I25" s="1755"/>
      <c r="J25" s="1755"/>
      <c r="K25" s="1755"/>
      <c r="L25" s="1755"/>
      <c r="M25" s="1755"/>
      <c r="N25" s="1755"/>
      <c r="O25" s="1757"/>
      <c r="P25" s="1753"/>
    </row>
    <row r="26" spans="1:16" s="52" customFormat="1" ht="15" customHeight="1" x14ac:dyDescent="0.2">
      <c r="A26" s="1166"/>
      <c r="C26" s="1166"/>
      <c r="D26" s="749"/>
      <c r="E26" s="1754"/>
      <c r="F26" s="1754"/>
      <c r="G26" s="1754"/>
      <c r="H26" s="1755"/>
      <c r="I26" s="1755"/>
      <c r="J26" s="1755"/>
      <c r="K26" s="1755"/>
      <c r="L26" s="1755"/>
      <c r="M26" s="1755"/>
      <c r="N26" s="1755"/>
      <c r="O26" s="1757"/>
      <c r="P26" s="1753"/>
    </row>
    <row r="27" spans="1:16" s="52" customFormat="1" ht="15" customHeight="1" x14ac:dyDescent="0.2">
      <c r="A27" s="1166"/>
      <c r="C27" s="1166"/>
      <c r="D27" s="749"/>
      <c r="E27" s="1754"/>
      <c r="F27" s="1754"/>
      <c r="G27" s="1754"/>
      <c r="H27" s="1755"/>
      <c r="I27" s="1755"/>
      <c r="J27" s="1755"/>
      <c r="K27" s="1755"/>
      <c r="L27" s="1755"/>
      <c r="M27" s="1755"/>
      <c r="N27" s="1755"/>
      <c r="O27" s="1757"/>
      <c r="P27" s="1753"/>
    </row>
    <row r="28" spans="1:16" s="52" customFormat="1" ht="15" customHeight="1" x14ac:dyDescent="0.2">
      <c r="A28" s="1166"/>
      <c r="C28" s="1166"/>
      <c r="D28" s="749"/>
      <c r="E28" s="1754"/>
      <c r="F28" s="1754"/>
      <c r="G28" s="1754"/>
      <c r="H28" s="1755"/>
      <c r="I28" s="1755"/>
      <c r="J28" s="1755"/>
      <c r="K28" s="1755"/>
      <c r="L28" s="1755"/>
      <c r="M28" s="1755"/>
      <c r="N28" s="1755"/>
      <c r="O28" s="1757"/>
      <c r="P28" s="1753"/>
    </row>
    <row r="29" spans="1:16" s="52" customFormat="1" ht="15" customHeight="1" x14ac:dyDescent="0.2">
      <c r="A29" s="1166"/>
      <c r="C29" s="1166"/>
      <c r="D29" s="749"/>
      <c r="E29" s="1754"/>
      <c r="F29" s="1754"/>
      <c r="G29" s="1754"/>
      <c r="H29" s="1755"/>
      <c r="I29" s="1755"/>
      <c r="J29" s="1755"/>
      <c r="K29" s="1755"/>
      <c r="L29" s="1755"/>
      <c r="M29" s="1755"/>
      <c r="N29" s="1755"/>
      <c r="O29" s="1757"/>
      <c r="P29" s="1753"/>
    </row>
    <row r="30" spans="1:16" s="52" customFormat="1" ht="15" customHeight="1" x14ac:dyDescent="0.2">
      <c r="A30" s="1166"/>
      <c r="C30" s="1166"/>
      <c r="D30" s="749"/>
      <c r="E30" s="1754"/>
      <c r="F30" s="1754"/>
      <c r="G30" s="1754"/>
      <c r="H30" s="1755"/>
      <c r="I30" s="1755"/>
      <c r="J30" s="1755"/>
      <c r="K30" s="1755"/>
      <c r="L30" s="1755"/>
      <c r="M30" s="1755"/>
      <c r="N30" s="1755"/>
      <c r="O30" s="1757"/>
      <c r="P30" s="1753"/>
    </row>
    <row r="31" spans="1:16" s="52" customFormat="1" ht="15" customHeight="1" x14ac:dyDescent="0.2">
      <c r="A31" s="1166"/>
      <c r="C31" s="1166"/>
      <c r="D31" s="749"/>
      <c r="E31" s="1754"/>
      <c r="F31" s="1754"/>
      <c r="G31" s="1754"/>
      <c r="H31" s="1755"/>
      <c r="I31" s="1755"/>
      <c r="J31" s="1755"/>
      <c r="K31" s="1755"/>
      <c r="L31" s="1755"/>
      <c r="M31" s="1755"/>
      <c r="N31" s="1755"/>
      <c r="O31" s="1757"/>
      <c r="P31" s="1753"/>
    </row>
    <row r="32" spans="1:16" s="52" customFormat="1" ht="15" customHeight="1" x14ac:dyDescent="0.2">
      <c r="A32" s="1166"/>
      <c r="C32" s="1166"/>
      <c r="D32" s="749"/>
      <c r="E32" s="1754"/>
      <c r="F32" s="1754"/>
      <c r="G32" s="1754"/>
      <c r="H32" s="1755"/>
      <c r="I32" s="1755"/>
      <c r="J32" s="1755"/>
      <c r="K32" s="1755"/>
      <c r="L32" s="1755"/>
      <c r="M32" s="1755"/>
      <c r="N32" s="1755"/>
      <c r="O32" s="1757"/>
      <c r="P32" s="1753"/>
    </row>
    <row r="33" spans="1:16" s="52" customFormat="1" ht="15" customHeight="1" x14ac:dyDescent="0.2">
      <c r="A33" s="1166"/>
      <c r="C33" s="1166"/>
      <c r="D33" s="749"/>
      <c r="E33" s="1754"/>
      <c r="F33" s="1754"/>
      <c r="G33" s="1754"/>
      <c r="H33" s="1755"/>
      <c r="I33" s="1755"/>
      <c r="J33" s="1755"/>
      <c r="K33" s="1755"/>
      <c r="L33" s="1755"/>
      <c r="M33" s="1755"/>
      <c r="N33" s="1755"/>
      <c r="O33" s="1757"/>
      <c r="P33" s="1753"/>
    </row>
    <row r="34" spans="1:16" s="52" customFormat="1" ht="15" customHeight="1" x14ac:dyDescent="0.2">
      <c r="A34" s="1166"/>
      <c r="C34" s="1166"/>
      <c r="D34" s="749"/>
      <c r="E34" s="1754"/>
      <c r="F34" s="1754"/>
      <c r="G34" s="1754"/>
      <c r="H34" s="1755"/>
      <c r="I34" s="1755"/>
      <c r="J34" s="1755"/>
      <c r="K34" s="1755"/>
      <c r="L34" s="1755"/>
      <c r="M34" s="1755"/>
      <c r="N34" s="1755"/>
      <c r="O34" s="1757"/>
      <c r="P34" s="1753"/>
    </row>
    <row r="35" spans="1:16" s="52" customFormat="1" ht="15" customHeight="1" x14ac:dyDescent="0.2">
      <c r="A35" s="1166"/>
      <c r="C35" s="1166"/>
      <c r="E35" s="1758"/>
      <c r="F35" s="1758"/>
      <c r="G35" s="1758"/>
      <c r="H35" s="1758"/>
      <c r="I35" s="1758"/>
      <c r="J35" s="1758"/>
      <c r="K35" s="1759"/>
      <c r="L35" s="1759"/>
      <c r="M35" s="1759"/>
      <c r="N35" s="1759"/>
      <c r="O35" s="1760"/>
      <c r="P35" s="1761"/>
    </row>
    <row r="36" spans="1:16" ht="15.75" customHeight="1" x14ac:dyDescent="0.25">
      <c r="A36" s="902">
        <v>6</v>
      </c>
      <c r="B36" s="902" t="s">
        <v>29</v>
      </c>
      <c r="C36" s="1441"/>
      <c r="D36" s="4097" t="s">
        <v>722</v>
      </c>
      <c r="E36" s="4098"/>
      <c r="F36" s="4098"/>
      <c r="G36" s="4098"/>
      <c r="H36" s="4098"/>
      <c r="I36" s="4098"/>
      <c r="J36" s="4098"/>
      <c r="K36" s="4098"/>
      <c r="L36" s="4098"/>
      <c r="M36" s="4098"/>
      <c r="N36" s="4098"/>
      <c r="O36" s="4098"/>
      <c r="P36" s="4099"/>
    </row>
    <row r="37" spans="1:16" ht="66" customHeight="1" x14ac:dyDescent="0.25">
      <c r="A37" s="1441">
        <v>7</v>
      </c>
      <c r="B37" s="1441" t="s">
        <v>32</v>
      </c>
      <c r="C37" s="902"/>
      <c r="D37" s="4097" t="s">
        <v>723</v>
      </c>
      <c r="E37" s="4098"/>
      <c r="F37" s="4098"/>
      <c r="G37" s="4098"/>
      <c r="H37" s="4098"/>
      <c r="I37" s="4098"/>
      <c r="J37" s="4098"/>
      <c r="K37" s="4098"/>
      <c r="L37" s="4098"/>
      <c r="M37" s="4098"/>
      <c r="N37" s="4098"/>
      <c r="O37" s="4098"/>
      <c r="P37" s="4099"/>
    </row>
    <row r="38" spans="1:16" ht="31.9" customHeight="1" x14ac:dyDescent="0.25">
      <c r="A38" s="902">
        <v>8</v>
      </c>
      <c r="B38" s="902" t="s">
        <v>31</v>
      </c>
      <c r="C38" s="1568"/>
      <c r="D38" s="4097" t="s">
        <v>713</v>
      </c>
      <c r="E38" s="4098"/>
      <c r="F38" s="4098"/>
      <c r="G38" s="4098"/>
      <c r="H38" s="4098"/>
      <c r="I38" s="4098"/>
      <c r="J38" s="4098"/>
      <c r="K38" s="4098"/>
      <c r="L38" s="4098"/>
      <c r="M38" s="4098"/>
      <c r="N38" s="4098"/>
      <c r="O38" s="4098"/>
      <c r="P38" s="4099"/>
    </row>
    <row r="39" spans="1:16" ht="33.6" customHeight="1" x14ac:dyDescent="0.25">
      <c r="A39" s="902">
        <v>9</v>
      </c>
      <c r="B39" s="1726" t="s">
        <v>714</v>
      </c>
      <c r="C39" s="1568"/>
      <c r="D39" s="4097" t="s">
        <v>724</v>
      </c>
      <c r="E39" s="4098"/>
      <c r="F39" s="4098"/>
      <c r="G39" s="4098"/>
      <c r="H39" s="4098"/>
      <c r="I39" s="4098"/>
      <c r="J39" s="4098"/>
      <c r="K39" s="4098"/>
      <c r="L39" s="4098"/>
      <c r="M39" s="4098"/>
      <c r="N39" s="4098"/>
      <c r="O39" s="4098"/>
      <c r="P39" s="4099"/>
    </row>
    <row r="40" spans="1:16" x14ac:dyDescent="0.25">
      <c r="A40" s="902"/>
      <c r="B40" s="902"/>
      <c r="C40" s="1391"/>
      <c r="D40" s="4051"/>
      <c r="E40" s="4052"/>
      <c r="F40" s="4052"/>
      <c r="G40" s="4052"/>
      <c r="H40" s="4052"/>
      <c r="I40" s="4052"/>
      <c r="J40" s="4052"/>
      <c r="K40" s="4052"/>
      <c r="L40" s="4052"/>
    </row>
    <row r="41" spans="1:16" x14ac:dyDescent="0.25">
      <c r="A41" s="902"/>
      <c r="B41" s="1036"/>
      <c r="C41" s="1036"/>
      <c r="D41" s="1391"/>
      <c r="E41" s="142"/>
      <c r="F41" s="142"/>
      <c r="G41" s="142"/>
      <c r="H41" s="142"/>
      <c r="I41" s="142"/>
      <c r="J41" s="142"/>
      <c r="K41" s="142"/>
      <c r="L41" s="142"/>
    </row>
    <row r="42" spans="1:16" s="1762" customFormat="1" ht="41.25" customHeight="1" x14ac:dyDescent="0.25">
      <c r="A42" s="902"/>
      <c r="B42" s="365"/>
      <c r="C42" s="365"/>
      <c r="D42" s="256"/>
      <c r="E42" s="256"/>
      <c r="F42" s="256"/>
      <c r="G42" s="256"/>
      <c r="H42" s="256"/>
      <c r="I42" s="256"/>
      <c r="J42" s="256"/>
      <c r="K42" s="256"/>
      <c r="L42" s="256"/>
    </row>
    <row r="43" spans="1:16" s="1762" customFormat="1" ht="26.25" customHeight="1" x14ac:dyDescent="0.25">
      <c r="A43" s="902"/>
      <c r="B43" s="1036"/>
      <c r="C43" s="1036"/>
      <c r="D43" s="256"/>
      <c r="E43" s="256"/>
      <c r="F43" s="256"/>
      <c r="G43" s="256"/>
      <c r="H43" s="256"/>
      <c r="I43" s="256"/>
      <c r="J43" s="256"/>
      <c r="K43" s="256"/>
      <c r="L43" s="256"/>
    </row>
  </sheetData>
  <mergeCells count="8">
    <mergeCell ref="D39:P39"/>
    <mergeCell ref="D40:L40"/>
    <mergeCell ref="D2:P2"/>
    <mergeCell ref="D3:P3"/>
    <mergeCell ref="D4:P4"/>
    <mergeCell ref="D36:P36"/>
    <mergeCell ref="D37:P37"/>
    <mergeCell ref="D38:P38"/>
  </mergeCells>
  <pageMargins left="0.74803149606299202" right="0.74803149606299202" top="0.98425196850393704" bottom="0.98425196850393704" header="0.511811023622047" footer="0.511811023622047"/>
  <pageSetup paperSize="9" scale="6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F736"/>
  <sheetViews>
    <sheetView showGridLines="0" view="pageBreakPreview" zoomScaleNormal="90" zoomScaleSheetLayoutView="100" workbookViewId="0">
      <selection activeCell="A49" sqref="A49"/>
    </sheetView>
  </sheetViews>
  <sheetFormatPr defaultColWidth="9.140625" defaultRowHeight="15" x14ac:dyDescent="0.2"/>
  <cols>
    <col min="1" max="1" width="3.7109375" style="1" customWidth="1"/>
    <col min="2" max="2" width="9.85546875" style="1763" customWidth="1"/>
    <col min="3" max="3" width="3.7109375" style="1763" customWidth="1"/>
    <col min="4" max="4" width="21.28515625" style="1321" customWidth="1"/>
    <col min="5" max="13" width="8.7109375" style="1321" customWidth="1"/>
    <col min="14" max="14" width="9.85546875" style="1321" customWidth="1"/>
    <col min="15" max="15" width="8.5703125" style="1321" customWidth="1"/>
    <col min="16" max="18" width="8.7109375" style="1321" customWidth="1"/>
    <col min="19" max="22" width="9.5703125" style="1321" bestFit="1" customWidth="1"/>
    <col min="23" max="23" width="9.5703125" style="1321" customWidth="1"/>
    <col min="24" max="24" width="9.5703125" style="1321" bestFit="1" customWidth="1"/>
    <col min="25" max="25" width="9.42578125" style="1321" customWidth="1"/>
    <col min="26" max="26" width="9.5703125" style="1321" customWidth="1"/>
    <col min="27" max="28" width="8.7109375" style="1321" customWidth="1"/>
    <col min="29" max="16384" width="9.140625" style="1321"/>
  </cols>
  <sheetData>
    <row r="1" spans="1:84" x14ac:dyDescent="0.25">
      <c r="T1" s="1764"/>
      <c r="V1" s="1764"/>
      <c r="W1" s="1764"/>
      <c r="X1" s="1764"/>
      <c r="Y1" s="1764"/>
      <c r="Z1" s="1764"/>
      <c r="AA1" s="1764"/>
      <c r="AB1" s="1764"/>
      <c r="AC1" s="1765"/>
      <c r="AD1" s="1765"/>
      <c r="AE1" s="1765"/>
    </row>
    <row r="2" spans="1:84" ht="12.75" customHeight="1" x14ac:dyDescent="0.2">
      <c r="A2" s="1">
        <v>1</v>
      </c>
      <c r="B2" s="1" t="s">
        <v>0</v>
      </c>
      <c r="C2" s="1">
        <v>24</v>
      </c>
      <c r="D2" s="4193" t="s">
        <v>725</v>
      </c>
      <c r="E2" s="4194"/>
      <c r="F2" s="4194"/>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4"/>
      <c r="AI2" s="4194"/>
      <c r="AJ2" s="4194"/>
      <c r="AK2" s="4194"/>
      <c r="AL2" s="4194"/>
      <c r="AM2" s="4194"/>
      <c r="AN2" s="4194"/>
      <c r="AO2" s="4194"/>
      <c r="AP2" s="4194"/>
      <c r="AQ2" s="4194"/>
      <c r="AR2" s="4194"/>
      <c r="AS2" s="4194"/>
      <c r="AT2" s="4194"/>
      <c r="AU2" s="4194"/>
      <c r="AV2" s="4194"/>
      <c r="AW2" s="4194"/>
      <c r="AX2" s="4194"/>
      <c r="AY2" s="4194"/>
      <c r="AZ2" s="4194"/>
      <c r="BA2" s="4194"/>
      <c r="BB2" s="4195"/>
    </row>
    <row r="3" spans="1:84" ht="15" customHeight="1" x14ac:dyDescent="0.2">
      <c r="A3" s="1">
        <v>2</v>
      </c>
      <c r="B3" s="1" t="s">
        <v>2</v>
      </c>
      <c r="C3" s="1"/>
      <c r="D3" s="4140" t="s">
        <v>647</v>
      </c>
      <c r="E3" s="4141"/>
      <c r="F3" s="4141"/>
      <c r="G3" s="4141"/>
      <c r="H3" s="4141"/>
      <c r="I3" s="4141"/>
      <c r="J3" s="4141"/>
      <c r="K3" s="4141"/>
      <c r="L3" s="4141"/>
      <c r="M3" s="4141"/>
      <c r="N3" s="4141"/>
      <c r="O3" s="4141"/>
      <c r="P3" s="4141"/>
      <c r="Q3" s="4141"/>
      <c r="R3" s="4141"/>
      <c r="S3" s="4141"/>
      <c r="T3" s="4141"/>
      <c r="U3" s="4141"/>
      <c r="V3" s="4141"/>
      <c r="W3" s="4141"/>
      <c r="X3" s="4141"/>
      <c r="Y3" s="4141"/>
      <c r="Z3" s="4141"/>
      <c r="AA3" s="4141"/>
      <c r="AB3" s="4141"/>
      <c r="AC3" s="4141"/>
      <c r="AD3" s="4141"/>
      <c r="AE3" s="4141"/>
      <c r="AF3" s="4141"/>
      <c r="AG3" s="4141"/>
      <c r="AH3" s="4141"/>
      <c r="AI3" s="4141"/>
      <c r="AJ3" s="4141"/>
      <c r="AK3" s="4141"/>
      <c r="AL3" s="4141"/>
      <c r="AM3" s="4141"/>
      <c r="AN3" s="4141"/>
      <c r="AO3" s="4141"/>
      <c r="AP3" s="4141"/>
      <c r="AQ3" s="4141"/>
      <c r="AR3" s="4141"/>
      <c r="AS3" s="4141"/>
      <c r="AT3" s="4141"/>
      <c r="AU3" s="4141"/>
      <c r="AV3" s="4141"/>
      <c r="AW3" s="4141"/>
      <c r="AX3" s="4141"/>
      <c r="AY3" s="4141"/>
      <c r="AZ3" s="4141"/>
      <c r="BA3" s="4141"/>
      <c r="BB3" s="4142"/>
    </row>
    <row r="4" spans="1:84" ht="15" customHeight="1" x14ac:dyDescent="0.2">
      <c r="A4" s="1">
        <v>3</v>
      </c>
      <c r="B4" s="1" t="s">
        <v>4</v>
      </c>
      <c r="C4" s="1"/>
      <c r="D4" s="4140" t="s">
        <v>726</v>
      </c>
      <c r="E4" s="4141"/>
      <c r="F4" s="4141"/>
      <c r="G4" s="4141"/>
      <c r="H4" s="4141"/>
      <c r="I4" s="4141"/>
      <c r="J4" s="4141"/>
      <c r="K4" s="4141"/>
      <c r="L4" s="4141"/>
      <c r="M4" s="4141"/>
      <c r="N4" s="4141"/>
      <c r="O4" s="4141"/>
      <c r="P4" s="4141"/>
      <c r="Q4" s="4141"/>
      <c r="R4" s="4141"/>
      <c r="S4" s="4141"/>
      <c r="T4" s="4141"/>
      <c r="U4" s="4141"/>
      <c r="V4" s="4141"/>
      <c r="W4" s="4141"/>
      <c r="X4" s="4141"/>
      <c r="Y4" s="4141"/>
      <c r="Z4" s="4141"/>
      <c r="AA4" s="4141"/>
      <c r="AB4" s="4141"/>
      <c r="AC4" s="4141"/>
      <c r="AD4" s="4141"/>
      <c r="AE4" s="4141"/>
      <c r="AF4" s="4141"/>
      <c r="AG4" s="4141"/>
      <c r="AH4" s="4141"/>
      <c r="AI4" s="4141"/>
      <c r="AJ4" s="4141"/>
      <c r="AK4" s="4141"/>
      <c r="AL4" s="4141"/>
      <c r="AM4" s="4141"/>
      <c r="AN4" s="4141"/>
      <c r="AO4" s="4141"/>
      <c r="AP4" s="4141"/>
      <c r="AQ4" s="4141"/>
      <c r="AR4" s="4141"/>
      <c r="AS4" s="4141"/>
      <c r="AT4" s="4141"/>
      <c r="AU4" s="4141"/>
      <c r="AV4" s="4141"/>
      <c r="AW4" s="4141"/>
      <c r="AX4" s="4141"/>
      <c r="AY4" s="4141"/>
      <c r="AZ4" s="4141"/>
      <c r="BA4" s="4141"/>
      <c r="BB4" s="4142"/>
    </row>
    <row r="5" spans="1:84" ht="15" customHeight="1" x14ac:dyDescent="0.2">
      <c r="B5" s="1"/>
      <c r="C5" s="1"/>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row>
    <row r="6" spans="1:84" x14ac:dyDescent="0.25">
      <c r="A6" s="1">
        <v>4</v>
      </c>
      <c r="B6" s="12" t="s">
        <v>5</v>
      </c>
      <c r="C6" s="12"/>
      <c r="L6" s="1765"/>
      <c r="M6" s="1765"/>
      <c r="N6" s="11"/>
      <c r="T6" s="1764"/>
      <c r="V6" s="1764"/>
      <c r="W6" s="1764"/>
      <c r="X6" s="1764"/>
      <c r="Y6" s="1764"/>
      <c r="Z6" s="1764"/>
      <c r="AA6" s="1764"/>
      <c r="AB6" s="1764"/>
      <c r="AC6" s="1765"/>
      <c r="AD6" s="1765"/>
      <c r="AE6" s="1765"/>
    </row>
    <row r="7" spans="1:84" x14ac:dyDescent="0.25">
      <c r="B7" s="12"/>
      <c r="C7" s="12"/>
      <c r="D7" s="1770" t="s">
        <v>40</v>
      </c>
      <c r="E7" s="1771" t="s">
        <v>727</v>
      </c>
      <c r="F7" s="1772"/>
      <c r="G7" s="1772"/>
      <c r="H7" s="767"/>
      <c r="I7" s="767"/>
      <c r="J7" s="767"/>
      <c r="K7" s="767"/>
      <c r="L7" s="767"/>
      <c r="M7" s="767"/>
      <c r="N7" s="767"/>
      <c r="O7" s="767"/>
      <c r="P7" s="767"/>
      <c r="Q7" s="767"/>
      <c r="R7" s="767"/>
      <c r="S7" s="722"/>
      <c r="T7" s="1764"/>
      <c r="U7" s="722"/>
      <c r="V7" s="1764"/>
      <c r="W7" s="1764"/>
      <c r="X7" s="1764"/>
      <c r="Y7" s="1764"/>
      <c r="Z7" s="1764"/>
      <c r="AA7" s="1764"/>
      <c r="AB7" s="1764"/>
      <c r="AC7" s="1765"/>
      <c r="AD7" s="1765"/>
      <c r="AE7" s="1765"/>
    </row>
    <row r="8" spans="1:84" x14ac:dyDescent="0.25">
      <c r="B8" s="1773"/>
      <c r="C8" s="1773"/>
      <c r="D8" s="1774" t="s">
        <v>728</v>
      </c>
      <c r="E8" s="1775" t="s">
        <v>133</v>
      </c>
      <c r="F8" s="1775" t="s">
        <v>134</v>
      </c>
      <c r="G8" s="1775" t="s">
        <v>135</v>
      </c>
      <c r="H8" s="1775" t="s">
        <v>136</v>
      </c>
      <c r="I8" s="1775" t="s">
        <v>137</v>
      </c>
      <c r="J8" s="1775" t="s">
        <v>138</v>
      </c>
      <c r="K8" s="1775" t="s">
        <v>139</v>
      </c>
      <c r="L8" s="1775" t="s">
        <v>140</v>
      </c>
      <c r="M8" s="1775" t="s">
        <v>141</v>
      </c>
      <c r="N8" s="1775" t="s">
        <v>142</v>
      </c>
      <c r="O8" s="1775" t="s">
        <v>143</v>
      </c>
      <c r="P8" s="1776" t="s">
        <v>144</v>
      </c>
      <c r="Q8" s="1775" t="s">
        <v>145</v>
      </c>
      <c r="R8" s="1775" t="s">
        <v>8</v>
      </c>
      <c r="S8" s="1776" t="s">
        <v>9</v>
      </c>
      <c r="T8" s="1776" t="s">
        <v>10</v>
      </c>
      <c r="U8" s="1776" t="s">
        <v>11</v>
      </c>
      <c r="V8" s="1776" t="s">
        <v>12</v>
      </c>
      <c r="W8" s="1776" t="s">
        <v>13</v>
      </c>
      <c r="X8" s="1776" t="s">
        <v>14</v>
      </c>
      <c r="Y8" s="1776" t="s">
        <v>15</v>
      </c>
      <c r="Z8" s="1777" t="s">
        <v>333</v>
      </c>
      <c r="AA8" s="1764"/>
      <c r="AB8" s="1764"/>
      <c r="AC8" s="1764"/>
      <c r="AD8" s="1765"/>
      <c r="AE8" s="1765"/>
      <c r="AF8" s="1765"/>
    </row>
    <row r="9" spans="1:84" x14ac:dyDescent="0.25">
      <c r="B9" s="1778"/>
      <c r="C9" s="1778"/>
      <c r="D9" s="23" t="s">
        <v>729</v>
      </c>
      <c r="E9" s="1386">
        <v>1637934</v>
      </c>
      <c r="F9" s="1386">
        <v>1697725</v>
      </c>
      <c r="G9" s="1386">
        <v>1812695</v>
      </c>
      <c r="H9" s="1386">
        <v>1848726</v>
      </c>
      <c r="I9" s="1386">
        <v>1900406</v>
      </c>
      <c r="J9" s="1386">
        <v>1903042</v>
      </c>
      <c r="K9" s="1386">
        <v>1943348</v>
      </c>
      <c r="L9" s="1386">
        <v>2050572</v>
      </c>
      <c r="M9" s="1386">
        <v>2124984</v>
      </c>
      <c r="N9" s="1386">
        <v>2146344</v>
      </c>
      <c r="O9" s="1386">
        <v>2195018</v>
      </c>
      <c r="P9" s="1386">
        <v>2229550</v>
      </c>
      <c r="Q9" s="1386">
        <v>2390543</v>
      </c>
      <c r="R9" s="1386">
        <v>2546657</v>
      </c>
      <c r="S9" s="1386">
        <v>2678554</v>
      </c>
      <c r="T9" s="1386">
        <v>2750857</v>
      </c>
      <c r="U9" s="1386">
        <v>2873197</v>
      </c>
      <c r="V9" s="1386">
        <v>2969933</v>
      </c>
      <c r="W9" s="1386">
        <v>3086851</v>
      </c>
      <c r="X9" s="1386">
        <v>3194087</v>
      </c>
      <c r="Y9" s="1386">
        <v>3302202</v>
      </c>
      <c r="Z9" s="1779">
        <v>3423337</v>
      </c>
      <c r="AA9" s="1764"/>
      <c r="AB9" s="1764"/>
      <c r="AC9" s="1764"/>
      <c r="AD9" s="1765"/>
      <c r="AE9" s="1765"/>
      <c r="AF9" s="1765"/>
    </row>
    <row r="10" spans="1:84" s="1783" customFormat="1" x14ac:dyDescent="0.25">
      <c r="A10" s="1780"/>
      <c r="B10" s="1778"/>
      <c r="C10" s="1778"/>
      <c r="D10" s="23" t="s">
        <v>730</v>
      </c>
      <c r="E10" s="1386">
        <v>13473</v>
      </c>
      <c r="F10" s="1386">
        <v>10525</v>
      </c>
      <c r="G10" s="1386">
        <v>9197</v>
      </c>
      <c r="H10" s="1386">
        <v>7908</v>
      </c>
      <c r="I10" s="1386">
        <v>5617</v>
      </c>
      <c r="J10" s="1386">
        <v>5336</v>
      </c>
      <c r="K10" s="1386">
        <v>4638</v>
      </c>
      <c r="L10" s="1386">
        <v>3996</v>
      </c>
      <c r="M10" s="1386">
        <v>2963</v>
      </c>
      <c r="N10" s="1386">
        <v>2817</v>
      </c>
      <c r="O10" s="1386">
        <v>2340</v>
      </c>
      <c r="P10" s="1386">
        <v>1924</v>
      </c>
      <c r="Q10" s="1386">
        <v>1500</v>
      </c>
      <c r="R10" s="1386">
        <v>1216</v>
      </c>
      <c r="S10" s="1386">
        <v>958</v>
      </c>
      <c r="T10" s="1386">
        <v>753</v>
      </c>
      <c r="U10" s="1386">
        <v>587</v>
      </c>
      <c r="V10" s="1386">
        <v>429</v>
      </c>
      <c r="W10" s="1386">
        <v>326</v>
      </c>
      <c r="X10" s="1386">
        <v>245</v>
      </c>
      <c r="Y10" s="1386">
        <v>176</v>
      </c>
      <c r="Z10" s="1779">
        <v>134</v>
      </c>
      <c r="AA10" s="1781"/>
      <c r="AB10" s="1781"/>
      <c r="AC10" s="1781"/>
      <c r="AD10" s="1782"/>
      <c r="AE10" s="1782"/>
      <c r="AF10" s="1782"/>
    </row>
    <row r="11" spans="1:84" s="1783" customFormat="1" x14ac:dyDescent="0.25">
      <c r="A11" s="1780"/>
      <c r="B11" s="1778"/>
      <c r="C11" s="1778"/>
      <c r="D11" s="23" t="s">
        <v>731</v>
      </c>
      <c r="E11" s="1386">
        <v>711629</v>
      </c>
      <c r="F11" s="1386">
        <v>660528</v>
      </c>
      <c r="G11" s="1386">
        <v>633778</v>
      </c>
      <c r="H11" s="1386">
        <v>607537</v>
      </c>
      <c r="I11" s="1386">
        <v>655822</v>
      </c>
      <c r="J11" s="1386">
        <v>694232</v>
      </c>
      <c r="K11" s="1386">
        <v>840424</v>
      </c>
      <c r="L11" s="1386">
        <v>1228231</v>
      </c>
      <c r="M11" s="1386">
        <v>1293280</v>
      </c>
      <c r="N11" s="1386">
        <v>1315143</v>
      </c>
      <c r="O11" s="1386">
        <v>1422808</v>
      </c>
      <c r="P11" s="1386">
        <v>1408456</v>
      </c>
      <c r="Q11" s="1386">
        <v>1286883</v>
      </c>
      <c r="R11" s="1386">
        <v>1264477</v>
      </c>
      <c r="S11" s="1386">
        <v>1200898</v>
      </c>
      <c r="T11" s="1386">
        <v>1198131</v>
      </c>
      <c r="U11" s="1386">
        <v>1164192</v>
      </c>
      <c r="V11" s="1386">
        <v>1120419</v>
      </c>
      <c r="W11" s="1386">
        <v>1112663</v>
      </c>
      <c r="X11" s="1386">
        <v>1085541</v>
      </c>
      <c r="Y11" s="1386">
        <v>1067176</v>
      </c>
      <c r="Z11" s="1779">
        <v>1061866</v>
      </c>
      <c r="AA11" s="1781"/>
      <c r="AB11" s="1781"/>
      <c r="AC11" s="1781"/>
      <c r="AD11" s="1782"/>
      <c r="AE11" s="1782"/>
      <c r="AF11" s="1782"/>
    </row>
    <row r="12" spans="1:84" s="1783" customFormat="1" x14ac:dyDescent="0.25">
      <c r="A12" s="1780"/>
      <c r="B12" s="1778"/>
      <c r="C12" s="1778"/>
      <c r="D12" s="23" t="s">
        <v>732</v>
      </c>
      <c r="E12" s="1386"/>
      <c r="F12" s="1386"/>
      <c r="G12" s="1386"/>
      <c r="H12" s="1386"/>
      <c r="I12" s="1386"/>
      <c r="J12" s="1386"/>
      <c r="K12" s="1386"/>
      <c r="L12" s="1386"/>
      <c r="M12" s="1386"/>
      <c r="N12" s="1386"/>
      <c r="O12" s="1386">
        <v>31918</v>
      </c>
      <c r="P12" s="1386">
        <v>37343</v>
      </c>
      <c r="Q12" s="1386">
        <v>46069</v>
      </c>
      <c r="R12" s="1386">
        <v>53237</v>
      </c>
      <c r="S12" s="1386">
        <v>58413</v>
      </c>
      <c r="T12" s="1386">
        <v>66493</v>
      </c>
      <c r="U12" s="1386">
        <v>73719</v>
      </c>
      <c r="V12" s="1386">
        <v>83059</v>
      </c>
      <c r="W12" s="1386">
        <v>113087</v>
      </c>
      <c r="X12" s="1386">
        <v>137806</v>
      </c>
      <c r="Y12" s="1386">
        <v>164349</v>
      </c>
      <c r="Z12" s="1779">
        <v>192091</v>
      </c>
      <c r="AA12" s="1781"/>
      <c r="AB12" s="1781"/>
      <c r="AC12" s="1781"/>
      <c r="AD12" s="1782"/>
      <c r="AE12" s="1782"/>
      <c r="AF12" s="1782"/>
    </row>
    <row r="13" spans="1:84" s="1783" customFormat="1" x14ac:dyDescent="0.25">
      <c r="A13" s="1780"/>
      <c r="B13" s="1778"/>
      <c r="C13" s="1778"/>
      <c r="D13" s="23" t="s">
        <v>733</v>
      </c>
      <c r="E13" s="1386">
        <v>42999</v>
      </c>
      <c r="F13" s="1386">
        <v>43520</v>
      </c>
      <c r="G13" s="1386">
        <v>46496</v>
      </c>
      <c r="H13" s="1386">
        <v>49843</v>
      </c>
      <c r="I13" s="1386">
        <v>66967</v>
      </c>
      <c r="J13" s="1386">
        <v>67817</v>
      </c>
      <c r="K13" s="1386">
        <v>83574</v>
      </c>
      <c r="L13" s="1386">
        <v>120571</v>
      </c>
      <c r="M13" s="1386">
        <v>195454</v>
      </c>
      <c r="N13" s="1386">
        <v>317434</v>
      </c>
      <c r="O13" s="1386">
        <v>400503</v>
      </c>
      <c r="P13" s="1386">
        <v>454199</v>
      </c>
      <c r="Q13" s="1386">
        <v>474759</v>
      </c>
      <c r="R13" s="1386">
        <v>510760</v>
      </c>
      <c r="S13" s="1386">
        <v>512874</v>
      </c>
      <c r="T13" s="1386">
        <v>536747</v>
      </c>
      <c r="U13" s="1386">
        <v>532159</v>
      </c>
      <c r="V13" s="1386">
        <v>512055</v>
      </c>
      <c r="W13" s="1386">
        <v>499774</v>
      </c>
      <c r="X13" s="1386">
        <v>470015</v>
      </c>
      <c r="Y13" s="1386">
        <v>440295</v>
      </c>
      <c r="Z13" s="1779">
        <v>416016</v>
      </c>
      <c r="AA13" s="1781"/>
      <c r="AB13" s="1781"/>
      <c r="AC13" s="1781"/>
      <c r="AD13" s="1782"/>
      <c r="AE13" s="1782"/>
      <c r="AF13" s="1782"/>
    </row>
    <row r="14" spans="1:84" s="1783" customFormat="1" x14ac:dyDescent="0.25">
      <c r="A14" s="1784"/>
      <c r="B14" s="1778"/>
      <c r="C14" s="1778"/>
      <c r="D14" s="23" t="s">
        <v>734</v>
      </c>
      <c r="E14" s="1386">
        <v>2707</v>
      </c>
      <c r="F14" s="1386">
        <v>8172</v>
      </c>
      <c r="G14" s="1386">
        <v>16835</v>
      </c>
      <c r="H14" s="1386">
        <v>22789</v>
      </c>
      <c r="I14" s="1386">
        <v>33574</v>
      </c>
      <c r="J14" s="1386">
        <v>34978</v>
      </c>
      <c r="K14" s="1386">
        <v>42355</v>
      </c>
      <c r="L14" s="1386">
        <v>76494</v>
      </c>
      <c r="M14" s="1386">
        <v>86917</v>
      </c>
      <c r="N14" s="1386">
        <v>90112</v>
      </c>
      <c r="O14" s="1386">
        <v>98631</v>
      </c>
      <c r="P14" s="1386">
        <v>102292</v>
      </c>
      <c r="Q14" s="1386">
        <v>107065</v>
      </c>
      <c r="R14" s="1386">
        <v>110731</v>
      </c>
      <c r="S14" s="1386">
        <v>112185</v>
      </c>
      <c r="T14" s="1386">
        <v>114993</v>
      </c>
      <c r="U14" s="1386">
        <v>120268</v>
      </c>
      <c r="V14" s="1386">
        <v>120632</v>
      </c>
      <c r="W14" s="1386">
        <v>126777</v>
      </c>
      <c r="X14" s="1386">
        <v>131040</v>
      </c>
      <c r="Y14" s="1386">
        <v>144952</v>
      </c>
      <c r="Z14" s="1779">
        <v>147467</v>
      </c>
      <c r="AA14" s="1781"/>
      <c r="AB14" s="1781"/>
      <c r="AC14" s="1781"/>
      <c r="AD14" s="1782"/>
      <c r="AE14" s="1782"/>
      <c r="AF14" s="1782"/>
    </row>
    <row r="15" spans="1:84" s="1783" customFormat="1" x14ac:dyDescent="0.25">
      <c r="A15" s="1784"/>
      <c r="B15" s="1778"/>
      <c r="C15" s="1778"/>
      <c r="D15" s="23" t="s">
        <v>735</v>
      </c>
      <c r="E15" s="1386"/>
      <c r="F15" s="1386"/>
      <c r="G15" s="1386">
        <v>21997</v>
      </c>
      <c r="H15" s="1386">
        <v>150366</v>
      </c>
      <c r="I15" s="1386">
        <v>1111612</v>
      </c>
      <c r="J15" s="1386">
        <v>1277396</v>
      </c>
      <c r="K15" s="1386">
        <v>1998936</v>
      </c>
      <c r="L15" s="1386">
        <v>2996723</v>
      </c>
      <c r="M15" s="1386">
        <v>4165545</v>
      </c>
      <c r="N15" s="1386">
        <v>7075266</v>
      </c>
      <c r="O15" s="1386">
        <v>7863841</v>
      </c>
      <c r="P15" s="1386">
        <v>8189975</v>
      </c>
      <c r="Q15" s="1386">
        <v>8765354</v>
      </c>
      <c r="R15" s="1386">
        <v>9570287</v>
      </c>
      <c r="S15" s="1386">
        <v>10371950</v>
      </c>
      <c r="T15" s="1386">
        <v>10927731</v>
      </c>
      <c r="U15" s="1386">
        <v>11341988</v>
      </c>
      <c r="V15" s="1386">
        <v>11125946</v>
      </c>
      <c r="W15" s="1386">
        <v>11703165</v>
      </c>
      <c r="X15" s="1386">
        <v>11972900</v>
      </c>
      <c r="Y15" s="1386">
        <v>12081375</v>
      </c>
      <c r="Z15" s="1779">
        <v>12269084</v>
      </c>
      <c r="AA15" s="1781"/>
      <c r="AB15" s="1781"/>
      <c r="AC15" s="1781"/>
      <c r="AD15" s="1782"/>
      <c r="AE15" s="1782"/>
      <c r="AF15" s="1782"/>
      <c r="AG15" s="1782"/>
      <c r="AH15" s="1782"/>
      <c r="AI15" s="1782"/>
      <c r="AJ15" s="1782"/>
      <c r="AK15" s="1782"/>
      <c r="AL15" s="1782"/>
      <c r="AM15" s="1782"/>
      <c r="AN15" s="1782"/>
      <c r="AO15" s="1782"/>
      <c r="AP15" s="1782"/>
      <c r="AQ15" s="1782"/>
      <c r="AR15" s="1782"/>
      <c r="AS15" s="1782"/>
      <c r="AT15" s="1782"/>
      <c r="AU15" s="1782"/>
      <c r="AV15" s="1782"/>
      <c r="AW15" s="1782"/>
      <c r="AX15" s="1782"/>
      <c r="AY15" s="1782"/>
      <c r="AZ15" s="1782"/>
      <c r="BA15" s="1782"/>
      <c r="BB15" s="1782"/>
      <c r="BC15" s="1782"/>
      <c r="BD15" s="1782"/>
      <c r="BE15" s="1782"/>
      <c r="BF15" s="1782"/>
      <c r="BG15" s="1782"/>
      <c r="BH15" s="1782"/>
      <c r="BI15" s="1782"/>
      <c r="BJ15" s="1782"/>
      <c r="BK15" s="1782"/>
      <c r="BL15" s="1782"/>
      <c r="BM15" s="1782"/>
      <c r="BN15" s="1782"/>
      <c r="BO15" s="1782"/>
      <c r="BP15" s="1782"/>
      <c r="BQ15" s="1782"/>
      <c r="BR15" s="1782"/>
      <c r="BS15" s="1782"/>
      <c r="BT15" s="1782"/>
      <c r="BU15" s="1782"/>
      <c r="BV15" s="1782"/>
      <c r="BW15" s="1782"/>
      <c r="BX15" s="1782"/>
      <c r="BY15" s="1782"/>
      <c r="BZ15" s="1782"/>
      <c r="CA15" s="1782"/>
      <c r="CB15" s="1782"/>
      <c r="CC15" s="1782"/>
      <c r="CD15" s="1782"/>
      <c r="CE15" s="1782"/>
      <c r="CF15" s="1782"/>
    </row>
    <row r="16" spans="1:84" s="1788" customFormat="1" x14ac:dyDescent="0.25">
      <c r="A16" s="1784"/>
      <c r="B16" s="1778"/>
      <c r="C16" s="1778"/>
      <c r="D16" s="1785" t="s">
        <v>721</v>
      </c>
      <c r="E16" s="1786">
        <f t="shared" ref="E16:Z16" si="0">SUM(E9:E15)</f>
        <v>2408742</v>
      </c>
      <c r="F16" s="1786">
        <f t="shared" si="0"/>
        <v>2420470</v>
      </c>
      <c r="G16" s="1786">
        <f t="shared" si="0"/>
        <v>2540998</v>
      </c>
      <c r="H16" s="1786">
        <f t="shared" si="0"/>
        <v>2687169</v>
      </c>
      <c r="I16" s="1786">
        <f t="shared" si="0"/>
        <v>3773998</v>
      </c>
      <c r="J16" s="1786">
        <f t="shared" si="0"/>
        <v>3982801</v>
      </c>
      <c r="K16" s="1786">
        <f t="shared" si="0"/>
        <v>4913275</v>
      </c>
      <c r="L16" s="1786">
        <f t="shared" si="0"/>
        <v>6476587</v>
      </c>
      <c r="M16" s="1786">
        <f t="shared" si="0"/>
        <v>7869143</v>
      </c>
      <c r="N16" s="1786">
        <f t="shared" si="0"/>
        <v>10947116</v>
      </c>
      <c r="O16" s="1786">
        <f t="shared" si="0"/>
        <v>12015059</v>
      </c>
      <c r="P16" s="1786">
        <f t="shared" si="0"/>
        <v>12423739</v>
      </c>
      <c r="Q16" s="1786">
        <f t="shared" si="0"/>
        <v>13072173</v>
      </c>
      <c r="R16" s="1786">
        <f t="shared" si="0"/>
        <v>14057365</v>
      </c>
      <c r="S16" s="1786">
        <f t="shared" si="0"/>
        <v>14935832</v>
      </c>
      <c r="T16" s="1786">
        <f t="shared" si="0"/>
        <v>15595705</v>
      </c>
      <c r="U16" s="1786">
        <f t="shared" si="0"/>
        <v>16106110</v>
      </c>
      <c r="V16" s="1786">
        <f t="shared" si="0"/>
        <v>15932473</v>
      </c>
      <c r="W16" s="1786">
        <f t="shared" si="0"/>
        <v>16642643</v>
      </c>
      <c r="X16" s="1786">
        <f t="shared" si="0"/>
        <v>16991634</v>
      </c>
      <c r="Y16" s="1786">
        <f t="shared" si="0"/>
        <v>17200525</v>
      </c>
      <c r="Z16" s="1787">
        <f t="shared" si="0"/>
        <v>17509995</v>
      </c>
      <c r="AA16" s="1781"/>
      <c r="AB16" s="1781"/>
      <c r="AC16" s="1781"/>
      <c r="AD16" s="1782"/>
      <c r="AE16" s="1782"/>
      <c r="AF16" s="1782"/>
      <c r="AG16" s="1782"/>
      <c r="AH16" s="1782"/>
      <c r="AI16" s="1782"/>
      <c r="AJ16" s="1782"/>
      <c r="AK16" s="1782"/>
      <c r="AL16" s="1782"/>
      <c r="AM16" s="1782"/>
      <c r="AN16" s="1782"/>
      <c r="AO16" s="1782"/>
      <c r="AP16" s="1782"/>
      <c r="AQ16" s="1782"/>
      <c r="AR16" s="1782"/>
      <c r="AS16" s="1782"/>
      <c r="AT16" s="1782"/>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row>
    <row r="17" spans="1:84" s="1795" customFormat="1" x14ac:dyDescent="0.25">
      <c r="A17" s="1789"/>
      <c r="B17" s="1790"/>
      <c r="C17" s="1790"/>
      <c r="D17" s="1791" t="s">
        <v>736</v>
      </c>
      <c r="E17" s="1792"/>
      <c r="F17" s="1792">
        <f>(F16-E16)/E16</f>
        <v>4.8689315833742256E-3</v>
      </c>
      <c r="G17" s="1792">
        <f t="shared" ref="G17:Z17" si="1">(G16-F16)/F16</f>
        <v>4.9795287692059806E-2</v>
      </c>
      <c r="H17" s="1792">
        <f t="shared" si="1"/>
        <v>5.7525035438831515E-2</v>
      </c>
      <c r="I17" s="1792">
        <f t="shared" si="1"/>
        <v>0.40445130172311455</v>
      </c>
      <c r="J17" s="1792">
        <f t="shared" si="1"/>
        <v>5.5326738381949327E-2</v>
      </c>
      <c r="K17" s="1792">
        <f t="shared" si="1"/>
        <v>0.2336230205827507</v>
      </c>
      <c r="L17" s="1792">
        <f t="shared" si="1"/>
        <v>0.31818125384799345</v>
      </c>
      <c r="M17" s="1792">
        <f t="shared" si="1"/>
        <v>0.21501386455551358</v>
      </c>
      <c r="N17" s="1792">
        <f t="shared" si="1"/>
        <v>0.39114462654954929</v>
      </c>
      <c r="O17" s="1792">
        <f t="shared" si="1"/>
        <v>9.7554734963985035E-2</v>
      </c>
      <c r="P17" s="1792">
        <f t="shared" si="1"/>
        <v>3.4013981953813124E-2</v>
      </c>
      <c r="Q17" s="1792">
        <f t="shared" si="1"/>
        <v>5.2193144109031912E-2</v>
      </c>
      <c r="R17" s="1792">
        <f t="shared" si="1"/>
        <v>7.5365587649429064E-2</v>
      </c>
      <c r="S17" s="1792">
        <f t="shared" si="1"/>
        <v>6.2491583593369031E-2</v>
      </c>
      <c r="T17" s="1792">
        <f t="shared" si="1"/>
        <v>4.4180531757454157E-2</v>
      </c>
      <c r="U17" s="1792">
        <f t="shared" si="1"/>
        <v>3.2727279722205571E-2</v>
      </c>
      <c r="V17" s="1792">
        <f t="shared" si="1"/>
        <v>-1.0780815479342933E-2</v>
      </c>
      <c r="W17" s="1792">
        <f t="shared" si="1"/>
        <v>4.457374570790109E-2</v>
      </c>
      <c r="X17" s="1792">
        <f t="shared" si="1"/>
        <v>2.0969686124974261E-2</v>
      </c>
      <c r="Y17" s="1792">
        <f t="shared" si="1"/>
        <v>1.2293755856558586E-2</v>
      </c>
      <c r="Z17" s="1793">
        <f t="shared" si="1"/>
        <v>1.7991892689321984E-2</v>
      </c>
      <c r="AA17" s="1794"/>
      <c r="AB17" s="1794"/>
      <c r="AC17" s="1794"/>
      <c r="AG17" s="1782"/>
      <c r="AH17" s="1782"/>
      <c r="AI17" s="1782"/>
      <c r="AJ17" s="1782"/>
      <c r="AK17" s="1782"/>
      <c r="AL17" s="1782"/>
      <c r="AM17" s="1782"/>
      <c r="AN17" s="1782"/>
      <c r="AO17" s="1782"/>
      <c r="AP17" s="1782"/>
      <c r="AQ17" s="1782"/>
      <c r="AR17" s="1782"/>
      <c r="AS17" s="1782"/>
      <c r="AT17" s="1782"/>
      <c r="AU17" s="1782"/>
      <c r="AV17" s="1782"/>
      <c r="AW17" s="1782"/>
      <c r="AX17" s="1782"/>
      <c r="AY17" s="1782"/>
      <c r="AZ17" s="1782"/>
      <c r="BA17" s="1782"/>
      <c r="BB17" s="1782"/>
      <c r="BC17" s="1782"/>
      <c r="BD17" s="1782"/>
      <c r="BE17" s="1782"/>
      <c r="BF17" s="1782"/>
      <c r="BG17" s="1782"/>
      <c r="BH17" s="1782"/>
      <c r="BI17" s="1782"/>
      <c r="BJ17" s="1782"/>
      <c r="BK17" s="1782"/>
      <c r="BL17" s="1782"/>
      <c r="BM17" s="1782"/>
      <c r="BN17" s="1782"/>
      <c r="BO17" s="1782"/>
      <c r="BP17" s="1782"/>
      <c r="BQ17" s="1782"/>
      <c r="BR17" s="1782"/>
      <c r="BS17" s="1782"/>
      <c r="BT17" s="1782"/>
      <c r="BU17" s="1782"/>
      <c r="BV17" s="1782"/>
      <c r="BW17" s="1782"/>
      <c r="BX17" s="1782"/>
      <c r="BY17" s="1782"/>
      <c r="BZ17" s="1782"/>
      <c r="CA17" s="1782"/>
      <c r="CB17" s="1782"/>
      <c r="CC17" s="1782"/>
      <c r="CD17" s="1782"/>
      <c r="CE17" s="1782"/>
      <c r="CF17" s="1782"/>
    </row>
    <row r="18" spans="1:84" s="1783" customFormat="1" x14ac:dyDescent="0.25">
      <c r="A18" s="1780"/>
      <c r="B18" s="1778"/>
      <c r="C18" s="1778"/>
      <c r="D18" s="30"/>
      <c r="E18" s="1401"/>
      <c r="F18" s="1401"/>
      <c r="G18" s="1401"/>
      <c r="H18" s="1401"/>
      <c r="I18" s="1401"/>
      <c r="J18" s="1401"/>
      <c r="K18" s="1401"/>
      <c r="L18" s="1401"/>
      <c r="M18" s="1401"/>
      <c r="N18" s="1401"/>
      <c r="O18" s="1401"/>
      <c r="P18" s="1401"/>
      <c r="Q18" s="1401"/>
      <c r="R18" s="1401"/>
      <c r="S18" s="1401"/>
      <c r="T18" s="1401"/>
      <c r="U18" s="1401"/>
      <c r="V18" s="1401"/>
      <c r="W18" s="1401"/>
      <c r="X18" s="1401"/>
      <c r="Y18" s="1401"/>
      <c r="Z18" s="1796"/>
      <c r="AA18" s="1781"/>
      <c r="AB18" s="1781"/>
      <c r="AC18" s="1781"/>
      <c r="AD18" s="1782"/>
      <c r="AE18" s="1782"/>
      <c r="AF18" s="1782"/>
    </row>
    <row r="19" spans="1:84" s="1782" customFormat="1" x14ac:dyDescent="0.25">
      <c r="A19" s="1784"/>
      <c r="B19" s="1778"/>
      <c r="C19" s="1778"/>
      <c r="D19" s="749"/>
      <c r="E19" s="1797"/>
      <c r="F19" s="1797"/>
      <c r="G19" s="1797"/>
      <c r="H19" s="1797"/>
      <c r="I19" s="1797"/>
      <c r="J19" s="1797"/>
      <c r="K19" s="1797"/>
      <c r="L19" s="1797"/>
      <c r="M19" s="1797"/>
      <c r="N19" s="1797"/>
      <c r="O19" s="1797"/>
      <c r="P19" s="1797"/>
      <c r="Q19" s="1798"/>
      <c r="R19" s="1798"/>
      <c r="S19" s="1798"/>
      <c r="T19" s="1799"/>
      <c r="U19" s="1798"/>
      <c r="V19" s="1799"/>
      <c r="W19" s="1799"/>
      <c r="X19" s="1799"/>
      <c r="Y19" s="1781"/>
      <c r="Z19" s="1781"/>
      <c r="AA19" s="1781"/>
      <c r="AB19" s="1781"/>
    </row>
    <row r="20" spans="1:84" s="1782" customFormat="1" x14ac:dyDescent="0.25">
      <c r="A20" s="1784"/>
      <c r="B20" s="1800"/>
      <c r="C20" s="1800"/>
      <c r="D20" s="1801"/>
      <c r="E20" s="1801"/>
      <c r="F20" s="1802"/>
      <c r="G20" s="1802"/>
      <c r="H20" s="1802"/>
      <c r="I20" s="1802"/>
      <c r="J20" s="1802"/>
      <c r="K20" s="1802"/>
      <c r="L20" s="1802"/>
      <c r="M20" s="1802"/>
      <c r="N20" s="1802"/>
      <c r="O20" s="1802"/>
      <c r="P20" s="1802"/>
      <c r="Q20" s="1802"/>
      <c r="R20" s="1798"/>
      <c r="S20" s="1798"/>
      <c r="T20" s="1799"/>
      <c r="U20" s="1798"/>
      <c r="V20" s="1799"/>
      <c r="W20" s="1799"/>
      <c r="X20" s="1799"/>
      <c r="Y20" s="1781"/>
      <c r="Z20" s="1781"/>
      <c r="AA20" s="1781"/>
      <c r="AB20" s="1781"/>
    </row>
    <row r="21" spans="1:84" s="1783" customFormat="1" x14ac:dyDescent="0.25">
      <c r="A21" s="1780"/>
      <c r="B21" s="1800"/>
      <c r="C21" s="1800"/>
      <c r="D21" s="1770" t="s">
        <v>67</v>
      </c>
      <c r="E21" s="1771" t="s">
        <v>737</v>
      </c>
      <c r="F21" s="1772"/>
      <c r="G21" s="1772"/>
      <c r="H21" s="1803"/>
      <c r="I21" s="1803"/>
      <c r="J21" s="1803"/>
      <c r="K21" s="1803"/>
      <c r="L21" s="1803"/>
      <c r="M21" s="1803"/>
      <c r="N21" s="1804"/>
      <c r="O21" s="1805"/>
      <c r="P21" s="1771" t="s">
        <v>738</v>
      </c>
      <c r="Q21" s="1772"/>
      <c r="R21" s="1772"/>
      <c r="S21" s="1803"/>
      <c r="T21" s="1803"/>
      <c r="U21" s="1803"/>
      <c r="V21" s="1803"/>
      <c r="W21" s="1803"/>
      <c r="X21" s="1803"/>
      <c r="Y21" s="1806"/>
      <c r="Z21" s="1770"/>
      <c r="AA21" s="1771" t="s">
        <v>739</v>
      </c>
      <c r="AB21" s="1798"/>
      <c r="AC21" s="1798"/>
      <c r="AD21" s="1798"/>
      <c r="AE21" s="1798"/>
      <c r="AF21" s="1807"/>
      <c r="AG21" s="1807"/>
      <c r="AH21" s="1807"/>
      <c r="AI21" s="1808"/>
      <c r="AJ21" s="1770"/>
      <c r="AK21" s="1771" t="s">
        <v>740</v>
      </c>
      <c r="AL21" s="1798"/>
      <c r="AM21" s="1798"/>
      <c r="AN21" s="1798"/>
      <c r="AO21" s="1798"/>
      <c r="AP21" s="1807"/>
      <c r="AQ21" s="1807"/>
      <c r="AR21" s="1809"/>
      <c r="AS21" s="1770"/>
      <c r="AT21" s="1771" t="s">
        <v>741</v>
      </c>
    </row>
    <row r="22" spans="1:84" s="1821" customFormat="1" ht="27" customHeight="1" x14ac:dyDescent="0.25">
      <c r="A22" s="1810"/>
      <c r="B22" s="1811"/>
      <c r="C22" s="1811"/>
      <c r="D22" s="1812" t="s">
        <v>728</v>
      </c>
      <c r="E22" s="1813" t="s">
        <v>19</v>
      </c>
      <c r="F22" s="1814" t="s">
        <v>20</v>
      </c>
      <c r="G22" s="1814" t="s">
        <v>21</v>
      </c>
      <c r="H22" s="1814" t="s">
        <v>22</v>
      </c>
      <c r="I22" s="1814" t="s">
        <v>23</v>
      </c>
      <c r="J22" s="1814" t="s">
        <v>742</v>
      </c>
      <c r="K22" s="1814" t="s">
        <v>743</v>
      </c>
      <c r="L22" s="1814" t="s">
        <v>26</v>
      </c>
      <c r="M22" s="1814" t="s">
        <v>27</v>
      </c>
      <c r="N22" s="1813" t="s">
        <v>257</v>
      </c>
      <c r="O22" s="1813" t="s">
        <v>19</v>
      </c>
      <c r="P22" s="1814" t="s">
        <v>20</v>
      </c>
      <c r="Q22" s="1814" t="s">
        <v>21</v>
      </c>
      <c r="R22" s="1814" t="s">
        <v>22</v>
      </c>
      <c r="S22" s="1814" t="s">
        <v>23</v>
      </c>
      <c r="T22" s="1814" t="s">
        <v>742</v>
      </c>
      <c r="U22" s="1814" t="s">
        <v>743</v>
      </c>
      <c r="V22" s="1814" t="s">
        <v>26</v>
      </c>
      <c r="W22" s="1814" t="s">
        <v>27</v>
      </c>
      <c r="X22" s="1813" t="s">
        <v>257</v>
      </c>
      <c r="Y22" s="1815" t="s">
        <v>19</v>
      </c>
      <c r="Z22" s="1814" t="s">
        <v>20</v>
      </c>
      <c r="AA22" s="1814" t="s">
        <v>21</v>
      </c>
      <c r="AB22" s="1816" t="s">
        <v>22</v>
      </c>
      <c r="AC22" s="1816" t="s">
        <v>23</v>
      </c>
      <c r="AD22" s="1816" t="s">
        <v>742</v>
      </c>
      <c r="AE22" s="1816" t="s">
        <v>743</v>
      </c>
      <c r="AF22" s="1816" t="s">
        <v>26</v>
      </c>
      <c r="AG22" s="1816" t="s">
        <v>27</v>
      </c>
      <c r="AH22" s="1817" t="s">
        <v>257</v>
      </c>
      <c r="AI22" s="1816" t="s">
        <v>19</v>
      </c>
      <c r="AJ22" s="1814" t="s">
        <v>20</v>
      </c>
      <c r="AK22" s="1814" t="s">
        <v>21</v>
      </c>
      <c r="AL22" s="1816" t="s">
        <v>22</v>
      </c>
      <c r="AM22" s="1816" t="s">
        <v>23</v>
      </c>
      <c r="AN22" s="1816" t="s">
        <v>742</v>
      </c>
      <c r="AO22" s="1816" t="s">
        <v>743</v>
      </c>
      <c r="AP22" s="1816" t="s">
        <v>26</v>
      </c>
      <c r="AQ22" s="1818" t="s">
        <v>27</v>
      </c>
      <c r="AR22" s="1819" t="s">
        <v>257</v>
      </c>
      <c r="AS22" s="1813" t="s">
        <v>19</v>
      </c>
      <c r="AT22" s="1814" t="s">
        <v>20</v>
      </c>
      <c r="AU22" s="1816" t="s">
        <v>21</v>
      </c>
      <c r="AV22" s="1816" t="s">
        <v>22</v>
      </c>
      <c r="AW22" s="1816" t="s">
        <v>23</v>
      </c>
      <c r="AX22" s="1816" t="s">
        <v>742</v>
      </c>
      <c r="AY22" s="1816" t="s">
        <v>743</v>
      </c>
      <c r="AZ22" s="1816" t="s">
        <v>26</v>
      </c>
      <c r="BA22" s="1818" t="s">
        <v>27</v>
      </c>
      <c r="BB22" s="1820" t="s">
        <v>257</v>
      </c>
    </row>
    <row r="23" spans="1:84" s="1821" customFormat="1" ht="12.75" x14ac:dyDescent="0.2">
      <c r="A23" s="1780"/>
      <c r="B23" s="1800"/>
      <c r="C23" s="1800"/>
      <c r="D23" s="23" t="s">
        <v>744</v>
      </c>
      <c r="E23" s="1822">
        <v>492248</v>
      </c>
      <c r="F23" s="1386">
        <v>165328</v>
      </c>
      <c r="G23" s="1386">
        <v>368316</v>
      </c>
      <c r="H23" s="1386">
        <v>573040</v>
      </c>
      <c r="I23" s="1386">
        <v>379783</v>
      </c>
      <c r="J23" s="1386">
        <v>219920</v>
      </c>
      <c r="K23" s="1386">
        <v>234505</v>
      </c>
      <c r="L23" s="1386">
        <v>71721</v>
      </c>
      <c r="M23" s="1386">
        <v>245996</v>
      </c>
      <c r="N23" s="1822">
        <v>2750857</v>
      </c>
      <c r="O23" s="1822">
        <v>509612</v>
      </c>
      <c r="P23" s="1386">
        <v>172103</v>
      </c>
      <c r="Q23" s="1386">
        <v>424892</v>
      </c>
      <c r="R23" s="1386">
        <v>590959</v>
      </c>
      <c r="S23" s="1386">
        <v>395264</v>
      </c>
      <c r="T23" s="1386">
        <v>227239</v>
      </c>
      <c r="U23" s="1386">
        <v>217274</v>
      </c>
      <c r="V23" s="1386">
        <v>74919</v>
      </c>
      <c r="W23" s="1386">
        <v>260935</v>
      </c>
      <c r="X23" s="1822">
        <v>2873197</v>
      </c>
      <c r="Y23" s="1822">
        <v>516952</v>
      </c>
      <c r="Z23" s="1386">
        <v>176973</v>
      </c>
      <c r="AA23" s="1386">
        <v>449843</v>
      </c>
      <c r="AB23" s="1386">
        <v>611625</v>
      </c>
      <c r="AC23" s="1386">
        <v>421053</v>
      </c>
      <c r="AD23" s="1386">
        <v>217045</v>
      </c>
      <c r="AE23" s="1386">
        <v>224898</v>
      </c>
      <c r="AF23" s="1386">
        <v>77081</v>
      </c>
      <c r="AG23" s="1386">
        <v>274463</v>
      </c>
      <c r="AH23" s="1823">
        <v>2969933</v>
      </c>
      <c r="AI23" s="1824">
        <v>528291</v>
      </c>
      <c r="AJ23" s="1386">
        <v>182314</v>
      </c>
      <c r="AK23" s="1386">
        <v>482168</v>
      </c>
      <c r="AL23" s="1386">
        <v>631713</v>
      </c>
      <c r="AM23" s="1386">
        <v>430368</v>
      </c>
      <c r="AN23" s="1386">
        <v>226625</v>
      </c>
      <c r="AO23" s="1386">
        <v>233547</v>
      </c>
      <c r="AP23" s="1386">
        <v>79080</v>
      </c>
      <c r="AQ23" s="1386">
        <v>292745</v>
      </c>
      <c r="AR23" s="1823">
        <v>3086851</v>
      </c>
      <c r="AS23" s="1386">
        <v>537250</v>
      </c>
      <c r="AT23" s="1386">
        <v>187887</v>
      </c>
      <c r="AU23" s="1824">
        <v>514733</v>
      </c>
      <c r="AV23" s="1386">
        <v>649094</v>
      </c>
      <c r="AW23" s="1386">
        <v>441175</v>
      </c>
      <c r="AX23" s="1824">
        <v>234576</v>
      </c>
      <c r="AY23" s="1386">
        <v>240084</v>
      </c>
      <c r="AZ23" s="1386">
        <v>81241</v>
      </c>
      <c r="BA23" s="1825">
        <v>308047</v>
      </c>
      <c r="BB23" s="1826">
        <v>3194087</v>
      </c>
    </row>
    <row r="24" spans="1:84" s="1783" customFormat="1" x14ac:dyDescent="0.25">
      <c r="A24" s="1780"/>
      <c r="B24" s="1800"/>
      <c r="C24" s="1800"/>
      <c r="D24" s="23" t="s">
        <v>745</v>
      </c>
      <c r="E24" s="1822">
        <v>101</v>
      </c>
      <c r="F24" s="1386">
        <v>14</v>
      </c>
      <c r="G24" s="1386">
        <v>171</v>
      </c>
      <c r="H24" s="1386">
        <v>109</v>
      </c>
      <c r="I24" s="1386">
        <v>59</v>
      </c>
      <c r="J24" s="1386">
        <v>34</v>
      </c>
      <c r="K24" s="1386">
        <v>26</v>
      </c>
      <c r="L24" s="1386">
        <v>26</v>
      </c>
      <c r="M24" s="1386">
        <v>213</v>
      </c>
      <c r="N24" s="1822">
        <v>753</v>
      </c>
      <c r="O24" s="1822">
        <v>76</v>
      </c>
      <c r="P24" s="1386">
        <v>8</v>
      </c>
      <c r="Q24" s="1386">
        <v>147</v>
      </c>
      <c r="R24" s="1386">
        <v>86</v>
      </c>
      <c r="S24" s="1386">
        <v>47</v>
      </c>
      <c r="T24" s="1386">
        <v>27</v>
      </c>
      <c r="U24" s="1386">
        <v>19</v>
      </c>
      <c r="V24" s="1386">
        <v>17</v>
      </c>
      <c r="W24" s="1386">
        <v>160</v>
      </c>
      <c r="X24" s="1822">
        <v>587</v>
      </c>
      <c r="Y24" s="1822">
        <v>62</v>
      </c>
      <c r="Z24" s="1386">
        <v>6</v>
      </c>
      <c r="AA24" s="1386">
        <v>109</v>
      </c>
      <c r="AB24" s="1386">
        <v>58</v>
      </c>
      <c r="AC24" s="1386">
        <v>29</v>
      </c>
      <c r="AD24" s="1386">
        <v>17</v>
      </c>
      <c r="AE24" s="1386">
        <v>16</v>
      </c>
      <c r="AF24" s="1386">
        <v>12</v>
      </c>
      <c r="AG24" s="1386">
        <v>120</v>
      </c>
      <c r="AH24" s="1823">
        <v>429</v>
      </c>
      <c r="AI24" s="1824">
        <v>47</v>
      </c>
      <c r="AJ24" s="1386">
        <v>5</v>
      </c>
      <c r="AK24" s="1386">
        <v>89</v>
      </c>
      <c r="AL24" s="1386">
        <v>38</v>
      </c>
      <c r="AM24" s="1386">
        <v>21</v>
      </c>
      <c r="AN24" s="1386">
        <v>14</v>
      </c>
      <c r="AO24" s="1386">
        <v>11</v>
      </c>
      <c r="AP24" s="1386">
        <v>9</v>
      </c>
      <c r="AQ24" s="1386">
        <v>92</v>
      </c>
      <c r="AR24" s="1823">
        <v>326</v>
      </c>
      <c r="AS24" s="1386">
        <v>40</v>
      </c>
      <c r="AT24" s="1386">
        <v>2</v>
      </c>
      <c r="AU24" s="1824">
        <v>66</v>
      </c>
      <c r="AV24" s="1386">
        <v>30</v>
      </c>
      <c r="AW24" s="1386">
        <v>14</v>
      </c>
      <c r="AX24" s="1824">
        <v>13</v>
      </c>
      <c r="AY24" s="1386">
        <v>6</v>
      </c>
      <c r="AZ24" s="1386">
        <v>8</v>
      </c>
      <c r="BA24" s="1825">
        <v>66</v>
      </c>
      <c r="BB24" s="1826">
        <v>245</v>
      </c>
    </row>
    <row r="25" spans="1:84" s="1783" customFormat="1" x14ac:dyDescent="0.25">
      <c r="A25" s="1780"/>
      <c r="B25" s="1800"/>
      <c r="C25" s="1800"/>
      <c r="D25" s="23" t="s">
        <v>731</v>
      </c>
      <c r="E25" s="1822">
        <v>190620</v>
      </c>
      <c r="F25" s="1386">
        <v>95760</v>
      </c>
      <c r="G25" s="1386">
        <v>120838</v>
      </c>
      <c r="H25" s="1386">
        <v>325459</v>
      </c>
      <c r="I25" s="1386">
        <v>88040</v>
      </c>
      <c r="J25" s="1386">
        <v>82084</v>
      </c>
      <c r="K25" s="1386">
        <v>89784</v>
      </c>
      <c r="L25" s="1386">
        <v>47920</v>
      </c>
      <c r="M25" s="1386">
        <v>157626</v>
      </c>
      <c r="N25" s="1822">
        <v>1198131</v>
      </c>
      <c r="O25" s="1822">
        <v>185541</v>
      </c>
      <c r="P25" s="1386">
        <v>86310</v>
      </c>
      <c r="Q25" s="1386">
        <v>123247</v>
      </c>
      <c r="R25" s="1386">
        <v>311402</v>
      </c>
      <c r="S25" s="1386">
        <v>89155</v>
      </c>
      <c r="T25" s="1386">
        <v>80824</v>
      </c>
      <c r="U25" s="1386">
        <v>85867</v>
      </c>
      <c r="V25" s="1386">
        <v>50012</v>
      </c>
      <c r="W25" s="1386">
        <v>151834</v>
      </c>
      <c r="X25" s="1822">
        <v>1164192</v>
      </c>
      <c r="Y25" s="1822">
        <v>179712</v>
      </c>
      <c r="Z25" s="1386">
        <v>80203</v>
      </c>
      <c r="AA25" s="1386">
        <v>112822</v>
      </c>
      <c r="AB25" s="1386">
        <v>296133</v>
      </c>
      <c r="AC25" s="1386">
        <v>91357</v>
      </c>
      <c r="AD25" s="1386">
        <v>77258</v>
      </c>
      <c r="AE25" s="1386">
        <v>85854</v>
      </c>
      <c r="AF25" s="1386">
        <v>48201</v>
      </c>
      <c r="AG25" s="1386">
        <v>148879</v>
      </c>
      <c r="AH25" s="1823">
        <v>1120419</v>
      </c>
      <c r="AI25" s="1824">
        <v>182479</v>
      </c>
      <c r="AJ25" s="1386">
        <v>75526</v>
      </c>
      <c r="AK25" s="1386">
        <v>106015</v>
      </c>
      <c r="AL25" s="1386">
        <v>284574</v>
      </c>
      <c r="AM25" s="1386">
        <v>93428</v>
      </c>
      <c r="AN25" s="1386">
        <v>78487</v>
      </c>
      <c r="AO25" s="1386">
        <v>85517</v>
      </c>
      <c r="AP25" s="1386">
        <v>50787</v>
      </c>
      <c r="AQ25" s="1386">
        <v>155850</v>
      </c>
      <c r="AR25" s="1823">
        <v>1112663</v>
      </c>
      <c r="AS25" s="1386">
        <v>181263</v>
      </c>
      <c r="AT25" s="1401">
        <v>73915</v>
      </c>
      <c r="AU25" s="1827">
        <v>111438</v>
      </c>
      <c r="AV25" s="1401">
        <v>262512</v>
      </c>
      <c r="AW25" s="1401">
        <v>95658</v>
      </c>
      <c r="AX25" s="1827">
        <v>77577</v>
      </c>
      <c r="AY25" s="1401">
        <v>82305</v>
      </c>
      <c r="AZ25" s="1401">
        <v>49580</v>
      </c>
      <c r="BA25" s="1825">
        <v>151293</v>
      </c>
      <c r="BB25" s="1828">
        <v>1085541</v>
      </c>
    </row>
    <row r="26" spans="1:84" s="1783" customFormat="1" x14ac:dyDescent="0.25">
      <c r="A26" s="1780"/>
      <c r="B26" s="1800"/>
      <c r="C26" s="1800"/>
      <c r="D26" s="1829" t="s">
        <v>746</v>
      </c>
      <c r="E26" s="1830">
        <v>182989</v>
      </c>
      <c r="F26" s="1831">
        <v>72699</v>
      </c>
      <c r="G26" s="1831">
        <v>96038</v>
      </c>
      <c r="H26" s="1831">
        <v>244738</v>
      </c>
      <c r="I26" s="1831">
        <v>71883</v>
      </c>
      <c r="J26" s="1831">
        <v>65764</v>
      </c>
      <c r="K26" s="1831">
        <v>73328</v>
      </c>
      <c r="L26" s="1831">
        <v>36348</v>
      </c>
      <c r="M26" s="1831">
        <v>111815</v>
      </c>
      <c r="N26" s="1832">
        <v>955602</v>
      </c>
      <c r="O26" s="1830">
        <v>179088</v>
      </c>
      <c r="P26" s="1831">
        <v>69381</v>
      </c>
      <c r="Q26" s="1831">
        <v>100269</v>
      </c>
      <c r="R26" s="1831">
        <v>241000</v>
      </c>
      <c r="S26" s="1831">
        <v>73148</v>
      </c>
      <c r="T26" s="1831">
        <v>65906</v>
      </c>
      <c r="U26" s="1831">
        <v>70186</v>
      </c>
      <c r="V26" s="1831">
        <v>36451</v>
      </c>
      <c r="W26" s="1831">
        <v>112513</v>
      </c>
      <c r="X26" s="1832">
        <v>947942</v>
      </c>
      <c r="Y26" s="1830">
        <v>173429</v>
      </c>
      <c r="Z26" s="1831">
        <v>64332</v>
      </c>
      <c r="AA26" s="1831">
        <v>87136</v>
      </c>
      <c r="AB26" s="1831">
        <v>228690</v>
      </c>
      <c r="AC26" s="1831">
        <v>74846</v>
      </c>
      <c r="AD26" s="1831">
        <v>63202</v>
      </c>
      <c r="AE26" s="1831">
        <v>68581</v>
      </c>
      <c r="AF26" s="1831">
        <v>33009</v>
      </c>
      <c r="AG26" s="1831">
        <v>113734</v>
      </c>
      <c r="AH26" s="1833">
        <v>906959</v>
      </c>
      <c r="AI26" s="1830">
        <v>174036</v>
      </c>
      <c r="AJ26" s="1831">
        <v>62627</v>
      </c>
      <c r="AK26" s="1831">
        <v>78902</v>
      </c>
      <c r="AL26" s="1831">
        <v>221927</v>
      </c>
      <c r="AM26" s="1831">
        <v>76877</v>
      </c>
      <c r="AN26" s="1831">
        <v>64365</v>
      </c>
      <c r="AO26" s="1831">
        <v>68471</v>
      </c>
      <c r="AP26" s="1831">
        <v>34277</v>
      </c>
      <c r="AQ26" s="1831">
        <v>115396</v>
      </c>
      <c r="AR26" s="1834">
        <v>896878</v>
      </c>
      <c r="AS26" s="1831">
        <v>172922</v>
      </c>
      <c r="AT26" s="1825">
        <v>62052</v>
      </c>
      <c r="AU26" s="1835">
        <v>82572</v>
      </c>
      <c r="AV26" s="1825">
        <v>209914</v>
      </c>
      <c r="AW26" s="1835">
        <v>78053</v>
      </c>
      <c r="AX26" s="1825">
        <v>63846</v>
      </c>
      <c r="AY26" s="1835">
        <v>65200</v>
      </c>
      <c r="AZ26" s="1825">
        <v>34583</v>
      </c>
      <c r="BA26" s="1831">
        <v>114119</v>
      </c>
      <c r="BB26" s="1836">
        <v>883261</v>
      </c>
    </row>
    <row r="27" spans="1:84" s="1783" customFormat="1" x14ac:dyDescent="0.25">
      <c r="A27" s="1780"/>
      <c r="B27" s="1800"/>
      <c r="C27" s="1800"/>
      <c r="D27" s="1837" t="s">
        <v>747</v>
      </c>
      <c r="E27" s="1838">
        <v>7631</v>
      </c>
      <c r="F27" s="1839">
        <v>23061</v>
      </c>
      <c r="G27" s="1839">
        <v>24800</v>
      </c>
      <c r="H27" s="1839">
        <v>80721</v>
      </c>
      <c r="I27" s="1839">
        <v>16157</v>
      </c>
      <c r="J27" s="1839">
        <v>16320</v>
      </c>
      <c r="K27" s="1839">
        <v>16456</v>
      </c>
      <c r="L27" s="1839">
        <v>11572</v>
      </c>
      <c r="M27" s="1839">
        <v>45811</v>
      </c>
      <c r="N27" s="1827">
        <v>242529</v>
      </c>
      <c r="O27" s="1838">
        <v>6453</v>
      </c>
      <c r="P27" s="1839">
        <v>16929</v>
      </c>
      <c r="Q27" s="1839">
        <v>22978</v>
      </c>
      <c r="R27" s="1839">
        <v>70402</v>
      </c>
      <c r="S27" s="1839">
        <v>16007</v>
      </c>
      <c r="T27" s="1839">
        <v>14918</v>
      </c>
      <c r="U27" s="1839">
        <v>15681</v>
      </c>
      <c r="V27" s="1839">
        <v>13561</v>
      </c>
      <c r="W27" s="1839">
        <v>39321</v>
      </c>
      <c r="X27" s="1827">
        <v>216250</v>
      </c>
      <c r="Y27" s="1838">
        <v>6283</v>
      </c>
      <c r="Z27" s="1839">
        <v>15871</v>
      </c>
      <c r="AA27" s="1839">
        <v>25686</v>
      </c>
      <c r="AB27" s="1839">
        <v>67443</v>
      </c>
      <c r="AC27" s="1839">
        <v>16511</v>
      </c>
      <c r="AD27" s="1839">
        <v>14056</v>
      </c>
      <c r="AE27" s="1839">
        <v>17273</v>
      </c>
      <c r="AF27" s="1839">
        <v>15192</v>
      </c>
      <c r="AG27" s="1839">
        <v>35145</v>
      </c>
      <c r="AH27" s="1823">
        <v>213460</v>
      </c>
      <c r="AI27" s="1838">
        <v>8443</v>
      </c>
      <c r="AJ27" s="1839">
        <v>12899</v>
      </c>
      <c r="AK27" s="1839">
        <v>27113</v>
      </c>
      <c r="AL27" s="1839">
        <v>62647</v>
      </c>
      <c r="AM27" s="1839">
        <v>16551</v>
      </c>
      <c r="AN27" s="1839">
        <v>14122</v>
      </c>
      <c r="AO27" s="1839">
        <v>17046</v>
      </c>
      <c r="AP27" s="1839">
        <v>16510</v>
      </c>
      <c r="AQ27" s="1839">
        <v>40454</v>
      </c>
      <c r="AR27" s="1840">
        <v>215785</v>
      </c>
      <c r="AS27" s="1839">
        <v>8341</v>
      </c>
      <c r="AT27" s="1840">
        <v>11863</v>
      </c>
      <c r="AU27" s="1839">
        <v>28866</v>
      </c>
      <c r="AV27" s="1840">
        <v>52598</v>
      </c>
      <c r="AW27" s="1839">
        <v>17605</v>
      </c>
      <c r="AX27" s="1840">
        <v>13731</v>
      </c>
      <c r="AY27" s="1839">
        <v>17105</v>
      </c>
      <c r="AZ27" s="1840">
        <v>14997</v>
      </c>
      <c r="BA27" s="1839">
        <v>37174</v>
      </c>
      <c r="BB27" s="1841">
        <v>202280</v>
      </c>
    </row>
    <row r="28" spans="1:84" s="1783" customFormat="1" x14ac:dyDescent="0.25">
      <c r="A28" s="1780"/>
      <c r="B28" s="1800"/>
      <c r="C28" s="1800"/>
      <c r="D28" s="23" t="s">
        <v>748</v>
      </c>
      <c r="E28" s="1822">
        <v>8488</v>
      </c>
      <c r="F28" s="1386">
        <v>1035</v>
      </c>
      <c r="G28" s="1386">
        <v>1297</v>
      </c>
      <c r="H28" s="1386">
        <v>28077</v>
      </c>
      <c r="I28" s="1386">
        <v>8895</v>
      </c>
      <c r="J28" s="1386">
        <v>2185</v>
      </c>
      <c r="K28" s="1386">
        <v>3376</v>
      </c>
      <c r="L28" s="1386">
        <v>4092</v>
      </c>
      <c r="M28" s="1386">
        <v>9048</v>
      </c>
      <c r="N28" s="1822">
        <v>66493</v>
      </c>
      <c r="O28" s="1822">
        <v>9545</v>
      </c>
      <c r="P28" s="1386">
        <v>1199</v>
      </c>
      <c r="Q28" s="1386">
        <v>1655</v>
      </c>
      <c r="R28" s="1386">
        <v>29190</v>
      </c>
      <c r="S28" s="1386">
        <v>11321</v>
      </c>
      <c r="T28" s="1386">
        <v>2883</v>
      </c>
      <c r="U28" s="1386">
        <v>4092</v>
      </c>
      <c r="V28" s="1386">
        <v>4214</v>
      </c>
      <c r="W28" s="1386">
        <v>9620</v>
      </c>
      <c r="X28" s="1822">
        <v>73719</v>
      </c>
      <c r="Y28" s="1822">
        <v>12145</v>
      </c>
      <c r="Z28" s="1386">
        <v>1543</v>
      </c>
      <c r="AA28" s="1386">
        <v>2168</v>
      </c>
      <c r="AB28" s="1386">
        <v>30652</v>
      </c>
      <c r="AC28" s="1386">
        <v>13048</v>
      </c>
      <c r="AD28" s="1386">
        <v>3572</v>
      </c>
      <c r="AE28" s="1386">
        <v>5142</v>
      </c>
      <c r="AF28" s="1386">
        <v>4755</v>
      </c>
      <c r="AG28" s="1386">
        <v>10034</v>
      </c>
      <c r="AH28" s="1833">
        <v>83059</v>
      </c>
      <c r="AI28" s="1824">
        <v>16391</v>
      </c>
      <c r="AJ28" s="1386">
        <v>2095</v>
      </c>
      <c r="AK28" s="1386">
        <v>2989</v>
      </c>
      <c r="AL28" s="1386">
        <v>39333</v>
      </c>
      <c r="AM28" s="1386">
        <v>21228</v>
      </c>
      <c r="AN28" s="1386">
        <v>5154</v>
      </c>
      <c r="AO28" s="1386">
        <v>7217</v>
      </c>
      <c r="AP28" s="1386">
        <v>6587</v>
      </c>
      <c r="AQ28" s="1386">
        <v>12093</v>
      </c>
      <c r="AR28" s="1823">
        <v>113087</v>
      </c>
      <c r="AS28" s="1386">
        <v>18671</v>
      </c>
      <c r="AT28" s="1823">
        <v>2777</v>
      </c>
      <c r="AU28" s="1386">
        <v>4358</v>
      </c>
      <c r="AV28" s="1823">
        <v>47109</v>
      </c>
      <c r="AW28" s="1386">
        <v>28349</v>
      </c>
      <c r="AX28" s="1823">
        <v>7121</v>
      </c>
      <c r="AY28" s="1386">
        <v>8134</v>
      </c>
      <c r="AZ28" s="1823">
        <v>7311</v>
      </c>
      <c r="BA28" s="1386">
        <v>13976</v>
      </c>
      <c r="BB28" s="1842">
        <v>137806</v>
      </c>
    </row>
    <row r="29" spans="1:84" s="1783" customFormat="1" x14ac:dyDescent="0.25">
      <c r="A29" s="1780"/>
      <c r="B29" s="1800"/>
      <c r="C29" s="1800"/>
      <c r="D29" s="23" t="s">
        <v>733</v>
      </c>
      <c r="E29" s="1822">
        <v>116826</v>
      </c>
      <c r="F29" s="1386">
        <v>43311</v>
      </c>
      <c r="G29" s="1386">
        <v>56451</v>
      </c>
      <c r="H29" s="1386">
        <v>142114</v>
      </c>
      <c r="I29" s="1386">
        <v>56066</v>
      </c>
      <c r="J29" s="1386">
        <v>32886</v>
      </c>
      <c r="K29" s="1386">
        <v>45634</v>
      </c>
      <c r="L29" s="1386">
        <v>14456</v>
      </c>
      <c r="M29" s="1386">
        <v>29003</v>
      </c>
      <c r="N29" s="1822">
        <v>536747</v>
      </c>
      <c r="O29" s="1822">
        <v>117231</v>
      </c>
      <c r="P29" s="1386">
        <v>41317</v>
      </c>
      <c r="Q29" s="1386">
        <v>58722</v>
      </c>
      <c r="R29" s="1386">
        <v>135442</v>
      </c>
      <c r="S29" s="1386">
        <v>58953</v>
      </c>
      <c r="T29" s="1386">
        <v>35359</v>
      </c>
      <c r="U29" s="1386">
        <v>42215</v>
      </c>
      <c r="V29" s="1386">
        <v>14342</v>
      </c>
      <c r="W29" s="1386">
        <v>28578</v>
      </c>
      <c r="X29" s="1822">
        <v>532159</v>
      </c>
      <c r="Y29" s="1822">
        <v>116172</v>
      </c>
      <c r="Z29" s="1386">
        <v>39178</v>
      </c>
      <c r="AA29" s="1386">
        <v>55027</v>
      </c>
      <c r="AB29" s="1386">
        <v>125702</v>
      </c>
      <c r="AC29" s="1386">
        <v>58571</v>
      </c>
      <c r="AD29" s="1386">
        <v>33877</v>
      </c>
      <c r="AE29" s="1386">
        <v>40726</v>
      </c>
      <c r="AF29" s="1386">
        <v>14307</v>
      </c>
      <c r="AG29" s="1386">
        <v>28495</v>
      </c>
      <c r="AH29" s="1823">
        <v>512055</v>
      </c>
      <c r="AI29" s="1824">
        <v>115849</v>
      </c>
      <c r="AJ29" s="1386">
        <v>37985</v>
      </c>
      <c r="AK29" s="1386">
        <v>53411</v>
      </c>
      <c r="AL29" s="1386">
        <v>118505</v>
      </c>
      <c r="AM29" s="1386">
        <v>57694</v>
      </c>
      <c r="AN29" s="1386">
        <v>34260</v>
      </c>
      <c r="AO29" s="1386">
        <v>37984</v>
      </c>
      <c r="AP29" s="1386">
        <v>14513</v>
      </c>
      <c r="AQ29" s="1386">
        <v>29573</v>
      </c>
      <c r="AR29" s="1823">
        <v>499774</v>
      </c>
      <c r="AS29" s="1386">
        <v>110007</v>
      </c>
      <c r="AT29" s="1823">
        <v>35426</v>
      </c>
      <c r="AU29" s="1386">
        <v>51568</v>
      </c>
      <c r="AV29" s="1823">
        <v>106755</v>
      </c>
      <c r="AW29" s="1386">
        <v>52272</v>
      </c>
      <c r="AX29" s="1823">
        <v>33735</v>
      </c>
      <c r="AY29" s="1386">
        <v>36001</v>
      </c>
      <c r="AZ29" s="1823">
        <v>14075</v>
      </c>
      <c r="BA29" s="1386">
        <v>30176</v>
      </c>
      <c r="BB29" s="1842">
        <v>470015</v>
      </c>
    </row>
    <row r="30" spans="1:84" s="1783" customFormat="1" x14ac:dyDescent="0.25">
      <c r="A30" s="1780"/>
      <c r="B30" s="1800"/>
      <c r="C30" s="1800"/>
      <c r="D30" s="23" t="s">
        <v>734</v>
      </c>
      <c r="E30" s="1843">
        <v>18235</v>
      </c>
      <c r="F30" s="1386">
        <v>5419</v>
      </c>
      <c r="G30" s="1386">
        <v>14170</v>
      </c>
      <c r="H30" s="1386">
        <v>34969</v>
      </c>
      <c r="I30" s="1386">
        <v>11318</v>
      </c>
      <c r="J30" s="1386">
        <v>7950</v>
      </c>
      <c r="K30" s="1386">
        <v>8736</v>
      </c>
      <c r="L30" s="1386">
        <v>4236</v>
      </c>
      <c r="M30" s="1386">
        <v>9960</v>
      </c>
      <c r="N30" s="1822">
        <v>114993</v>
      </c>
      <c r="O30" s="1843">
        <v>18429</v>
      </c>
      <c r="P30" s="1386">
        <v>5864</v>
      </c>
      <c r="Q30" s="1386">
        <v>15783</v>
      </c>
      <c r="R30" s="1386">
        <v>36012</v>
      </c>
      <c r="S30" s="1386">
        <v>11913</v>
      </c>
      <c r="T30" s="1386">
        <v>8652</v>
      </c>
      <c r="U30" s="1386">
        <v>8339</v>
      </c>
      <c r="V30" s="1386">
        <v>4485</v>
      </c>
      <c r="W30" s="1386">
        <v>10791</v>
      </c>
      <c r="X30" s="1822">
        <v>120268</v>
      </c>
      <c r="Y30" s="1843">
        <v>18199</v>
      </c>
      <c r="Z30" s="1386">
        <v>6146</v>
      </c>
      <c r="AA30" s="1386">
        <v>15428</v>
      </c>
      <c r="AB30" s="1386">
        <v>35392</v>
      </c>
      <c r="AC30" s="1386">
        <v>12559</v>
      </c>
      <c r="AD30" s="1386">
        <v>8807</v>
      </c>
      <c r="AE30" s="1386">
        <v>8463</v>
      </c>
      <c r="AF30" s="1386">
        <v>4610</v>
      </c>
      <c r="AG30" s="1386">
        <v>11028</v>
      </c>
      <c r="AH30" s="1823">
        <v>120632</v>
      </c>
      <c r="AI30" s="1844">
        <v>19165</v>
      </c>
      <c r="AJ30" s="1386">
        <v>6385</v>
      </c>
      <c r="AK30" s="1386">
        <v>16170</v>
      </c>
      <c r="AL30" s="1386">
        <v>36471</v>
      </c>
      <c r="AM30" s="1386">
        <v>13266</v>
      </c>
      <c r="AN30" s="1386">
        <v>9572</v>
      </c>
      <c r="AO30" s="1386">
        <v>8940</v>
      </c>
      <c r="AP30" s="1386">
        <v>4787</v>
      </c>
      <c r="AQ30" s="1386">
        <v>12021</v>
      </c>
      <c r="AR30" s="1823">
        <v>126777</v>
      </c>
      <c r="AS30" s="1386">
        <v>19671</v>
      </c>
      <c r="AT30" s="1823">
        <v>6759</v>
      </c>
      <c r="AU30" s="1386">
        <v>16916</v>
      </c>
      <c r="AV30" s="1823">
        <v>37148</v>
      </c>
      <c r="AW30" s="1386">
        <v>13850</v>
      </c>
      <c r="AX30" s="1823">
        <v>9928</v>
      </c>
      <c r="AY30" s="1386">
        <v>9122</v>
      </c>
      <c r="AZ30" s="1823">
        <v>5020</v>
      </c>
      <c r="BA30" s="1386">
        <v>12626</v>
      </c>
      <c r="BB30" s="1842">
        <v>131040</v>
      </c>
    </row>
    <row r="31" spans="1:84" s="1783" customFormat="1" x14ac:dyDescent="0.25">
      <c r="A31" s="1"/>
      <c r="B31" s="1800"/>
      <c r="C31" s="1800"/>
      <c r="D31" s="23" t="s">
        <v>735</v>
      </c>
      <c r="E31" s="1822">
        <v>1837801</v>
      </c>
      <c r="F31" s="1386">
        <v>617311</v>
      </c>
      <c r="G31" s="1386">
        <v>1387159</v>
      </c>
      <c r="H31" s="1386">
        <v>2726635</v>
      </c>
      <c r="I31" s="1386">
        <v>1497044</v>
      </c>
      <c r="J31" s="1386">
        <v>1008223</v>
      </c>
      <c r="K31" s="1386">
        <v>793189</v>
      </c>
      <c r="L31" s="1386">
        <v>262488</v>
      </c>
      <c r="M31" s="1386">
        <v>797881</v>
      </c>
      <c r="N31" s="1822">
        <v>10927731</v>
      </c>
      <c r="O31" s="1822">
        <v>1843684</v>
      </c>
      <c r="P31" s="1386">
        <v>637075</v>
      </c>
      <c r="Q31" s="1386">
        <v>1581756</v>
      </c>
      <c r="R31" s="1386">
        <v>2746888</v>
      </c>
      <c r="S31" s="1386">
        <v>1588489</v>
      </c>
      <c r="T31" s="1386">
        <v>1051626</v>
      </c>
      <c r="U31" s="1386">
        <v>751195</v>
      </c>
      <c r="V31" s="1386">
        <v>277835</v>
      </c>
      <c r="W31" s="1386">
        <v>863440</v>
      </c>
      <c r="X31" s="1822">
        <v>11341988</v>
      </c>
      <c r="Y31" s="1845">
        <v>1777042</v>
      </c>
      <c r="Z31" s="1401">
        <v>630717</v>
      </c>
      <c r="AA31" s="1401">
        <v>1548796</v>
      </c>
      <c r="AB31" s="1401">
        <v>2662100</v>
      </c>
      <c r="AC31" s="1401">
        <v>1626113</v>
      </c>
      <c r="AD31" s="1401">
        <v>984641</v>
      </c>
      <c r="AE31" s="1401">
        <v>754935</v>
      </c>
      <c r="AF31" s="1401">
        <v>275849</v>
      </c>
      <c r="AG31" s="1401">
        <v>865753</v>
      </c>
      <c r="AH31" s="1823">
        <v>11125946</v>
      </c>
      <c r="AI31" s="1827">
        <v>1856250</v>
      </c>
      <c r="AJ31" s="1401">
        <v>656464</v>
      </c>
      <c r="AK31" s="1401">
        <v>1657061</v>
      </c>
      <c r="AL31" s="1401">
        <v>2775481</v>
      </c>
      <c r="AM31" s="1401">
        <v>1699494</v>
      </c>
      <c r="AN31" s="1401">
        <v>1034942</v>
      </c>
      <c r="AO31" s="1401">
        <v>797289</v>
      </c>
      <c r="AP31" s="1401">
        <v>290497</v>
      </c>
      <c r="AQ31" s="1401">
        <v>935687</v>
      </c>
      <c r="AR31" s="1846">
        <v>11703165</v>
      </c>
      <c r="AS31" s="1846">
        <v>1875603</v>
      </c>
      <c r="AT31" s="1846">
        <v>669854</v>
      </c>
      <c r="AU31" s="1846">
        <v>1727620</v>
      </c>
      <c r="AV31" s="1846">
        <v>2815815</v>
      </c>
      <c r="AW31" s="1846">
        <v>1749230</v>
      </c>
      <c r="AX31" s="1846">
        <v>1053716</v>
      </c>
      <c r="AY31" s="1846">
        <v>817437</v>
      </c>
      <c r="AZ31" s="1846">
        <v>297280</v>
      </c>
      <c r="BA31" s="1846">
        <v>966345</v>
      </c>
      <c r="BB31" s="1847">
        <v>11972900</v>
      </c>
    </row>
    <row r="32" spans="1:84" x14ac:dyDescent="0.25">
      <c r="D32" s="36" t="s">
        <v>749</v>
      </c>
      <c r="E32" s="1848">
        <v>2244303</v>
      </c>
      <c r="F32" s="1849">
        <v>723698</v>
      </c>
      <c r="G32" s="1849">
        <v>1406445</v>
      </c>
      <c r="H32" s="1849">
        <v>2931722</v>
      </c>
      <c r="I32" s="1849">
        <v>1751512</v>
      </c>
      <c r="J32" s="1849">
        <v>901386</v>
      </c>
      <c r="K32" s="1849">
        <v>1001629</v>
      </c>
      <c r="L32" s="1849">
        <v>232102</v>
      </c>
      <c r="M32" s="1849">
        <v>790344</v>
      </c>
      <c r="N32" s="1848">
        <v>11983141</v>
      </c>
      <c r="O32" s="1848">
        <v>2244303</v>
      </c>
      <c r="P32" s="1849">
        <v>723698</v>
      </c>
      <c r="Q32" s="1849">
        <v>1406445</v>
      </c>
      <c r="R32" s="1849">
        <v>2931722</v>
      </c>
      <c r="S32" s="1849">
        <v>1751512</v>
      </c>
      <c r="T32" s="1849">
        <v>901386</v>
      </c>
      <c r="U32" s="1849">
        <v>1001629</v>
      </c>
      <c r="V32" s="1849">
        <v>232102</v>
      </c>
      <c r="W32" s="1849">
        <v>790344</v>
      </c>
      <c r="X32" s="1848">
        <v>11983141</v>
      </c>
      <c r="Y32" s="1850"/>
      <c r="Z32" s="1764"/>
      <c r="AA32" s="1764"/>
      <c r="AB32" s="1792"/>
      <c r="AC32" s="1792"/>
      <c r="AD32" s="1851"/>
      <c r="AE32" s="1851"/>
      <c r="AF32" s="1851"/>
      <c r="AH32" s="1852"/>
    </row>
    <row r="33" spans="1:54" x14ac:dyDescent="0.25">
      <c r="D33" s="36" t="s">
        <v>750</v>
      </c>
      <c r="E33" s="1848">
        <v>2228201</v>
      </c>
      <c r="F33" s="1849">
        <v>752763</v>
      </c>
      <c r="G33" s="1849">
        <v>1450009</v>
      </c>
      <c r="H33" s="1849">
        <v>3119502</v>
      </c>
      <c r="I33" s="1849">
        <v>1802325</v>
      </c>
      <c r="J33" s="1849">
        <v>924958</v>
      </c>
      <c r="K33" s="1849">
        <v>982904</v>
      </c>
      <c r="L33" s="1849">
        <v>303974</v>
      </c>
      <c r="M33" s="1849">
        <v>821760</v>
      </c>
      <c r="N33" s="1848">
        <v>12386396</v>
      </c>
      <c r="O33" s="1848">
        <v>2228201</v>
      </c>
      <c r="P33" s="1849">
        <v>752763</v>
      </c>
      <c r="Q33" s="1849">
        <v>1450009</v>
      </c>
      <c r="R33" s="1849">
        <v>3119502</v>
      </c>
      <c r="S33" s="1849">
        <v>1802325</v>
      </c>
      <c r="T33" s="1849">
        <v>924958</v>
      </c>
      <c r="U33" s="1849">
        <v>982904</v>
      </c>
      <c r="V33" s="1849">
        <v>303974</v>
      </c>
      <c r="W33" s="1849">
        <v>821760</v>
      </c>
      <c r="X33" s="1848">
        <v>12386396</v>
      </c>
      <c r="Y33" s="1850"/>
      <c r="Z33" s="1764"/>
      <c r="AA33" s="1764"/>
      <c r="AB33" s="722"/>
      <c r="AC33" s="722"/>
      <c r="AD33" s="1765"/>
    </row>
    <row r="34" spans="1:54" x14ac:dyDescent="0.25">
      <c r="D34" s="36" t="s">
        <v>751</v>
      </c>
      <c r="E34" s="1848">
        <v>2325456</v>
      </c>
      <c r="F34" s="1849">
        <v>752694</v>
      </c>
      <c r="G34" s="1849">
        <v>1530018</v>
      </c>
      <c r="H34" s="1849">
        <v>3302953</v>
      </c>
      <c r="I34" s="1849">
        <v>1905435</v>
      </c>
      <c r="J34" s="1849">
        <v>974645</v>
      </c>
      <c r="K34" s="1849">
        <v>1020906</v>
      </c>
      <c r="L34" s="1849">
        <v>329367</v>
      </c>
      <c r="M34" s="1849">
        <v>884630</v>
      </c>
      <c r="N34" s="1848">
        <v>13026104</v>
      </c>
      <c r="O34" s="1848">
        <v>2325456</v>
      </c>
      <c r="P34" s="1849">
        <v>752694</v>
      </c>
      <c r="Q34" s="1849">
        <v>1530018</v>
      </c>
      <c r="R34" s="1849">
        <v>3302953</v>
      </c>
      <c r="S34" s="1849">
        <v>1905435</v>
      </c>
      <c r="T34" s="1849">
        <v>974645</v>
      </c>
      <c r="U34" s="1849">
        <v>1020906</v>
      </c>
      <c r="V34" s="1849">
        <v>329367</v>
      </c>
      <c r="W34" s="1849">
        <v>884630</v>
      </c>
      <c r="X34" s="1848">
        <v>13026104</v>
      </c>
      <c r="Y34" s="1850"/>
      <c r="Z34" s="1764"/>
      <c r="AA34" s="1764"/>
      <c r="AB34" s="722"/>
      <c r="AC34" s="722"/>
      <c r="AD34" s="1765"/>
    </row>
    <row r="35" spans="1:54" x14ac:dyDescent="0.25">
      <c r="D35" s="36" t="s">
        <v>752</v>
      </c>
      <c r="E35" s="1848">
        <v>2459221</v>
      </c>
      <c r="F35" s="1849">
        <v>827557</v>
      </c>
      <c r="G35" s="1849">
        <v>1683849</v>
      </c>
      <c r="H35" s="1849">
        <v>3515750</v>
      </c>
      <c r="I35" s="1849">
        <v>2024072</v>
      </c>
      <c r="J35" s="1849">
        <v>1035313</v>
      </c>
      <c r="K35" s="1849">
        <v>1073507</v>
      </c>
      <c r="L35" s="1849">
        <v>356876</v>
      </c>
      <c r="M35" s="1849">
        <v>1027983</v>
      </c>
      <c r="N35" s="1848">
        <v>14004128</v>
      </c>
      <c r="O35" s="1848">
        <v>2459221</v>
      </c>
      <c r="P35" s="1849">
        <v>827557</v>
      </c>
      <c r="Q35" s="1849">
        <v>1683849</v>
      </c>
      <c r="R35" s="1849">
        <v>3515750</v>
      </c>
      <c r="S35" s="1849">
        <v>2024072</v>
      </c>
      <c r="T35" s="1849">
        <v>1035313</v>
      </c>
      <c r="U35" s="1849">
        <v>1073507</v>
      </c>
      <c r="V35" s="1849">
        <v>356876</v>
      </c>
      <c r="W35" s="1849">
        <v>1027983</v>
      </c>
      <c r="X35" s="1848">
        <v>14004128</v>
      </c>
      <c r="Y35" s="1850"/>
      <c r="Z35" s="1764"/>
      <c r="AA35" s="1764"/>
      <c r="AB35" s="722"/>
      <c r="AC35" s="722"/>
      <c r="AD35" s="1765"/>
    </row>
    <row r="36" spans="1:54" x14ac:dyDescent="0.25">
      <c r="D36" s="36" t="s">
        <v>753</v>
      </c>
      <c r="E36" s="1848">
        <v>2578175</v>
      </c>
      <c r="F36" s="1849">
        <v>889945</v>
      </c>
      <c r="G36" s="1849">
        <v>1824485</v>
      </c>
      <c r="H36" s="1849">
        <v>3684894</v>
      </c>
      <c r="I36" s="1849">
        <v>2155739</v>
      </c>
      <c r="J36" s="1849">
        <v>1095593</v>
      </c>
      <c r="K36" s="1849">
        <v>1117992</v>
      </c>
      <c r="L36" s="1849">
        <v>383581</v>
      </c>
      <c r="M36" s="1849">
        <v>1147015</v>
      </c>
      <c r="N36" s="1848">
        <v>14877419</v>
      </c>
      <c r="O36" s="1848">
        <v>2578175</v>
      </c>
      <c r="P36" s="1849">
        <v>889945</v>
      </c>
      <c r="Q36" s="1849">
        <v>1824485</v>
      </c>
      <c r="R36" s="1849">
        <v>3684894</v>
      </c>
      <c r="S36" s="1849">
        <v>2155739</v>
      </c>
      <c r="T36" s="1849">
        <v>1095593</v>
      </c>
      <c r="U36" s="1849">
        <v>1117992</v>
      </c>
      <c r="V36" s="1849">
        <v>383581</v>
      </c>
      <c r="W36" s="1849">
        <v>1147015</v>
      </c>
      <c r="X36" s="1848">
        <v>14877419</v>
      </c>
      <c r="Y36" s="1850"/>
      <c r="Z36" s="1764"/>
      <c r="AA36" s="1764"/>
      <c r="AB36" s="722"/>
      <c r="AC36" s="722"/>
      <c r="AD36" s="1765"/>
    </row>
    <row r="37" spans="1:54" x14ac:dyDescent="0.25">
      <c r="D37" s="36" t="s">
        <v>754</v>
      </c>
      <c r="E37" s="1848">
        <v>2655831</v>
      </c>
      <c r="F37" s="1849">
        <v>927143</v>
      </c>
      <c r="G37" s="1849">
        <v>1947105</v>
      </c>
      <c r="H37" s="1849">
        <v>3802326</v>
      </c>
      <c r="I37" s="1849">
        <v>2032310</v>
      </c>
      <c r="J37" s="1849">
        <v>1351097</v>
      </c>
      <c r="K37" s="1849">
        <v>1171874</v>
      </c>
      <c r="L37" s="1849">
        <v>400847</v>
      </c>
      <c r="M37" s="1849">
        <v>1240679</v>
      </c>
      <c r="N37" s="1848">
        <v>15529212</v>
      </c>
      <c r="O37" s="1848">
        <v>2655831</v>
      </c>
      <c r="P37" s="1849">
        <v>927143</v>
      </c>
      <c r="Q37" s="1849">
        <v>1947105</v>
      </c>
      <c r="R37" s="1849">
        <v>3802326</v>
      </c>
      <c r="S37" s="1849">
        <v>2032310</v>
      </c>
      <c r="T37" s="1849">
        <v>1351097</v>
      </c>
      <c r="U37" s="1849">
        <v>1171874</v>
      </c>
      <c r="V37" s="1849">
        <v>400847</v>
      </c>
      <c r="W37" s="1849">
        <v>1240679</v>
      </c>
      <c r="X37" s="1848">
        <v>15529212</v>
      </c>
      <c r="Y37" s="1850"/>
      <c r="Z37" s="1764"/>
      <c r="AA37" s="1764"/>
      <c r="AB37" s="722"/>
      <c r="AC37" s="722"/>
      <c r="AD37" s="1765"/>
    </row>
    <row r="38" spans="1:54" x14ac:dyDescent="0.25">
      <c r="D38" s="36" t="s">
        <v>755</v>
      </c>
      <c r="E38" s="1848">
        <v>2674573</v>
      </c>
      <c r="F38" s="1849">
        <v>942677</v>
      </c>
      <c r="G38" s="1849">
        <v>2204547</v>
      </c>
      <c r="H38" s="1849">
        <v>3820789</v>
      </c>
      <c r="I38" s="1849">
        <v>2143821</v>
      </c>
      <c r="J38" s="1849">
        <v>1403727</v>
      </c>
      <c r="K38" s="1849">
        <v>1104909</v>
      </c>
      <c r="L38" s="1849">
        <v>421610</v>
      </c>
      <c r="M38" s="1849">
        <v>1315738</v>
      </c>
      <c r="N38" s="1848">
        <v>16032391</v>
      </c>
      <c r="O38" s="1848">
        <v>2674573</v>
      </c>
      <c r="P38" s="1849">
        <v>942677</v>
      </c>
      <c r="Q38" s="1849">
        <v>2204547</v>
      </c>
      <c r="R38" s="1849">
        <v>3820789</v>
      </c>
      <c r="S38" s="1849">
        <v>2143821</v>
      </c>
      <c r="T38" s="1849">
        <v>1403727</v>
      </c>
      <c r="U38" s="1849">
        <v>1104909</v>
      </c>
      <c r="V38" s="1849">
        <v>421610</v>
      </c>
      <c r="W38" s="1849">
        <v>1315738</v>
      </c>
      <c r="X38" s="1848">
        <v>16032391</v>
      </c>
      <c r="Y38" s="1850"/>
      <c r="Z38" s="1764"/>
      <c r="AA38" s="1764"/>
      <c r="AB38" s="722"/>
      <c r="AC38" s="722"/>
      <c r="AD38" s="1765"/>
    </row>
    <row r="39" spans="1:54" x14ac:dyDescent="0.25">
      <c r="D39" s="36" t="s">
        <v>756</v>
      </c>
      <c r="E39" s="1848">
        <v>2608139</v>
      </c>
      <c r="F39" s="1849">
        <v>933223</v>
      </c>
      <c r="G39" s="1849">
        <v>2182025</v>
      </c>
      <c r="H39" s="1849">
        <v>3731010</v>
      </c>
      <c r="I39" s="1849">
        <v>2209682</v>
      </c>
      <c r="J39" s="1849">
        <v>1321645</v>
      </c>
      <c r="K39" s="1849">
        <v>1114892</v>
      </c>
      <c r="L39" s="1849">
        <v>420060</v>
      </c>
      <c r="M39" s="1849">
        <v>1328738</v>
      </c>
      <c r="N39" s="1848">
        <v>15849414</v>
      </c>
      <c r="O39" s="1848">
        <v>2608139</v>
      </c>
      <c r="P39" s="1849">
        <v>933223</v>
      </c>
      <c r="Q39" s="1849">
        <v>2182025</v>
      </c>
      <c r="R39" s="1849">
        <v>3731010</v>
      </c>
      <c r="S39" s="1849">
        <v>2209682</v>
      </c>
      <c r="T39" s="1849">
        <v>1321645</v>
      </c>
      <c r="U39" s="1849">
        <v>1114892</v>
      </c>
      <c r="V39" s="1849">
        <v>420060</v>
      </c>
      <c r="W39" s="1849">
        <v>1328738</v>
      </c>
      <c r="X39" s="1848">
        <v>15849414</v>
      </c>
      <c r="Y39" s="1850"/>
      <c r="Z39" s="1764"/>
      <c r="AA39" s="1764"/>
      <c r="AB39" s="722"/>
      <c r="AC39" s="722"/>
      <c r="AD39" s="1765"/>
    </row>
    <row r="40" spans="1:54" x14ac:dyDescent="0.25">
      <c r="D40" s="36" t="s">
        <v>757</v>
      </c>
      <c r="E40" s="1848">
        <v>2672661</v>
      </c>
      <c r="F40" s="1849">
        <v>950353</v>
      </c>
      <c r="G40" s="1849">
        <v>2254147</v>
      </c>
      <c r="H40" s="1849">
        <v>3816893</v>
      </c>
      <c r="I40" s="1849">
        <v>2263767</v>
      </c>
      <c r="J40" s="1849">
        <v>1359315</v>
      </c>
      <c r="K40" s="1849">
        <v>1144442</v>
      </c>
      <c r="L40" s="1849">
        <v>430598</v>
      </c>
      <c r="M40" s="1849">
        <v>1382395</v>
      </c>
      <c r="N40" s="1848">
        <v>16274571</v>
      </c>
      <c r="O40" s="1853">
        <v>2672661</v>
      </c>
      <c r="P40" s="1832">
        <v>950353</v>
      </c>
      <c r="Q40" s="1832">
        <v>2254147</v>
      </c>
      <c r="R40" s="1832">
        <v>3816893</v>
      </c>
      <c r="S40" s="1832">
        <v>2263767</v>
      </c>
      <c r="T40" s="1832">
        <v>1359315</v>
      </c>
      <c r="U40" s="1832">
        <v>1144442</v>
      </c>
      <c r="V40" s="1832">
        <v>430598</v>
      </c>
      <c r="W40" s="1832">
        <v>1382395</v>
      </c>
      <c r="X40" s="1853">
        <v>16274571</v>
      </c>
      <c r="Y40" s="1850"/>
      <c r="Z40" s="1764"/>
      <c r="AA40" s="1764"/>
      <c r="AB40" s="722"/>
      <c r="AC40" s="722"/>
      <c r="AD40" s="1765"/>
    </row>
    <row r="41" spans="1:54" x14ac:dyDescent="0.25">
      <c r="D41" s="1854" t="s">
        <v>758</v>
      </c>
      <c r="E41" s="1824"/>
      <c r="F41" s="1824"/>
      <c r="G41" s="1824"/>
      <c r="H41" s="1824"/>
      <c r="I41" s="1824"/>
      <c r="J41" s="1824"/>
      <c r="K41" s="1824"/>
      <c r="L41" s="1824"/>
      <c r="M41" s="1824"/>
      <c r="N41" s="1824"/>
      <c r="O41" s="1848">
        <v>2608139</v>
      </c>
      <c r="P41" s="1849">
        <v>933223</v>
      </c>
      <c r="Q41" s="1849">
        <v>2182025</v>
      </c>
      <c r="R41" s="1849">
        <v>3731010</v>
      </c>
      <c r="S41" s="1849">
        <v>2209682</v>
      </c>
      <c r="T41" s="1849">
        <v>1321645</v>
      </c>
      <c r="U41" s="1849">
        <v>1114892</v>
      </c>
      <c r="V41" s="1849">
        <v>420060</v>
      </c>
      <c r="W41" s="1849">
        <v>1328738</v>
      </c>
      <c r="X41" s="1855">
        <v>15849414</v>
      </c>
      <c r="Y41" s="1764"/>
      <c r="Z41" s="1764"/>
      <c r="AA41" s="1764"/>
      <c r="AB41" s="722"/>
      <c r="AC41" s="722"/>
      <c r="AD41" s="1765"/>
    </row>
    <row r="42" spans="1:54" x14ac:dyDescent="0.25">
      <c r="D42" s="749"/>
      <c r="E42" s="1856"/>
      <c r="F42" s="1856"/>
      <c r="G42" s="1856"/>
      <c r="H42" s="1856"/>
      <c r="I42" s="1856"/>
      <c r="J42" s="1856"/>
      <c r="K42" s="1856"/>
      <c r="L42" s="1856"/>
      <c r="M42" s="1856"/>
      <c r="N42" s="1856"/>
      <c r="O42" s="749"/>
      <c r="P42" s="1856"/>
      <c r="Q42" s="1856"/>
      <c r="R42" s="1856"/>
      <c r="S42" s="1856"/>
      <c r="T42" s="1856"/>
      <c r="U42" s="1856"/>
      <c r="V42" s="1856"/>
      <c r="W42" s="1856"/>
      <c r="X42" s="1856"/>
      <c r="Y42" s="1856"/>
      <c r="Z42" s="1764"/>
      <c r="AA42" s="1764"/>
      <c r="AB42" s="1764"/>
      <c r="AC42" s="722"/>
      <c r="AD42" s="722"/>
      <c r="AE42" s="1765"/>
    </row>
    <row r="43" spans="1:54" x14ac:dyDescent="0.25">
      <c r="A43" s="12"/>
      <c r="B43" s="1857"/>
      <c r="C43" s="1857"/>
      <c r="D43" s="749" t="s">
        <v>258</v>
      </c>
      <c r="E43" s="749" t="s">
        <v>759</v>
      </c>
      <c r="F43" s="1858"/>
      <c r="G43" s="1858"/>
      <c r="H43" s="1765"/>
      <c r="I43" s="1765"/>
      <c r="J43" s="1765"/>
      <c r="K43" s="1765"/>
      <c r="L43" s="1765"/>
      <c r="M43" s="1765"/>
      <c r="N43" s="1765"/>
      <c r="O43" s="1765"/>
      <c r="P43" s="1765"/>
      <c r="Q43" s="1765"/>
      <c r="R43" s="1765"/>
      <c r="S43" s="1765"/>
      <c r="T43" s="1764"/>
      <c r="U43" s="1765"/>
      <c r="V43" s="1764"/>
      <c r="W43" s="1764"/>
      <c r="X43" s="1764"/>
      <c r="Y43" s="1764"/>
      <c r="Z43" s="1764"/>
      <c r="AA43" s="1764"/>
      <c r="AB43" s="1764"/>
      <c r="AC43" s="1765"/>
      <c r="AD43" s="1765"/>
      <c r="AE43" s="1765"/>
    </row>
    <row r="44" spans="1:54" s="1765" customFormat="1" x14ac:dyDescent="0.25">
      <c r="A44" s="12"/>
      <c r="B44" s="1857"/>
      <c r="C44" s="1857"/>
      <c r="D44" s="1859"/>
      <c r="E44" s="1860"/>
      <c r="F44" s="1860"/>
      <c r="G44" s="1860"/>
      <c r="H44" s="1860"/>
      <c r="I44" s="1860"/>
      <c r="J44" s="1860"/>
      <c r="K44" s="1860"/>
      <c r="L44" s="1775" t="s">
        <v>140</v>
      </c>
      <c r="M44" s="1775" t="s">
        <v>141</v>
      </c>
      <c r="N44" s="1775" t="s">
        <v>142</v>
      </c>
      <c r="O44" s="1775" t="s">
        <v>143</v>
      </c>
      <c r="P44" s="1775" t="s">
        <v>144</v>
      </c>
      <c r="Q44" s="1775" t="s">
        <v>145</v>
      </c>
      <c r="R44" s="1775" t="s">
        <v>8</v>
      </c>
      <c r="S44" s="1776" t="s">
        <v>9</v>
      </c>
      <c r="T44" s="1776" t="s">
        <v>10</v>
      </c>
      <c r="U44" s="1776" t="s">
        <v>11</v>
      </c>
      <c r="V44" s="1776" t="s">
        <v>760</v>
      </c>
      <c r="W44" s="1776" t="s">
        <v>761</v>
      </c>
      <c r="X44" s="1776" t="s">
        <v>762</v>
      </c>
      <c r="Y44" s="1861" t="s">
        <v>15</v>
      </c>
      <c r="Z44" s="1862" t="s">
        <v>333</v>
      </c>
    </row>
    <row r="45" spans="1:54" s="1765" customFormat="1" ht="34.5" x14ac:dyDescent="0.25">
      <c r="A45" s="12"/>
      <c r="B45" s="1857"/>
      <c r="C45" s="1857"/>
      <c r="D45" s="1863" t="s">
        <v>763</v>
      </c>
      <c r="K45" s="1863" t="s">
        <v>763</v>
      </c>
      <c r="L45" s="24">
        <v>36982</v>
      </c>
      <c r="M45" s="24">
        <v>44885</v>
      </c>
      <c r="N45" s="24">
        <v>50708</v>
      </c>
      <c r="O45" s="24">
        <v>57032</v>
      </c>
      <c r="P45" s="24">
        <v>62467</v>
      </c>
      <c r="Q45" s="24">
        <v>70715</v>
      </c>
      <c r="R45" s="24">
        <v>80080</v>
      </c>
      <c r="S45" s="24">
        <v>87493</v>
      </c>
      <c r="T45" s="24">
        <v>95973</v>
      </c>
      <c r="U45" s="1864">
        <v>103899</v>
      </c>
      <c r="V45" s="1864">
        <v>109597</v>
      </c>
      <c r="W45" s="1864">
        <v>120702</v>
      </c>
      <c r="X45" s="1864">
        <v>128868</v>
      </c>
      <c r="Y45" s="1864">
        <v>164936</v>
      </c>
      <c r="Z45" s="1865">
        <v>178330</v>
      </c>
    </row>
    <row r="46" spans="1:54" s="1765" customFormat="1" x14ac:dyDescent="0.25">
      <c r="A46" s="12"/>
      <c r="B46" s="1857"/>
      <c r="C46" s="1857"/>
      <c r="D46" s="1866" t="s">
        <v>208</v>
      </c>
      <c r="E46" s="1867"/>
      <c r="F46" s="1867"/>
      <c r="G46" s="1867"/>
      <c r="H46" s="1867"/>
      <c r="I46" s="1867"/>
      <c r="J46" s="1867"/>
      <c r="K46" s="1866" t="s">
        <v>208</v>
      </c>
      <c r="L46" s="1868">
        <v>2.9000000000000001E-2</v>
      </c>
      <c r="M46" s="1868">
        <v>3.1E-2</v>
      </c>
      <c r="N46" s="1868">
        <v>3.2000000000000001E-2</v>
      </c>
      <c r="O46" s="1868">
        <v>3.3000000000000002E-2</v>
      </c>
      <c r="P46" s="1868">
        <v>3.2000000000000001E-2</v>
      </c>
      <c r="Q46" s="1868">
        <v>3.3000000000000002E-2</v>
      </c>
      <c r="R46" s="1868">
        <v>3.5000000000000003E-2</v>
      </c>
      <c r="S46" s="1868">
        <v>3.4000000000000002E-2</v>
      </c>
      <c r="T46" s="1868">
        <v>3.1E-2</v>
      </c>
      <c r="U46" s="1869">
        <v>3.1E-2</v>
      </c>
      <c r="V46" s="1869">
        <v>0.03</v>
      </c>
      <c r="W46" s="1869">
        <v>3.1E-2</v>
      </c>
      <c r="X46" s="1869">
        <v>3.2000000000000001E-2</v>
      </c>
      <c r="Y46" s="1869">
        <v>3.1E-2</v>
      </c>
      <c r="Z46" s="1870">
        <v>3.2000000000000001E-2</v>
      </c>
    </row>
    <row r="47" spans="1:54" s="1765" customFormat="1" x14ac:dyDescent="0.25">
      <c r="A47" s="1"/>
      <c r="B47" s="1763"/>
      <c r="C47" s="1763"/>
      <c r="D47" s="1321"/>
      <c r="E47" s="1321"/>
      <c r="F47" s="1321"/>
      <c r="G47" s="1321"/>
      <c r="H47" s="1321"/>
      <c r="I47" s="1321"/>
      <c r="J47" s="1321"/>
      <c r="K47" s="1321"/>
      <c r="L47" s="1321"/>
      <c r="M47" s="1321"/>
      <c r="N47" s="1321"/>
      <c r="O47" s="1321"/>
      <c r="P47" s="1321"/>
      <c r="Q47" s="1321"/>
      <c r="R47" s="1321"/>
      <c r="S47" s="1321"/>
      <c r="T47" s="1764"/>
      <c r="U47" s="1321"/>
      <c r="V47" s="1764"/>
      <c r="W47" s="1764"/>
      <c r="X47" s="1764"/>
      <c r="Y47" s="1764"/>
      <c r="Z47" s="1764"/>
      <c r="AA47" s="1764"/>
      <c r="AB47" s="1764"/>
    </row>
    <row r="48" spans="1:54" ht="12.75" customHeight="1" x14ac:dyDescent="0.2">
      <c r="A48" s="1">
        <v>5</v>
      </c>
      <c r="B48" s="1" t="s">
        <v>29</v>
      </c>
      <c r="C48" s="1"/>
      <c r="D48" s="4140" t="s">
        <v>764</v>
      </c>
      <c r="E48" s="4141"/>
      <c r="F48" s="4141"/>
      <c r="G48" s="4141"/>
      <c r="H48" s="4141"/>
      <c r="I48" s="4141"/>
      <c r="J48" s="4141"/>
      <c r="K48" s="4141"/>
      <c r="L48" s="4141"/>
      <c r="M48" s="4141"/>
      <c r="N48" s="4141"/>
      <c r="O48" s="4141"/>
      <c r="P48" s="4141"/>
      <c r="Q48" s="4141"/>
      <c r="R48" s="4141"/>
      <c r="S48" s="4141"/>
      <c r="T48" s="4141"/>
      <c r="U48" s="4141"/>
      <c r="V48" s="4141"/>
      <c r="W48" s="4141"/>
      <c r="X48" s="4141"/>
      <c r="Y48" s="4141"/>
      <c r="Z48" s="4141"/>
      <c r="AA48" s="4141"/>
      <c r="AB48" s="4141"/>
      <c r="AC48" s="4141"/>
      <c r="AD48" s="4141"/>
      <c r="AE48" s="4141"/>
      <c r="AF48" s="4141"/>
      <c r="AG48" s="4141"/>
      <c r="AH48" s="4141"/>
      <c r="AI48" s="4141"/>
      <c r="AJ48" s="4141"/>
      <c r="AK48" s="4141"/>
      <c r="AL48" s="4141"/>
      <c r="AM48" s="4141"/>
      <c r="AN48" s="4141"/>
      <c r="AO48" s="4141"/>
      <c r="AP48" s="4141"/>
      <c r="AQ48" s="4141"/>
      <c r="AR48" s="4141"/>
      <c r="AS48" s="4141"/>
      <c r="AT48" s="4141"/>
      <c r="AU48" s="4141"/>
      <c r="AV48" s="4141"/>
      <c r="AW48" s="4141"/>
      <c r="AX48" s="4141"/>
      <c r="AY48" s="4141"/>
      <c r="AZ48" s="4141"/>
      <c r="BA48" s="4141"/>
      <c r="BB48" s="4142"/>
    </row>
    <row r="49" spans="1:54" ht="15" customHeight="1" x14ac:dyDescent="0.2">
      <c r="A49" s="40">
        <v>6</v>
      </c>
      <c r="B49" s="40" t="s">
        <v>32</v>
      </c>
      <c r="C49" s="40"/>
      <c r="D49" s="4140" t="s">
        <v>765</v>
      </c>
      <c r="E49" s="4141"/>
      <c r="F49" s="4141"/>
      <c r="G49" s="4141"/>
      <c r="H49" s="4141"/>
      <c r="I49" s="4141"/>
      <c r="J49" s="4141"/>
      <c r="K49" s="4141"/>
      <c r="L49" s="4141"/>
      <c r="M49" s="4141"/>
      <c r="N49" s="4141"/>
      <c r="O49" s="4141"/>
      <c r="P49" s="4141"/>
      <c r="Q49" s="4141"/>
      <c r="R49" s="4141"/>
      <c r="S49" s="4141"/>
      <c r="T49" s="4141"/>
      <c r="U49" s="4141"/>
      <c r="V49" s="4141"/>
      <c r="W49" s="4141"/>
      <c r="X49" s="4141"/>
      <c r="Y49" s="4141"/>
      <c r="Z49" s="4141"/>
      <c r="AA49" s="4141"/>
      <c r="AB49" s="4141"/>
      <c r="AC49" s="4141"/>
      <c r="AD49" s="4141"/>
      <c r="AE49" s="4141"/>
      <c r="AF49" s="4141"/>
      <c r="AG49" s="4141"/>
      <c r="AH49" s="4141"/>
      <c r="AI49" s="4141"/>
      <c r="AJ49" s="4141"/>
      <c r="AK49" s="4141"/>
      <c r="AL49" s="4141"/>
      <c r="AM49" s="4141"/>
      <c r="AN49" s="4141"/>
      <c r="AO49" s="4141"/>
      <c r="AP49" s="4141"/>
      <c r="AQ49" s="4141"/>
      <c r="AR49" s="4141"/>
      <c r="AS49" s="4141"/>
      <c r="AT49" s="4141"/>
      <c r="AU49" s="4141"/>
      <c r="AV49" s="4141"/>
      <c r="AW49" s="4141"/>
      <c r="AX49" s="4141"/>
      <c r="AY49" s="4141"/>
      <c r="AZ49" s="4141"/>
      <c r="BA49" s="4141"/>
      <c r="BB49" s="4142"/>
    </row>
    <row r="50" spans="1:54" ht="28.15" customHeight="1" x14ac:dyDescent="0.2">
      <c r="A50" s="1">
        <v>7</v>
      </c>
      <c r="B50" s="1" t="s">
        <v>31</v>
      </c>
      <c r="C50" s="1"/>
      <c r="D50" s="4140" t="s">
        <v>766</v>
      </c>
      <c r="E50" s="4141"/>
      <c r="F50" s="4141"/>
      <c r="G50" s="4141"/>
      <c r="H50" s="4141"/>
      <c r="I50" s="4141"/>
      <c r="J50" s="4141"/>
      <c r="K50" s="4141"/>
      <c r="L50" s="4141"/>
      <c r="M50" s="4141"/>
      <c r="N50" s="4141"/>
      <c r="O50" s="4141"/>
      <c r="P50" s="4141"/>
      <c r="Q50" s="4141"/>
      <c r="R50" s="4141"/>
      <c r="S50" s="4141"/>
      <c r="T50" s="4141"/>
      <c r="U50" s="4141"/>
      <c r="V50" s="4141"/>
      <c r="W50" s="4141"/>
      <c r="X50" s="4141"/>
      <c r="Y50" s="4141"/>
      <c r="Z50" s="4141"/>
      <c r="AA50" s="4141"/>
      <c r="AB50" s="4141"/>
      <c r="AC50" s="4141"/>
      <c r="AD50" s="4141"/>
      <c r="AE50" s="4141"/>
      <c r="AF50" s="4141"/>
      <c r="AG50" s="4141"/>
      <c r="AH50" s="4141"/>
      <c r="AI50" s="4141"/>
      <c r="AJ50" s="4141"/>
      <c r="AK50" s="4141"/>
      <c r="AL50" s="4141"/>
      <c r="AM50" s="4141"/>
      <c r="AN50" s="4141"/>
      <c r="AO50" s="4141"/>
      <c r="AP50" s="4141"/>
      <c r="AQ50" s="4141"/>
      <c r="AR50" s="4141"/>
      <c r="AS50" s="4141"/>
      <c r="AT50" s="4141"/>
      <c r="AU50" s="4141"/>
      <c r="AV50" s="4141"/>
      <c r="AW50" s="4141"/>
      <c r="AX50" s="4141"/>
      <c r="AY50" s="4141"/>
      <c r="AZ50" s="4141"/>
      <c r="BA50" s="4141"/>
      <c r="BB50" s="4142"/>
    </row>
    <row r="51" spans="1:54" ht="12.75" customHeight="1" x14ac:dyDescent="0.2">
      <c r="A51" s="1">
        <v>8</v>
      </c>
      <c r="B51" s="1" t="s">
        <v>95</v>
      </c>
      <c r="C51" s="1"/>
      <c r="D51" s="4140" t="s">
        <v>767</v>
      </c>
      <c r="E51" s="4141"/>
      <c r="F51" s="4141"/>
      <c r="G51" s="4141"/>
      <c r="H51" s="4141"/>
      <c r="I51" s="4141"/>
      <c r="J51" s="4141"/>
      <c r="K51" s="4141"/>
      <c r="L51" s="4141"/>
      <c r="M51" s="4141"/>
      <c r="N51" s="4141"/>
      <c r="O51" s="4141"/>
      <c r="P51" s="4141"/>
      <c r="Q51" s="4141"/>
      <c r="R51" s="4141"/>
      <c r="S51" s="4141"/>
      <c r="T51" s="4141"/>
      <c r="U51" s="4141"/>
      <c r="V51" s="4141"/>
      <c r="W51" s="4141"/>
      <c r="X51" s="4141"/>
      <c r="Y51" s="4141"/>
      <c r="Z51" s="4141"/>
      <c r="AA51" s="4141"/>
      <c r="AB51" s="4141"/>
      <c r="AC51" s="4141"/>
      <c r="AD51" s="4141"/>
      <c r="AE51" s="4141"/>
      <c r="AF51" s="4141"/>
      <c r="AG51" s="4141"/>
      <c r="AH51" s="4141"/>
      <c r="AI51" s="4141"/>
      <c r="AJ51" s="4141"/>
      <c r="AK51" s="4141"/>
      <c r="AL51" s="4141"/>
      <c r="AM51" s="4141"/>
      <c r="AN51" s="4141"/>
      <c r="AO51" s="4141"/>
      <c r="AP51" s="4141"/>
      <c r="AQ51" s="4141"/>
      <c r="AR51" s="4141"/>
      <c r="AS51" s="4141"/>
      <c r="AT51" s="4141"/>
      <c r="AU51" s="4141"/>
      <c r="AV51" s="4141"/>
      <c r="AW51" s="4141"/>
      <c r="AX51" s="4141"/>
      <c r="AY51" s="4141"/>
      <c r="AZ51" s="4141"/>
      <c r="BA51" s="4141"/>
      <c r="BB51" s="4142"/>
    </row>
    <row r="52" spans="1:54" ht="12.75" customHeight="1" x14ac:dyDescent="0.2">
      <c r="D52" s="4140"/>
      <c r="E52" s="4141"/>
      <c r="F52" s="4141"/>
      <c r="G52" s="4141"/>
      <c r="H52" s="4141"/>
      <c r="I52" s="4141"/>
      <c r="J52" s="4141"/>
      <c r="K52" s="4141"/>
      <c r="L52" s="4141"/>
      <c r="M52" s="4141"/>
      <c r="N52" s="4141"/>
      <c r="O52" s="4141"/>
      <c r="P52" s="4141"/>
      <c r="Q52" s="4141"/>
      <c r="R52" s="4141"/>
      <c r="S52" s="4141"/>
      <c r="T52" s="4141"/>
      <c r="U52" s="4141"/>
      <c r="V52" s="4141"/>
      <c r="W52" s="4141"/>
      <c r="X52" s="4141"/>
      <c r="Y52" s="4141"/>
      <c r="Z52" s="4141"/>
      <c r="AA52" s="4141"/>
      <c r="AB52" s="4141"/>
      <c r="AC52" s="4141"/>
      <c r="AD52" s="4141"/>
      <c r="AE52" s="4141"/>
      <c r="AF52" s="4141"/>
      <c r="AG52" s="4141"/>
      <c r="AH52" s="4141"/>
      <c r="AI52" s="4141"/>
      <c r="AJ52" s="4141"/>
      <c r="AK52" s="4141"/>
      <c r="AL52" s="4141"/>
      <c r="AM52" s="4141"/>
      <c r="AN52" s="4141"/>
      <c r="AO52" s="4141"/>
      <c r="AP52" s="4141"/>
      <c r="AQ52" s="4141"/>
      <c r="AR52" s="4141"/>
      <c r="AS52" s="4141"/>
      <c r="AT52" s="4141"/>
      <c r="AU52" s="4141"/>
      <c r="AV52" s="4141"/>
      <c r="AW52" s="4141"/>
      <c r="AX52" s="4141"/>
      <c r="AY52" s="4141"/>
      <c r="AZ52" s="4141"/>
      <c r="BA52" s="4141"/>
      <c r="BB52" s="4142"/>
    </row>
    <row r="53" spans="1:54" x14ac:dyDescent="0.2">
      <c r="D53" s="4140"/>
      <c r="E53" s="4141"/>
      <c r="F53" s="4141"/>
      <c r="G53" s="4141"/>
      <c r="H53" s="4141"/>
      <c r="I53" s="4141"/>
      <c r="J53" s="4141"/>
      <c r="K53" s="4141"/>
      <c r="L53" s="4141"/>
      <c r="M53" s="4141"/>
      <c r="N53" s="4141"/>
      <c r="O53" s="4141"/>
      <c r="P53" s="4141"/>
      <c r="Q53" s="4141"/>
      <c r="R53" s="4141"/>
      <c r="S53" s="4141"/>
      <c r="T53" s="4141"/>
      <c r="U53" s="4141"/>
      <c r="V53" s="4141"/>
      <c r="W53" s="4141"/>
      <c r="X53" s="4141"/>
      <c r="Y53" s="4141"/>
      <c r="Z53" s="4141"/>
      <c r="AA53" s="4141"/>
      <c r="AB53" s="4141"/>
      <c r="AC53" s="4141"/>
      <c r="AD53" s="4141"/>
      <c r="AE53" s="4141"/>
      <c r="AF53" s="4141"/>
      <c r="AG53" s="4141"/>
      <c r="AH53" s="4141"/>
      <c r="AI53" s="4141"/>
      <c r="AJ53" s="4141"/>
      <c r="AK53" s="4141"/>
      <c r="AL53" s="4141"/>
      <c r="AM53" s="4141"/>
      <c r="AN53" s="4141"/>
      <c r="AO53" s="4141"/>
      <c r="AP53" s="4141"/>
      <c r="AQ53" s="4141"/>
      <c r="AR53" s="4141"/>
      <c r="AS53" s="4141"/>
      <c r="AT53" s="4141"/>
      <c r="AU53" s="4141"/>
      <c r="AV53" s="4141"/>
      <c r="AW53" s="4141"/>
      <c r="AX53" s="4141"/>
      <c r="AY53" s="4141"/>
      <c r="AZ53" s="4141"/>
      <c r="BA53" s="4141"/>
      <c r="BB53" s="4142"/>
    </row>
    <row r="54" spans="1:54" ht="21" customHeight="1" x14ac:dyDescent="0.25">
      <c r="D54" s="4197"/>
      <c r="E54" s="4198"/>
      <c r="F54" s="4198"/>
      <c r="G54" s="4198"/>
      <c r="H54" s="4198"/>
      <c r="I54" s="4198"/>
      <c r="J54" s="4198"/>
      <c r="K54" s="4198"/>
      <c r="L54" s="4198"/>
      <c r="M54" s="4198"/>
      <c r="N54" s="4198"/>
      <c r="O54" s="4198"/>
      <c r="P54" s="4198"/>
      <c r="Q54" s="4198"/>
      <c r="R54" s="4198"/>
      <c r="S54" s="4198"/>
      <c r="T54" s="4198"/>
      <c r="U54" s="4198"/>
      <c r="V54" s="4198"/>
      <c r="W54" s="4198"/>
      <c r="X54" s="4198"/>
      <c r="Y54" s="4198"/>
      <c r="Z54" s="4198"/>
      <c r="AA54" s="4198"/>
      <c r="AB54" s="4198"/>
      <c r="AC54" s="4198"/>
      <c r="AD54" s="4198"/>
      <c r="AE54" s="4198"/>
      <c r="AF54" s="4198"/>
      <c r="AG54" s="4198"/>
      <c r="AH54" s="4198"/>
      <c r="AI54" s="4198"/>
      <c r="AJ54" s="4198"/>
      <c r="AK54" s="4198"/>
      <c r="AL54" s="4198"/>
      <c r="AM54" s="4198"/>
      <c r="AN54" s="4198"/>
      <c r="AO54" s="4198"/>
      <c r="AP54" s="4198"/>
      <c r="AQ54" s="4198"/>
      <c r="AR54" s="4198"/>
      <c r="AS54" s="4198"/>
      <c r="AT54" s="4198"/>
      <c r="AU54" s="4198"/>
      <c r="AV54" s="4198"/>
      <c r="AW54" s="4198"/>
      <c r="AX54" s="4198"/>
      <c r="AY54" s="4198"/>
      <c r="AZ54" s="4198"/>
      <c r="BA54" s="4198"/>
      <c r="BB54" s="4199"/>
    </row>
    <row r="57" spans="1:54" s="1765" customFormat="1" x14ac:dyDescent="0.25">
      <c r="A57" s="12"/>
      <c r="B57" s="1857"/>
      <c r="C57" s="1857"/>
    </row>
    <row r="58" spans="1:54" s="1765" customFormat="1" x14ac:dyDescent="0.25">
      <c r="A58" s="12"/>
      <c r="B58" s="1857"/>
      <c r="C58" s="1857"/>
      <c r="D58" s="749"/>
      <c r="E58" s="1738"/>
      <c r="F58" s="1871"/>
      <c r="G58" s="1871"/>
      <c r="H58" s="1743"/>
      <c r="I58" s="1743"/>
      <c r="J58" s="1743"/>
      <c r="K58" s="1743"/>
      <c r="L58" s="1743"/>
      <c r="M58" s="1743"/>
      <c r="N58" s="1872"/>
      <c r="O58" s="1873"/>
      <c r="P58" s="1798"/>
      <c r="Q58" s="1798"/>
      <c r="R58" s="1798"/>
      <c r="S58" s="1798"/>
      <c r="T58" s="1799"/>
      <c r="U58" s="1798"/>
      <c r="V58" s="1799"/>
      <c r="W58" s="1799"/>
      <c r="X58" s="1799"/>
      <c r="Y58" s="1782"/>
      <c r="Z58" s="1782"/>
      <c r="AA58" s="1782"/>
      <c r="AB58" s="1782"/>
    </row>
    <row r="59" spans="1:54" s="1765" customFormat="1" x14ac:dyDescent="0.25">
      <c r="A59" s="12"/>
      <c r="B59" s="1857"/>
      <c r="C59" s="1857"/>
      <c r="D59" s="1874"/>
      <c r="E59" s="4196"/>
      <c r="F59" s="4196"/>
      <c r="G59" s="4196"/>
      <c r="H59" s="4196"/>
      <c r="I59" s="4196"/>
      <c r="J59" s="4196"/>
      <c r="K59" s="4196"/>
      <c r="L59" s="4196"/>
      <c r="M59" s="4196"/>
      <c r="N59" s="4196"/>
      <c r="O59" s="4196"/>
      <c r="P59" s="4196"/>
      <c r="Q59" s="1814"/>
      <c r="R59" s="4196"/>
      <c r="S59" s="4196"/>
      <c r="T59" s="4196"/>
      <c r="U59" s="4196"/>
      <c r="V59" s="4196"/>
      <c r="W59" s="4196"/>
      <c r="X59" s="4196"/>
      <c r="Y59" s="4196"/>
      <c r="Z59" s="4196"/>
      <c r="AA59" s="4196"/>
      <c r="AB59" s="4196"/>
    </row>
    <row r="60" spans="1:54" s="1765" customFormat="1" x14ac:dyDescent="0.25">
      <c r="A60" s="12"/>
      <c r="B60" s="1857"/>
      <c r="C60" s="1857"/>
      <c r="D60" s="1874"/>
      <c r="E60" s="1875"/>
      <c r="F60" s="1875"/>
      <c r="G60" s="1875"/>
      <c r="H60" s="1875"/>
      <c r="I60" s="1875"/>
      <c r="J60" s="1875"/>
      <c r="K60" s="1875"/>
      <c r="L60" s="1875"/>
      <c r="M60" s="1875"/>
      <c r="N60" s="1875"/>
      <c r="O60" s="1875"/>
      <c r="P60" s="1875"/>
      <c r="Q60" s="1875"/>
      <c r="R60" s="1875"/>
      <c r="S60" s="1875"/>
      <c r="T60" s="1875"/>
      <c r="U60" s="1875"/>
      <c r="V60" s="1875"/>
      <c r="W60" s="1875"/>
      <c r="X60" s="1875"/>
      <c r="Y60" s="1875"/>
      <c r="Z60" s="1875"/>
      <c r="AA60" s="1814"/>
      <c r="AB60" s="1814"/>
    </row>
    <row r="61" spans="1:54" s="1765" customFormat="1" x14ac:dyDescent="0.25">
      <c r="A61" s="12"/>
      <c r="B61" s="1857"/>
      <c r="C61" s="1857"/>
      <c r="D61" s="17"/>
      <c r="E61" s="1824"/>
      <c r="F61" s="1386"/>
      <c r="G61" s="1824"/>
      <c r="H61" s="1386"/>
      <c r="I61" s="1824"/>
      <c r="J61" s="1386"/>
      <c r="K61" s="1824"/>
      <c r="L61" s="1386"/>
      <c r="M61" s="1824"/>
      <c r="N61" s="1386"/>
      <c r="O61" s="1824"/>
      <c r="P61" s="1386"/>
      <c r="Q61" s="1386"/>
      <c r="R61" s="1824"/>
      <c r="S61" s="1824"/>
      <c r="T61" s="1386"/>
      <c r="U61" s="1824"/>
      <c r="V61" s="1386"/>
      <c r="W61" s="1824"/>
      <c r="X61" s="1386"/>
      <c r="Y61" s="1824"/>
      <c r="Z61" s="1386"/>
      <c r="AA61" s="1824"/>
      <c r="AB61" s="1824"/>
    </row>
    <row r="62" spans="1:54" s="1765" customFormat="1" x14ac:dyDescent="0.25">
      <c r="A62" s="12"/>
      <c r="B62" s="1857"/>
      <c r="C62" s="1857"/>
      <c r="D62" s="17"/>
      <c r="E62" s="1824"/>
      <c r="F62" s="1386"/>
      <c r="G62" s="1824"/>
      <c r="H62" s="1386"/>
      <c r="I62" s="1824"/>
      <c r="J62" s="1386"/>
      <c r="K62" s="1824"/>
      <c r="L62" s="1386"/>
      <c r="M62" s="1824"/>
      <c r="N62" s="1386"/>
      <c r="O62" s="1824"/>
      <c r="P62" s="1386"/>
      <c r="Q62" s="1386"/>
      <c r="R62" s="1824"/>
      <c r="S62" s="1824"/>
      <c r="T62" s="1386"/>
      <c r="U62" s="1824"/>
      <c r="V62" s="1386"/>
      <c r="W62" s="1824"/>
      <c r="X62" s="1386"/>
      <c r="Y62" s="1824"/>
      <c r="Z62" s="1386"/>
      <c r="AA62" s="1824"/>
      <c r="AB62" s="1824"/>
    </row>
    <row r="63" spans="1:54" s="1765" customFormat="1" x14ac:dyDescent="0.25">
      <c r="A63" s="12"/>
      <c r="B63" s="1857"/>
      <c r="C63" s="1857"/>
      <c r="D63" s="17"/>
      <c r="E63" s="1824"/>
      <c r="F63" s="1386"/>
      <c r="G63" s="1824"/>
      <c r="H63" s="1386"/>
      <c r="I63" s="1824"/>
      <c r="J63" s="1386"/>
      <c r="K63" s="1824"/>
      <c r="L63" s="1386"/>
      <c r="M63" s="1824"/>
      <c r="N63" s="1386"/>
      <c r="O63" s="1824"/>
      <c r="P63" s="1386"/>
      <c r="Q63" s="1386"/>
      <c r="R63" s="1824"/>
      <c r="S63" s="1824"/>
      <c r="T63" s="1386"/>
      <c r="U63" s="1824"/>
      <c r="V63" s="1386"/>
      <c r="W63" s="1824"/>
      <c r="X63" s="1386"/>
      <c r="Y63" s="1824"/>
      <c r="Z63" s="1386"/>
      <c r="AA63" s="1824"/>
      <c r="AB63" s="1824"/>
    </row>
    <row r="64" spans="1:54" s="1765" customFormat="1" x14ac:dyDescent="0.25">
      <c r="A64" s="12"/>
      <c r="B64" s="1857"/>
      <c r="C64" s="1857"/>
      <c r="D64" s="17"/>
      <c r="E64" s="1824"/>
      <c r="F64" s="1386"/>
      <c r="G64" s="1824"/>
      <c r="H64" s="1386"/>
      <c r="I64" s="1824"/>
      <c r="J64" s="1386"/>
      <c r="K64" s="1824"/>
      <c r="L64" s="1386"/>
      <c r="M64" s="1824"/>
      <c r="N64" s="1386"/>
      <c r="O64" s="1824"/>
      <c r="P64" s="1386"/>
      <c r="Q64" s="1386"/>
      <c r="R64" s="1824"/>
      <c r="S64" s="1824"/>
      <c r="T64" s="1386"/>
      <c r="U64" s="1824"/>
      <c r="V64" s="1386"/>
      <c r="W64" s="1824"/>
      <c r="X64" s="1386"/>
      <c r="Y64" s="1824"/>
      <c r="Z64" s="1386"/>
      <c r="AA64" s="1824"/>
      <c r="AB64" s="1824"/>
    </row>
    <row r="65" spans="1:28" s="1765" customFormat="1" x14ac:dyDescent="0.25">
      <c r="A65" s="12"/>
      <c r="B65" s="1857"/>
      <c r="C65" s="1857"/>
      <c r="D65" s="17"/>
      <c r="E65" s="1824"/>
      <c r="F65" s="1386"/>
      <c r="G65" s="1824"/>
      <c r="H65" s="1386"/>
      <c r="I65" s="1824"/>
      <c r="J65" s="1386"/>
      <c r="K65" s="1824"/>
      <c r="L65" s="1386"/>
      <c r="M65" s="1824"/>
      <c r="N65" s="1386"/>
      <c r="O65" s="1824"/>
      <c r="P65" s="1386"/>
      <c r="Q65" s="1386"/>
      <c r="R65" s="1824"/>
      <c r="S65" s="1824"/>
      <c r="T65" s="1386"/>
      <c r="U65" s="1824"/>
      <c r="V65" s="1386"/>
      <c r="W65" s="1824"/>
      <c r="X65" s="1386"/>
      <c r="Y65" s="1824"/>
      <c r="Z65" s="1386"/>
      <c r="AA65" s="1824"/>
      <c r="AB65" s="1824"/>
    </row>
    <row r="66" spans="1:28" s="1765" customFormat="1" x14ac:dyDescent="0.25">
      <c r="A66" s="12"/>
      <c r="B66" s="1857"/>
      <c r="C66" s="1857"/>
      <c r="D66" s="17"/>
      <c r="E66" s="1876"/>
      <c r="F66" s="1386"/>
      <c r="G66" s="1876"/>
      <c r="H66" s="1386"/>
      <c r="I66" s="1876"/>
      <c r="J66" s="1386"/>
      <c r="K66" s="1876"/>
      <c r="L66" s="1386"/>
      <c r="M66" s="1876"/>
      <c r="N66" s="1386"/>
      <c r="O66" s="1876"/>
      <c r="P66" s="1386"/>
      <c r="Q66" s="1386"/>
      <c r="R66" s="1876"/>
      <c r="S66" s="1876"/>
      <c r="T66" s="1386"/>
      <c r="U66" s="1876"/>
      <c r="V66" s="1386"/>
      <c r="W66" s="1876"/>
      <c r="X66" s="1386"/>
      <c r="Y66" s="1876"/>
      <c r="Z66" s="1386"/>
      <c r="AA66" s="1876"/>
      <c r="AB66" s="1876"/>
    </row>
    <row r="67" spans="1:28" s="1765" customFormat="1" x14ac:dyDescent="0.25">
      <c r="A67" s="12"/>
      <c r="B67" s="1857"/>
      <c r="C67" s="1857"/>
      <c r="D67" s="17"/>
      <c r="E67" s="1824"/>
      <c r="F67" s="1386"/>
      <c r="G67" s="1824"/>
      <c r="H67" s="1386"/>
      <c r="I67" s="1824"/>
      <c r="J67" s="1386"/>
      <c r="K67" s="1824"/>
      <c r="L67" s="1386"/>
      <c r="M67" s="1824"/>
      <c r="N67" s="1386"/>
      <c r="O67" s="1824"/>
      <c r="P67" s="1386"/>
      <c r="Q67" s="1386"/>
      <c r="R67" s="1824"/>
      <c r="S67" s="1824"/>
      <c r="T67" s="1386"/>
      <c r="U67" s="1824"/>
      <c r="V67" s="1386"/>
      <c r="W67" s="1824"/>
      <c r="X67" s="1386"/>
      <c r="Y67" s="1824"/>
      <c r="Z67" s="1386"/>
      <c r="AA67" s="1824"/>
      <c r="AB67" s="1824"/>
    </row>
    <row r="68" spans="1:28" s="1765" customFormat="1" x14ac:dyDescent="0.25">
      <c r="A68" s="12"/>
      <c r="B68" s="1857"/>
      <c r="C68" s="1857"/>
      <c r="D68" s="749"/>
      <c r="E68" s="1856"/>
      <c r="F68" s="1856"/>
      <c r="G68" s="1856"/>
      <c r="H68" s="1856"/>
      <c r="I68" s="1856"/>
      <c r="J68" s="1856"/>
      <c r="K68" s="1856"/>
      <c r="L68" s="1856"/>
      <c r="M68" s="1856"/>
      <c r="N68" s="1856"/>
      <c r="O68" s="1856"/>
      <c r="P68" s="1856"/>
      <c r="Q68" s="1856"/>
      <c r="R68" s="1856"/>
      <c r="S68" s="1856"/>
      <c r="T68" s="1856"/>
      <c r="U68" s="1856"/>
      <c r="V68" s="1856"/>
      <c r="W68" s="1856"/>
      <c r="X68" s="1856"/>
      <c r="Y68" s="1856"/>
      <c r="Z68" s="1856"/>
      <c r="AA68" s="1856"/>
      <c r="AB68" s="1856"/>
    </row>
    <row r="69" spans="1:28" s="1765" customFormat="1" x14ac:dyDescent="0.25">
      <c r="A69" s="12"/>
      <c r="B69" s="1857"/>
      <c r="C69" s="1857"/>
    </row>
    <row r="70" spans="1:28" s="1765" customFormat="1" x14ac:dyDescent="0.25">
      <c r="A70" s="12"/>
      <c r="B70" s="1857"/>
      <c r="C70" s="1857"/>
    </row>
    <row r="71" spans="1:28" s="1765" customFormat="1" hidden="1" x14ac:dyDescent="0.25">
      <c r="A71" s="12"/>
      <c r="B71" s="1857"/>
      <c r="C71" s="1857"/>
    </row>
    <row r="72" spans="1:28" s="1765" customFormat="1" hidden="1" x14ac:dyDescent="0.25">
      <c r="A72" s="12"/>
      <c r="B72" s="1877"/>
      <c r="C72" s="1877"/>
      <c r="D72" s="1405"/>
      <c r="E72" s="1405"/>
      <c r="F72" s="1405"/>
      <c r="G72" s="1405"/>
      <c r="H72" s="1405"/>
      <c r="I72" s="1405"/>
      <c r="J72" s="1405"/>
      <c r="K72" s="1405"/>
    </row>
    <row r="73" spans="1:28" s="1765" customFormat="1" hidden="1" x14ac:dyDescent="0.25">
      <c r="A73" s="12"/>
      <c r="B73" s="1778"/>
      <c r="C73" s="1778"/>
      <c r="D73" s="749"/>
      <c r="E73" s="749"/>
      <c r="F73" s="749"/>
      <c r="G73" s="749"/>
      <c r="H73" s="749"/>
      <c r="I73" s="749"/>
      <c r="J73" s="749"/>
      <c r="K73" s="749"/>
      <c r="N73" s="1405"/>
      <c r="O73" s="1405"/>
      <c r="P73" s="1405"/>
      <c r="Q73" s="1405"/>
      <c r="R73" s="1405"/>
      <c r="S73" s="1405"/>
      <c r="T73" s="1405"/>
      <c r="U73" s="1405"/>
      <c r="V73" s="1405"/>
      <c r="W73" s="1405"/>
      <c r="X73" s="1405"/>
      <c r="Y73" s="1405"/>
      <c r="Z73" s="1405"/>
      <c r="AA73" s="1405"/>
      <c r="AB73" s="1405"/>
    </row>
    <row r="74" spans="1:28" s="1765" customFormat="1" hidden="1" x14ac:dyDescent="0.25">
      <c r="A74" s="12"/>
      <c r="B74" s="1778"/>
      <c r="C74" s="1778"/>
      <c r="D74" s="1878"/>
      <c r="E74" s="1878"/>
      <c r="F74" s="1878"/>
      <c r="G74" s="1878"/>
      <c r="H74" s="1878"/>
      <c r="I74" s="1879"/>
      <c r="J74" s="1879"/>
      <c r="K74" s="1879"/>
      <c r="N74" s="1355"/>
      <c r="O74" s="1405"/>
      <c r="P74" s="1405"/>
      <c r="Q74" s="1405"/>
      <c r="R74" s="1405"/>
      <c r="S74" s="1405"/>
      <c r="T74" s="1405"/>
      <c r="U74" s="1405"/>
      <c r="V74" s="1405"/>
      <c r="W74" s="1405"/>
      <c r="X74" s="1405"/>
      <c r="Y74" s="1405"/>
      <c r="Z74" s="1405"/>
      <c r="AA74" s="1743"/>
    </row>
    <row r="75" spans="1:28" s="1765" customFormat="1" hidden="1" x14ac:dyDescent="0.25">
      <c r="A75" s="12"/>
      <c r="B75" s="1778"/>
      <c r="C75" s="1778"/>
      <c r="D75" s="1879"/>
      <c r="E75" s="1879"/>
      <c r="F75" s="1879"/>
      <c r="G75" s="1879"/>
      <c r="H75" s="1879"/>
      <c r="I75" s="1879"/>
      <c r="J75" s="1879"/>
      <c r="K75" s="1879"/>
      <c r="N75" s="1355"/>
      <c r="O75" s="1880"/>
      <c r="P75" s="1880"/>
      <c r="Q75" s="1880"/>
      <c r="R75" s="1880"/>
      <c r="S75" s="1880"/>
      <c r="T75" s="1880"/>
      <c r="U75" s="1880"/>
      <c r="V75" s="1880"/>
      <c r="W75" s="1880"/>
      <c r="X75" s="1799"/>
      <c r="Y75" s="1799"/>
      <c r="Z75" s="1799"/>
      <c r="AA75" s="1799"/>
      <c r="AB75" s="1799"/>
    </row>
    <row r="76" spans="1:28" s="1765" customFormat="1" hidden="1" x14ac:dyDescent="0.25">
      <c r="A76" s="12"/>
      <c r="B76" s="1778"/>
      <c r="C76" s="1778"/>
      <c r="D76" s="1879"/>
      <c r="E76" s="1879"/>
      <c r="F76" s="1879"/>
      <c r="G76" s="1879"/>
      <c r="H76" s="1879"/>
      <c r="I76" s="1879"/>
      <c r="J76" s="1879"/>
      <c r="K76" s="1879"/>
      <c r="N76" s="1355"/>
      <c r="O76" s="1799"/>
      <c r="P76" s="1799"/>
      <c r="Q76" s="1799"/>
      <c r="R76" s="1799"/>
      <c r="S76" s="1799"/>
      <c r="T76" s="1799"/>
      <c r="U76" s="1799"/>
      <c r="V76" s="1799"/>
      <c r="W76" s="1799"/>
      <c r="X76" s="1799"/>
      <c r="Y76" s="1799"/>
      <c r="Z76" s="1799"/>
      <c r="AA76" s="1799"/>
      <c r="AB76" s="1799"/>
    </row>
    <row r="77" spans="1:28" s="1765" customFormat="1" hidden="1" x14ac:dyDescent="0.25">
      <c r="A77" s="12"/>
      <c r="B77" s="1778"/>
      <c r="C77" s="1778"/>
      <c r="D77" s="1879"/>
      <c r="E77" s="1879"/>
      <c r="F77" s="1879"/>
      <c r="G77" s="1879"/>
      <c r="H77" s="1879"/>
      <c r="I77" s="1879"/>
      <c r="J77" s="1879"/>
      <c r="K77" s="1879"/>
      <c r="N77" s="1355"/>
      <c r="O77" s="1799"/>
      <c r="P77" s="1799"/>
      <c r="Q77" s="1799"/>
      <c r="R77" s="1799"/>
      <c r="S77" s="1799"/>
      <c r="T77" s="1799"/>
      <c r="U77" s="1799"/>
      <c r="V77" s="1799"/>
      <c r="W77" s="1799"/>
      <c r="X77" s="1799"/>
      <c r="Y77" s="1799"/>
      <c r="Z77" s="1799"/>
      <c r="AA77" s="1799"/>
      <c r="AB77" s="1799"/>
    </row>
    <row r="78" spans="1:28" s="1765" customFormat="1" hidden="1" x14ac:dyDescent="0.25">
      <c r="A78" s="12"/>
      <c r="B78" s="1778"/>
      <c r="C78" s="1778"/>
      <c r="D78" s="1879"/>
      <c r="E78" s="1879"/>
      <c r="F78" s="1879"/>
      <c r="G78" s="1879"/>
      <c r="H78" s="1879"/>
      <c r="I78" s="1879"/>
      <c r="J78" s="1879"/>
      <c r="K78" s="1879"/>
      <c r="N78" s="1355"/>
      <c r="O78" s="1799"/>
      <c r="P78" s="1799"/>
      <c r="Q78" s="1799"/>
      <c r="R78" s="1799"/>
      <c r="S78" s="1799"/>
      <c r="T78" s="1799"/>
      <c r="U78" s="1799"/>
      <c r="V78" s="1799"/>
      <c r="W78" s="1799"/>
      <c r="X78" s="1799"/>
      <c r="Y78" s="1799"/>
      <c r="Z78" s="1799"/>
      <c r="AA78" s="1799"/>
      <c r="AB78" s="1799"/>
    </row>
    <row r="79" spans="1:28" s="1765" customFormat="1" hidden="1" x14ac:dyDescent="0.25">
      <c r="A79" s="12"/>
      <c r="B79" s="1778"/>
      <c r="C79" s="1778"/>
      <c r="D79" s="1879"/>
      <c r="E79" s="1879"/>
      <c r="F79" s="1879"/>
      <c r="G79" s="1879"/>
      <c r="H79" s="1879"/>
      <c r="I79" s="1879"/>
      <c r="J79" s="1879"/>
      <c r="K79" s="1879"/>
      <c r="N79" s="1355"/>
      <c r="O79" s="1799"/>
      <c r="P79" s="1799"/>
      <c r="Q79" s="1799"/>
      <c r="R79" s="1799"/>
      <c r="S79" s="1799"/>
      <c r="T79" s="1799"/>
      <c r="U79" s="1799"/>
      <c r="V79" s="1799"/>
      <c r="W79" s="1799"/>
      <c r="X79" s="1799"/>
      <c r="Y79" s="1799"/>
      <c r="Z79" s="1799"/>
      <c r="AA79" s="1799"/>
      <c r="AB79" s="1799"/>
    </row>
    <row r="80" spans="1:28" s="1765" customFormat="1" hidden="1" x14ac:dyDescent="0.25">
      <c r="A80" s="12"/>
      <c r="B80" s="1778"/>
      <c r="C80" s="1778"/>
      <c r="D80" s="1879"/>
      <c r="E80" s="1879"/>
      <c r="F80" s="1879"/>
      <c r="G80" s="1879"/>
      <c r="H80" s="1879"/>
      <c r="I80" s="1879"/>
      <c r="J80" s="1879"/>
      <c r="K80" s="1879"/>
      <c r="N80" s="1355"/>
      <c r="O80" s="1799"/>
      <c r="P80" s="1799"/>
      <c r="Q80" s="1799"/>
      <c r="R80" s="1799"/>
      <c r="S80" s="1799"/>
      <c r="T80" s="1799"/>
      <c r="U80" s="1799"/>
      <c r="V80" s="1799"/>
      <c r="W80" s="1799"/>
      <c r="X80" s="1799"/>
      <c r="Y80" s="1799"/>
      <c r="Z80" s="1799"/>
      <c r="AA80" s="1799"/>
      <c r="AB80" s="1799"/>
    </row>
    <row r="81" spans="1:28" s="1765" customFormat="1" hidden="1" x14ac:dyDescent="0.25">
      <c r="A81" s="12"/>
      <c r="B81" s="1881"/>
      <c r="C81" s="1881"/>
      <c r="D81" s="1879"/>
      <c r="E81" s="1879"/>
      <c r="F81" s="1879"/>
      <c r="G81" s="1879"/>
      <c r="H81" s="1879"/>
      <c r="I81" s="1879"/>
      <c r="J81" s="1879"/>
      <c r="K81" s="1879"/>
      <c r="N81" s="1355"/>
      <c r="O81" s="1799"/>
      <c r="P81" s="1799"/>
      <c r="Q81" s="1799"/>
      <c r="R81" s="1799"/>
      <c r="S81" s="1799"/>
      <c r="T81" s="1799"/>
      <c r="U81" s="1799"/>
      <c r="V81" s="1799"/>
      <c r="W81" s="1799"/>
      <c r="X81" s="1799"/>
      <c r="Y81" s="1799"/>
      <c r="Z81" s="1799"/>
      <c r="AA81" s="1799"/>
      <c r="AB81" s="1799"/>
    </row>
    <row r="82" spans="1:28" s="1765" customFormat="1" hidden="1" x14ac:dyDescent="0.25">
      <c r="A82" s="12"/>
      <c r="B82" s="1881"/>
      <c r="C82" s="1881"/>
      <c r="D82" s="17"/>
      <c r="E82" s="1882"/>
      <c r="F82" s="1882"/>
      <c r="G82" s="1882"/>
      <c r="H82" s="1882"/>
      <c r="I82" s="1882"/>
      <c r="J82" s="1882"/>
      <c r="K82" s="1882"/>
      <c r="N82" s="1355"/>
      <c r="O82" s="1799"/>
      <c r="P82" s="1799"/>
      <c r="Q82" s="1799"/>
      <c r="R82" s="1799"/>
      <c r="S82" s="1799"/>
      <c r="T82" s="1799"/>
      <c r="U82" s="1799"/>
      <c r="V82" s="1799"/>
      <c r="W82" s="1799"/>
      <c r="X82" s="1799"/>
      <c r="Y82" s="1799"/>
      <c r="Z82" s="1799"/>
      <c r="AA82" s="1799"/>
      <c r="AB82" s="1799"/>
    </row>
    <row r="83" spans="1:28" s="1765" customFormat="1" hidden="1" x14ac:dyDescent="0.25">
      <c r="A83" s="12"/>
      <c r="B83" s="1881"/>
      <c r="C83" s="1881"/>
      <c r="D83" s="17"/>
      <c r="E83" s="1882"/>
      <c r="F83" s="1882"/>
      <c r="G83" s="1882"/>
      <c r="H83" s="1882"/>
      <c r="I83" s="1882"/>
      <c r="J83" s="1882"/>
      <c r="K83" s="1882"/>
      <c r="N83" s="1883"/>
      <c r="O83" s="1799"/>
      <c r="P83" s="1799"/>
      <c r="Q83" s="1799"/>
      <c r="R83" s="1799"/>
      <c r="S83" s="1799"/>
      <c r="T83" s="1799"/>
      <c r="U83" s="1799"/>
      <c r="V83" s="1799"/>
      <c r="W83" s="1799"/>
      <c r="X83" s="1799"/>
      <c r="Y83" s="1799"/>
      <c r="Z83" s="1799"/>
      <c r="AA83" s="1799"/>
      <c r="AB83" s="1851"/>
    </row>
    <row r="84" spans="1:28" s="1765" customFormat="1" hidden="1" x14ac:dyDescent="0.25">
      <c r="A84" s="12"/>
      <c r="B84" s="1877"/>
      <c r="C84" s="1877"/>
      <c r="D84" s="1405"/>
      <c r="E84" s="1405"/>
      <c r="F84" s="1405"/>
      <c r="G84" s="1405"/>
      <c r="H84" s="1405"/>
      <c r="I84" s="1405"/>
      <c r="J84" s="1405"/>
      <c r="K84" s="1405"/>
      <c r="N84" s="1883"/>
      <c r="O84" s="1355"/>
      <c r="P84" s="1851"/>
      <c r="Q84" s="1851"/>
      <c r="R84" s="1851"/>
      <c r="S84" s="1851"/>
      <c r="T84" s="1851"/>
      <c r="U84" s="1851"/>
      <c r="V84" s="1851"/>
      <c r="W84" s="1851"/>
      <c r="X84" s="1851"/>
      <c r="Y84" s="1851"/>
      <c r="Z84" s="1851"/>
      <c r="AA84" s="1851"/>
      <c r="AB84" s="17"/>
    </row>
    <row r="85" spans="1:28" s="1765" customFormat="1" hidden="1" x14ac:dyDescent="0.25">
      <c r="A85" s="12"/>
      <c r="B85" s="1881"/>
      <c r="C85" s="1881"/>
      <c r="D85" s="1884"/>
      <c r="H85" s="1885"/>
      <c r="I85" s="1885"/>
      <c r="J85" s="1885"/>
      <c r="K85" s="1885"/>
      <c r="N85" s="1883"/>
      <c r="O85" s="1355"/>
      <c r="P85" s="1851"/>
      <c r="Q85" s="1851"/>
      <c r="R85" s="1851"/>
      <c r="S85" s="1851"/>
      <c r="T85" s="1851"/>
      <c r="U85" s="1851"/>
      <c r="V85" s="1851"/>
      <c r="W85" s="1851"/>
      <c r="X85" s="1851"/>
      <c r="Y85" s="1851"/>
      <c r="Z85" s="1851"/>
      <c r="AA85" s="1851"/>
      <c r="AB85" s="17"/>
    </row>
    <row r="86" spans="1:28" s="1765" customFormat="1" hidden="1" x14ac:dyDescent="0.25">
      <c r="A86" s="12"/>
      <c r="B86" s="1881"/>
      <c r="C86" s="1881"/>
      <c r="D86" s="1886"/>
      <c r="H86" s="1887"/>
      <c r="I86" s="1887"/>
      <c r="J86" s="1887"/>
      <c r="K86" s="1887"/>
      <c r="N86" s="1405"/>
      <c r="O86" s="1405"/>
      <c r="P86" s="1405"/>
      <c r="Q86" s="1405"/>
      <c r="R86" s="1405"/>
      <c r="S86" s="1405"/>
      <c r="T86" s="1405"/>
      <c r="U86" s="1405"/>
      <c r="V86" s="1405"/>
      <c r="W86" s="1405"/>
      <c r="X86" s="1405"/>
      <c r="Y86" s="1405"/>
      <c r="Z86" s="1405"/>
      <c r="AB86" s="17"/>
    </row>
    <row r="87" spans="1:28" s="1765" customFormat="1" hidden="1" x14ac:dyDescent="0.25">
      <c r="A87" s="12"/>
      <c r="B87" s="1881"/>
      <c r="C87" s="1881"/>
      <c r="D87" s="17"/>
      <c r="H87" s="1888"/>
      <c r="I87" s="1888"/>
      <c r="J87" s="1888"/>
      <c r="K87" s="1888"/>
      <c r="N87" s="1889"/>
      <c r="O87" s="1884"/>
      <c r="W87" s="1885"/>
      <c r="X87" s="1885"/>
      <c r="Y87" s="1885"/>
      <c r="Z87" s="1885"/>
      <c r="AA87" s="1885"/>
      <c r="AB87" s="17"/>
    </row>
    <row r="88" spans="1:28" s="1765" customFormat="1" hidden="1" x14ac:dyDescent="0.25">
      <c r="A88" s="12"/>
      <c r="B88" s="1857"/>
      <c r="C88" s="1857"/>
      <c r="N88" s="1889"/>
      <c r="O88" s="1886"/>
      <c r="W88" s="1887"/>
      <c r="X88" s="1887"/>
      <c r="Y88" s="1887"/>
      <c r="Z88" s="1887"/>
      <c r="AA88" s="1887"/>
      <c r="AB88" s="17"/>
    </row>
    <row r="89" spans="1:28" s="1765" customFormat="1" hidden="1" x14ac:dyDescent="0.25">
      <c r="A89" s="12"/>
      <c r="B89" s="1857"/>
      <c r="C89" s="1857"/>
      <c r="N89" s="1889"/>
      <c r="O89" s="17"/>
      <c r="W89" s="1888"/>
      <c r="X89" s="1888"/>
      <c r="Y89" s="1888"/>
      <c r="Z89" s="1888"/>
      <c r="AA89" s="1888"/>
      <c r="AB89" s="17"/>
    </row>
    <row r="90" spans="1:28" s="1765" customFormat="1" hidden="1" x14ac:dyDescent="0.25">
      <c r="A90" s="12"/>
      <c r="B90" s="1857"/>
      <c r="C90" s="1857"/>
    </row>
    <row r="91" spans="1:28" s="1765" customFormat="1" hidden="1" x14ac:dyDescent="0.25">
      <c r="A91" s="12"/>
      <c r="B91" s="1857"/>
      <c r="C91" s="1857"/>
    </row>
    <row r="92" spans="1:28" s="1765" customFormat="1" hidden="1" x14ac:dyDescent="0.25">
      <c r="A92" s="12"/>
      <c r="B92" s="1857"/>
      <c r="C92" s="1857"/>
    </row>
    <row r="93" spans="1:28" s="1765" customFormat="1" hidden="1" x14ac:dyDescent="0.25">
      <c r="A93" s="12"/>
      <c r="B93" s="1857"/>
      <c r="C93" s="1857"/>
    </row>
    <row r="94" spans="1:28" s="1765" customFormat="1" hidden="1" x14ac:dyDescent="0.25">
      <c r="A94" s="12"/>
      <c r="B94" s="1857"/>
      <c r="C94" s="1857"/>
    </row>
    <row r="95" spans="1:28" s="1765" customFormat="1" hidden="1" x14ac:dyDescent="0.25">
      <c r="A95" s="12"/>
      <c r="B95" s="1857"/>
      <c r="C95" s="1857"/>
    </row>
    <row r="96" spans="1:28" s="1765" customFormat="1" hidden="1" x14ac:dyDescent="0.25">
      <c r="A96" s="12"/>
      <c r="B96" s="1857"/>
      <c r="C96" s="1857"/>
    </row>
    <row r="97" spans="1:3" s="1765" customFormat="1" hidden="1" x14ac:dyDescent="0.25">
      <c r="A97" s="12"/>
      <c r="B97" s="1857"/>
      <c r="C97" s="1857"/>
    </row>
    <row r="98" spans="1:3" s="1765" customFormat="1" hidden="1" x14ac:dyDescent="0.25">
      <c r="A98" s="12"/>
      <c r="B98" s="1857"/>
      <c r="C98" s="1857"/>
    </row>
    <row r="99" spans="1:3" s="1765" customFormat="1" hidden="1" x14ac:dyDescent="0.25">
      <c r="A99" s="12"/>
      <c r="B99" s="1857"/>
      <c r="C99" s="1857"/>
    </row>
    <row r="100" spans="1:3" s="1765" customFormat="1" hidden="1" x14ac:dyDescent="0.25">
      <c r="A100" s="12"/>
      <c r="B100" s="1857"/>
      <c r="C100" s="1857"/>
    </row>
    <row r="101" spans="1:3" s="1765" customFormat="1" hidden="1" x14ac:dyDescent="0.25">
      <c r="A101" s="12"/>
      <c r="B101" s="1857"/>
      <c r="C101" s="1857"/>
    </row>
    <row r="102" spans="1:3" s="1765" customFormat="1" hidden="1" x14ac:dyDescent="0.25">
      <c r="A102" s="12"/>
      <c r="B102" s="1857"/>
      <c r="C102" s="1857"/>
    </row>
    <row r="103" spans="1:3" s="1765" customFormat="1" hidden="1" x14ac:dyDescent="0.25">
      <c r="A103" s="12"/>
      <c r="B103" s="1857"/>
      <c r="C103" s="1857"/>
    </row>
    <row r="104" spans="1:3" s="1765" customFormat="1" hidden="1" x14ac:dyDescent="0.25">
      <c r="A104" s="12"/>
      <c r="B104" s="1857"/>
      <c r="C104" s="1857"/>
    </row>
    <row r="105" spans="1:3" s="1765" customFormat="1" hidden="1" x14ac:dyDescent="0.25">
      <c r="A105" s="12"/>
      <c r="B105" s="1857"/>
      <c r="C105" s="1857"/>
    </row>
    <row r="106" spans="1:3" s="1765" customFormat="1" hidden="1" x14ac:dyDescent="0.25">
      <c r="A106" s="12"/>
      <c r="B106" s="1857"/>
      <c r="C106" s="1857"/>
    </row>
    <row r="107" spans="1:3" s="1765" customFormat="1" hidden="1" x14ac:dyDescent="0.25">
      <c r="A107" s="12"/>
      <c r="B107" s="1857"/>
      <c r="C107" s="1857"/>
    </row>
    <row r="108" spans="1:3" s="1765" customFormat="1" x14ac:dyDescent="0.25">
      <c r="A108" s="12"/>
      <c r="B108" s="1857"/>
      <c r="C108" s="1857"/>
    </row>
    <row r="109" spans="1:3" s="1765" customFormat="1" x14ac:dyDescent="0.25">
      <c r="A109" s="12"/>
      <c r="B109" s="1857"/>
      <c r="C109" s="1857"/>
    </row>
    <row r="110" spans="1:3" s="1765" customFormat="1" x14ac:dyDescent="0.25">
      <c r="A110" s="12"/>
      <c r="B110" s="1857"/>
      <c r="C110" s="1857"/>
    </row>
    <row r="111" spans="1:3" s="1765" customFormat="1" x14ac:dyDescent="0.25">
      <c r="A111" s="12"/>
      <c r="B111" s="1857"/>
      <c r="C111" s="1857"/>
    </row>
    <row r="112" spans="1:3" s="1765" customFormat="1" x14ac:dyDescent="0.25">
      <c r="A112" s="12"/>
      <c r="B112" s="1857"/>
      <c r="C112" s="1857"/>
    </row>
    <row r="113" spans="1:3" s="1765" customFormat="1" x14ac:dyDescent="0.25">
      <c r="A113" s="12"/>
      <c r="B113" s="1857"/>
      <c r="C113" s="1857"/>
    </row>
    <row r="114" spans="1:3" s="1765" customFormat="1" x14ac:dyDescent="0.25">
      <c r="A114" s="12"/>
      <c r="B114" s="1857"/>
      <c r="C114" s="1857"/>
    </row>
    <row r="115" spans="1:3" s="1765" customFormat="1" x14ac:dyDescent="0.25">
      <c r="A115" s="12"/>
      <c r="B115" s="1857"/>
      <c r="C115" s="1857"/>
    </row>
    <row r="116" spans="1:3" s="1765" customFormat="1" x14ac:dyDescent="0.25">
      <c r="A116" s="12"/>
      <c r="B116" s="1857"/>
      <c r="C116" s="1857"/>
    </row>
    <row r="117" spans="1:3" s="1765" customFormat="1" x14ac:dyDescent="0.25">
      <c r="A117" s="12"/>
      <c r="B117" s="1857"/>
      <c r="C117" s="1857"/>
    </row>
    <row r="118" spans="1:3" s="1765" customFormat="1" x14ac:dyDescent="0.25">
      <c r="A118" s="12"/>
      <c r="B118" s="1857"/>
      <c r="C118" s="1857"/>
    </row>
    <row r="119" spans="1:3" s="1765" customFormat="1" x14ac:dyDescent="0.25">
      <c r="A119" s="12"/>
      <c r="B119" s="1857"/>
      <c r="C119" s="1857"/>
    </row>
    <row r="120" spans="1:3" s="1765" customFormat="1" x14ac:dyDescent="0.25">
      <c r="A120" s="12"/>
      <c r="B120" s="1857"/>
      <c r="C120" s="1857"/>
    </row>
    <row r="121" spans="1:3" s="1765" customFormat="1" x14ac:dyDescent="0.25">
      <c r="A121" s="12"/>
      <c r="B121" s="1857"/>
      <c r="C121" s="1857"/>
    </row>
    <row r="122" spans="1:3" s="1765" customFormat="1" x14ac:dyDescent="0.25">
      <c r="A122" s="12"/>
      <c r="B122" s="1857"/>
      <c r="C122" s="1857"/>
    </row>
    <row r="123" spans="1:3" s="1765" customFormat="1" x14ac:dyDescent="0.25">
      <c r="A123" s="12"/>
      <c r="B123" s="1857"/>
      <c r="C123" s="1857"/>
    </row>
    <row r="124" spans="1:3" s="1765" customFormat="1" x14ac:dyDescent="0.25">
      <c r="A124" s="12"/>
      <c r="B124" s="1857"/>
      <c r="C124" s="1857"/>
    </row>
    <row r="125" spans="1:3" s="1765" customFormat="1" x14ac:dyDescent="0.25">
      <c r="A125" s="12"/>
      <c r="B125" s="1857"/>
      <c r="C125" s="1857"/>
    </row>
    <row r="126" spans="1:3" s="1765" customFormat="1" x14ac:dyDescent="0.25">
      <c r="A126" s="12"/>
      <c r="B126" s="1857"/>
      <c r="C126" s="1857"/>
    </row>
    <row r="127" spans="1:3" s="1765" customFormat="1" x14ac:dyDescent="0.25">
      <c r="A127" s="12"/>
      <c r="B127" s="1857"/>
      <c r="C127" s="1857"/>
    </row>
    <row r="128" spans="1:3" s="1765" customFormat="1" x14ac:dyDescent="0.25">
      <c r="A128" s="12"/>
      <c r="B128" s="1857"/>
      <c r="C128" s="1857"/>
    </row>
    <row r="129" spans="1:3" s="1765" customFormat="1" x14ac:dyDescent="0.25">
      <c r="A129" s="12"/>
      <c r="B129" s="1857"/>
      <c r="C129" s="1857"/>
    </row>
    <row r="130" spans="1:3" s="1765" customFormat="1" x14ac:dyDescent="0.25">
      <c r="A130" s="12"/>
      <c r="B130" s="1857"/>
      <c r="C130" s="1857"/>
    </row>
    <row r="131" spans="1:3" s="1765" customFormat="1" x14ac:dyDescent="0.25">
      <c r="A131" s="12"/>
      <c r="B131" s="1857"/>
      <c r="C131" s="1857"/>
    </row>
    <row r="132" spans="1:3" s="1765" customFormat="1" x14ac:dyDescent="0.25">
      <c r="A132" s="12"/>
      <c r="B132" s="1857"/>
      <c r="C132" s="1857"/>
    </row>
    <row r="133" spans="1:3" s="1765" customFormat="1" x14ac:dyDescent="0.25">
      <c r="A133" s="12"/>
      <c r="B133" s="1857"/>
      <c r="C133" s="1857"/>
    </row>
    <row r="134" spans="1:3" s="1765" customFormat="1" x14ac:dyDescent="0.25">
      <c r="A134" s="12"/>
      <c r="B134" s="1857"/>
      <c r="C134" s="1857"/>
    </row>
    <row r="135" spans="1:3" s="1765" customFormat="1" x14ac:dyDescent="0.25">
      <c r="A135" s="12"/>
      <c r="B135" s="1857"/>
      <c r="C135" s="1857"/>
    </row>
    <row r="136" spans="1:3" s="1765" customFormat="1" x14ac:dyDescent="0.25">
      <c r="A136" s="12"/>
      <c r="B136" s="1857"/>
      <c r="C136" s="1857"/>
    </row>
    <row r="137" spans="1:3" s="1765" customFormat="1" x14ac:dyDescent="0.25">
      <c r="A137" s="12"/>
      <c r="B137" s="1857"/>
      <c r="C137" s="1857"/>
    </row>
    <row r="138" spans="1:3" s="1765" customFormat="1" x14ac:dyDescent="0.25">
      <c r="A138" s="12"/>
      <c r="B138" s="1857"/>
      <c r="C138" s="1857"/>
    </row>
    <row r="139" spans="1:3" s="1765" customFormat="1" x14ac:dyDescent="0.25">
      <c r="A139" s="12"/>
      <c r="B139" s="1857"/>
      <c r="C139" s="1857"/>
    </row>
    <row r="140" spans="1:3" s="1765" customFormat="1" x14ac:dyDescent="0.25">
      <c r="A140" s="12"/>
      <c r="B140" s="1857"/>
      <c r="C140" s="1857"/>
    </row>
    <row r="141" spans="1:3" s="1765" customFormat="1" x14ac:dyDescent="0.25">
      <c r="A141" s="12"/>
      <c r="B141" s="1857"/>
      <c r="C141" s="1857"/>
    </row>
    <row r="142" spans="1:3" s="1765" customFormat="1" x14ac:dyDescent="0.25">
      <c r="A142" s="12"/>
      <c r="B142" s="1857"/>
      <c r="C142" s="1857"/>
    </row>
    <row r="143" spans="1:3" s="1765" customFormat="1" x14ac:dyDescent="0.25">
      <c r="A143" s="12"/>
      <c r="B143" s="1857"/>
      <c r="C143" s="1857"/>
    </row>
    <row r="144" spans="1:3" s="1765" customFormat="1" x14ac:dyDescent="0.25">
      <c r="A144" s="12"/>
      <c r="B144" s="1857"/>
      <c r="C144" s="1857"/>
    </row>
    <row r="145" spans="1:3" s="1765" customFormat="1" x14ac:dyDescent="0.25">
      <c r="A145" s="12"/>
      <c r="B145" s="1857"/>
      <c r="C145" s="1857"/>
    </row>
    <row r="146" spans="1:3" s="1765" customFormat="1" x14ac:dyDescent="0.25">
      <c r="A146" s="12"/>
      <c r="B146" s="1857"/>
      <c r="C146" s="1857"/>
    </row>
    <row r="147" spans="1:3" s="1765" customFormat="1" x14ac:dyDescent="0.25">
      <c r="A147" s="12"/>
      <c r="B147" s="1857"/>
      <c r="C147" s="1857"/>
    </row>
    <row r="148" spans="1:3" s="1765" customFormat="1" x14ac:dyDescent="0.25">
      <c r="A148" s="12"/>
      <c r="B148" s="1857"/>
      <c r="C148" s="1857"/>
    </row>
    <row r="149" spans="1:3" s="1765" customFormat="1" x14ac:dyDescent="0.25">
      <c r="A149" s="12"/>
      <c r="B149" s="1857"/>
      <c r="C149" s="1857"/>
    </row>
    <row r="150" spans="1:3" s="1765" customFormat="1" x14ac:dyDescent="0.25">
      <c r="A150" s="12"/>
      <c r="B150" s="1857"/>
      <c r="C150" s="1857"/>
    </row>
    <row r="151" spans="1:3" s="1765" customFormat="1" x14ac:dyDescent="0.25">
      <c r="A151" s="12"/>
      <c r="B151" s="1857"/>
      <c r="C151" s="1857"/>
    </row>
    <row r="152" spans="1:3" s="1765" customFormat="1" x14ac:dyDescent="0.25">
      <c r="A152" s="12"/>
      <c r="B152" s="1857"/>
      <c r="C152" s="1857"/>
    </row>
    <row r="153" spans="1:3" s="1765" customFormat="1" x14ac:dyDescent="0.25">
      <c r="A153" s="12"/>
      <c r="B153" s="1857"/>
      <c r="C153" s="1857"/>
    </row>
    <row r="154" spans="1:3" s="1765" customFormat="1" x14ac:dyDescent="0.25">
      <c r="A154" s="12"/>
      <c r="B154" s="1857"/>
      <c r="C154" s="1857"/>
    </row>
    <row r="155" spans="1:3" s="1765" customFormat="1" x14ac:dyDescent="0.25">
      <c r="A155" s="12"/>
      <c r="B155" s="1857"/>
      <c r="C155" s="1857"/>
    </row>
    <row r="156" spans="1:3" s="1765" customFormat="1" x14ac:dyDescent="0.25">
      <c r="A156" s="12"/>
      <c r="B156" s="1857"/>
      <c r="C156" s="1857"/>
    </row>
    <row r="157" spans="1:3" s="1765" customFormat="1" x14ac:dyDescent="0.25">
      <c r="A157" s="12"/>
      <c r="B157" s="1857"/>
      <c r="C157" s="1857"/>
    </row>
    <row r="158" spans="1:3" s="1765" customFormat="1" x14ac:dyDescent="0.25">
      <c r="A158" s="12"/>
      <c r="B158" s="1857"/>
      <c r="C158" s="1857"/>
    </row>
    <row r="159" spans="1:3" s="1765" customFormat="1" x14ac:dyDescent="0.25">
      <c r="A159" s="12"/>
      <c r="B159" s="1857"/>
      <c r="C159" s="1857"/>
    </row>
    <row r="160" spans="1:3" s="1765" customFormat="1" x14ac:dyDescent="0.25">
      <c r="A160" s="12"/>
      <c r="B160" s="1857"/>
      <c r="C160" s="1857"/>
    </row>
    <row r="161" spans="1:3" s="1765" customFormat="1" x14ac:dyDescent="0.25">
      <c r="A161" s="12"/>
      <c r="B161" s="1857"/>
      <c r="C161" s="1857"/>
    </row>
    <row r="162" spans="1:3" s="1765" customFormat="1" x14ac:dyDescent="0.25">
      <c r="A162" s="12"/>
      <c r="B162" s="1857"/>
      <c r="C162" s="1857"/>
    </row>
    <row r="163" spans="1:3" s="1765" customFormat="1" x14ac:dyDescent="0.25">
      <c r="A163" s="12"/>
      <c r="B163" s="1857"/>
      <c r="C163" s="1857"/>
    </row>
    <row r="164" spans="1:3" s="1765" customFormat="1" x14ac:dyDescent="0.25">
      <c r="A164" s="12"/>
      <c r="B164" s="1857"/>
      <c r="C164" s="1857"/>
    </row>
    <row r="165" spans="1:3" s="1765" customFormat="1" x14ac:dyDescent="0.25">
      <c r="A165" s="12"/>
      <c r="B165" s="1857"/>
      <c r="C165" s="1857"/>
    </row>
    <row r="166" spans="1:3" s="1765" customFormat="1" x14ac:dyDescent="0.25">
      <c r="A166" s="12"/>
      <c r="B166" s="1857"/>
      <c r="C166" s="1857"/>
    </row>
    <row r="167" spans="1:3" s="1765" customFormat="1" x14ac:dyDescent="0.25">
      <c r="A167" s="12"/>
      <c r="B167" s="1857"/>
      <c r="C167" s="1857"/>
    </row>
    <row r="168" spans="1:3" s="1765" customFormat="1" x14ac:dyDescent="0.25">
      <c r="A168" s="12"/>
      <c r="B168" s="1857"/>
      <c r="C168" s="1857"/>
    </row>
    <row r="169" spans="1:3" s="1765" customFormat="1" x14ac:dyDescent="0.25">
      <c r="A169" s="12"/>
      <c r="B169" s="1857"/>
      <c r="C169" s="1857"/>
    </row>
    <row r="170" spans="1:3" s="1765" customFormat="1" x14ac:dyDescent="0.25">
      <c r="A170" s="12"/>
      <c r="B170" s="1857"/>
      <c r="C170" s="1857"/>
    </row>
    <row r="171" spans="1:3" s="1765" customFormat="1" x14ac:dyDescent="0.25">
      <c r="A171" s="12"/>
      <c r="B171" s="1857"/>
      <c r="C171" s="1857"/>
    </row>
    <row r="172" spans="1:3" s="1765" customFormat="1" x14ac:dyDescent="0.25">
      <c r="A172" s="12"/>
      <c r="B172" s="1857"/>
      <c r="C172" s="1857"/>
    </row>
    <row r="173" spans="1:3" s="1765" customFormat="1" x14ac:dyDescent="0.25">
      <c r="A173" s="12"/>
      <c r="B173" s="1857"/>
      <c r="C173" s="1857"/>
    </row>
    <row r="174" spans="1:3" s="1765" customFormat="1" x14ac:dyDescent="0.25">
      <c r="A174" s="12"/>
      <c r="B174" s="1857"/>
      <c r="C174" s="1857"/>
    </row>
    <row r="175" spans="1:3" s="1765" customFormat="1" x14ac:dyDescent="0.25">
      <c r="A175" s="12"/>
      <c r="B175" s="1857"/>
      <c r="C175" s="1857"/>
    </row>
    <row r="176" spans="1:3" s="1765" customFormat="1" x14ac:dyDescent="0.25">
      <c r="A176" s="12"/>
      <c r="B176" s="1857"/>
      <c r="C176" s="1857"/>
    </row>
    <row r="177" spans="1:3" s="1765" customFormat="1" x14ac:dyDescent="0.25">
      <c r="A177" s="12"/>
      <c r="B177" s="1857"/>
      <c r="C177" s="1857"/>
    </row>
    <row r="178" spans="1:3" s="1765" customFormat="1" x14ac:dyDescent="0.25">
      <c r="A178" s="12"/>
      <c r="B178" s="1857"/>
      <c r="C178" s="1857"/>
    </row>
    <row r="179" spans="1:3" s="1765" customFormat="1" x14ac:dyDescent="0.25">
      <c r="A179" s="12"/>
      <c r="B179" s="1857"/>
      <c r="C179" s="1857"/>
    </row>
    <row r="180" spans="1:3" s="1765" customFormat="1" x14ac:dyDescent="0.25">
      <c r="A180" s="12"/>
      <c r="B180" s="1857"/>
      <c r="C180" s="1857"/>
    </row>
    <row r="181" spans="1:3" s="1765" customFormat="1" x14ac:dyDescent="0.25">
      <c r="A181" s="12"/>
      <c r="B181" s="1857"/>
      <c r="C181" s="1857"/>
    </row>
    <row r="182" spans="1:3" s="1765" customFormat="1" x14ac:dyDescent="0.25">
      <c r="A182" s="12"/>
      <c r="B182" s="1857"/>
      <c r="C182" s="1857"/>
    </row>
    <row r="183" spans="1:3" s="1765" customFormat="1" x14ac:dyDescent="0.25">
      <c r="A183" s="12"/>
      <c r="B183" s="1857"/>
      <c r="C183" s="1857"/>
    </row>
    <row r="184" spans="1:3" s="1765" customFormat="1" x14ac:dyDescent="0.25">
      <c r="A184" s="12"/>
      <c r="B184" s="1857"/>
      <c r="C184" s="1857"/>
    </row>
    <row r="185" spans="1:3" s="1765" customFormat="1" x14ac:dyDescent="0.25">
      <c r="A185" s="12"/>
      <c r="B185" s="1857"/>
      <c r="C185" s="1857"/>
    </row>
    <row r="186" spans="1:3" s="1765" customFormat="1" x14ac:dyDescent="0.25">
      <c r="A186" s="12"/>
      <c r="B186" s="1857"/>
      <c r="C186" s="1857"/>
    </row>
    <row r="187" spans="1:3" s="1765" customFormat="1" x14ac:dyDescent="0.25">
      <c r="A187" s="12"/>
      <c r="B187" s="1857"/>
      <c r="C187" s="1857"/>
    </row>
    <row r="188" spans="1:3" s="1765" customFormat="1" x14ac:dyDescent="0.25">
      <c r="A188" s="12"/>
      <c r="B188" s="1857"/>
      <c r="C188" s="1857"/>
    </row>
    <row r="189" spans="1:3" s="1765" customFormat="1" x14ac:dyDescent="0.25">
      <c r="A189" s="12"/>
      <c r="B189" s="1857"/>
      <c r="C189" s="1857"/>
    </row>
    <row r="190" spans="1:3" s="1765" customFormat="1" x14ac:dyDescent="0.25">
      <c r="A190" s="12"/>
      <c r="B190" s="1857"/>
      <c r="C190" s="1857"/>
    </row>
    <row r="191" spans="1:3" s="1765" customFormat="1" x14ac:dyDescent="0.25">
      <c r="A191" s="12"/>
      <c r="B191" s="1857"/>
      <c r="C191" s="1857"/>
    </row>
    <row r="192" spans="1:3" s="1765" customFormat="1" x14ac:dyDescent="0.25">
      <c r="A192" s="12"/>
      <c r="B192" s="1857"/>
      <c r="C192" s="1857"/>
    </row>
    <row r="193" spans="1:3" s="1765" customFormat="1" x14ac:dyDescent="0.25">
      <c r="A193" s="12"/>
      <c r="B193" s="1857"/>
      <c r="C193" s="1857"/>
    </row>
    <row r="194" spans="1:3" s="1765" customFormat="1" x14ac:dyDescent="0.25">
      <c r="A194" s="12"/>
      <c r="B194" s="1857"/>
      <c r="C194" s="1857"/>
    </row>
    <row r="195" spans="1:3" s="1765" customFormat="1" x14ac:dyDescent="0.25">
      <c r="A195" s="12"/>
      <c r="B195" s="1857"/>
      <c r="C195" s="1857"/>
    </row>
    <row r="196" spans="1:3" s="1765" customFormat="1" x14ac:dyDescent="0.25">
      <c r="A196" s="12"/>
      <c r="B196" s="1857"/>
      <c r="C196" s="1857"/>
    </row>
    <row r="197" spans="1:3" s="1765" customFormat="1" x14ac:dyDescent="0.25">
      <c r="A197" s="12"/>
      <c r="B197" s="1857"/>
      <c r="C197" s="1857"/>
    </row>
    <row r="198" spans="1:3" s="1765" customFormat="1" x14ac:dyDescent="0.25">
      <c r="A198" s="12"/>
      <c r="B198" s="1857"/>
      <c r="C198" s="1857"/>
    </row>
    <row r="199" spans="1:3" s="1765" customFormat="1" x14ac:dyDescent="0.25">
      <c r="A199" s="12"/>
      <c r="B199" s="1857"/>
      <c r="C199" s="1857"/>
    </row>
    <row r="200" spans="1:3" s="1765" customFormat="1" x14ac:dyDescent="0.25">
      <c r="A200" s="12"/>
      <c r="B200" s="1857"/>
      <c r="C200" s="1857"/>
    </row>
    <row r="201" spans="1:3" s="1765" customFormat="1" x14ac:dyDescent="0.25">
      <c r="A201" s="12"/>
      <c r="B201" s="1857"/>
      <c r="C201" s="1857"/>
    </row>
    <row r="202" spans="1:3" s="1765" customFormat="1" x14ac:dyDescent="0.25">
      <c r="A202" s="12"/>
      <c r="B202" s="1857"/>
      <c r="C202" s="1857"/>
    </row>
    <row r="203" spans="1:3" s="1765" customFormat="1" x14ac:dyDescent="0.25">
      <c r="A203" s="12"/>
      <c r="B203" s="1857"/>
      <c r="C203" s="1857"/>
    </row>
    <row r="204" spans="1:3" s="1765" customFormat="1" x14ac:dyDescent="0.25">
      <c r="A204" s="12"/>
      <c r="B204" s="1857"/>
      <c r="C204" s="1857"/>
    </row>
    <row r="205" spans="1:3" s="1765" customFormat="1" x14ac:dyDescent="0.25">
      <c r="A205" s="12"/>
      <c r="B205" s="1857"/>
      <c r="C205" s="1857"/>
    </row>
    <row r="206" spans="1:3" s="1765" customFormat="1" x14ac:dyDescent="0.25">
      <c r="A206" s="12"/>
      <c r="B206" s="1857"/>
      <c r="C206" s="1857"/>
    </row>
    <row r="207" spans="1:3" s="1765" customFormat="1" x14ac:dyDescent="0.25">
      <c r="A207" s="12"/>
      <c r="B207" s="1857"/>
      <c r="C207" s="1857"/>
    </row>
    <row r="208" spans="1:3" s="1765" customFormat="1" x14ac:dyDescent="0.25">
      <c r="A208" s="12"/>
      <c r="B208" s="1857"/>
      <c r="C208" s="1857"/>
    </row>
    <row r="209" spans="1:3" s="1765" customFormat="1" x14ac:dyDescent="0.25">
      <c r="A209" s="12"/>
      <c r="B209" s="1857"/>
      <c r="C209" s="1857"/>
    </row>
    <row r="210" spans="1:3" s="1765" customFormat="1" x14ac:dyDescent="0.25">
      <c r="A210" s="12"/>
      <c r="B210" s="1857"/>
      <c r="C210" s="1857"/>
    </row>
    <row r="211" spans="1:3" s="1765" customFormat="1" x14ac:dyDescent="0.25">
      <c r="A211" s="12"/>
      <c r="B211" s="1857"/>
      <c r="C211" s="1857"/>
    </row>
    <row r="212" spans="1:3" s="1765" customFormat="1" x14ac:dyDescent="0.25">
      <c r="A212" s="12"/>
      <c r="B212" s="1857"/>
      <c r="C212" s="1857"/>
    </row>
    <row r="213" spans="1:3" s="1765" customFormat="1" x14ac:dyDescent="0.25">
      <c r="A213" s="12"/>
      <c r="B213" s="1857"/>
      <c r="C213" s="1857"/>
    </row>
    <row r="214" spans="1:3" s="1765" customFormat="1" x14ac:dyDescent="0.25">
      <c r="A214" s="12"/>
      <c r="B214" s="1857"/>
      <c r="C214" s="1857"/>
    </row>
    <row r="215" spans="1:3" s="1765" customFormat="1" x14ac:dyDescent="0.25">
      <c r="A215" s="12"/>
      <c r="B215" s="1857"/>
      <c r="C215" s="1857"/>
    </row>
    <row r="216" spans="1:3" s="1765" customFormat="1" x14ac:dyDescent="0.25">
      <c r="A216" s="12"/>
      <c r="B216" s="1857"/>
      <c r="C216" s="1857"/>
    </row>
    <row r="217" spans="1:3" s="1765" customFormat="1" x14ac:dyDescent="0.25">
      <c r="A217" s="12"/>
      <c r="B217" s="1857"/>
      <c r="C217" s="1857"/>
    </row>
    <row r="218" spans="1:3" s="1765" customFormat="1" x14ac:dyDescent="0.25">
      <c r="A218" s="12"/>
      <c r="B218" s="1857"/>
      <c r="C218" s="1857"/>
    </row>
    <row r="219" spans="1:3" s="1765" customFormat="1" x14ac:dyDescent="0.25">
      <c r="A219" s="12"/>
      <c r="B219" s="1857"/>
      <c r="C219" s="1857"/>
    </row>
    <row r="220" spans="1:3" s="1765" customFormat="1" x14ac:dyDescent="0.25">
      <c r="A220" s="12"/>
      <c r="B220" s="1857"/>
      <c r="C220" s="1857"/>
    </row>
    <row r="221" spans="1:3" s="1765" customFormat="1" x14ac:dyDescent="0.25">
      <c r="A221" s="12"/>
      <c r="B221" s="1857"/>
      <c r="C221" s="1857"/>
    </row>
    <row r="222" spans="1:3" s="1765" customFormat="1" x14ac:dyDescent="0.25">
      <c r="A222" s="12"/>
      <c r="B222" s="1857"/>
      <c r="C222" s="1857"/>
    </row>
    <row r="223" spans="1:3" s="1765" customFormat="1" x14ac:dyDescent="0.25">
      <c r="A223" s="12"/>
      <c r="B223" s="1857"/>
      <c r="C223" s="1857"/>
    </row>
    <row r="224" spans="1:3" s="1765" customFormat="1" x14ac:dyDescent="0.25">
      <c r="A224" s="12"/>
      <c r="B224" s="1857"/>
      <c r="C224" s="1857"/>
    </row>
    <row r="225" spans="1:3" s="1765" customFormat="1" x14ac:dyDescent="0.25">
      <c r="A225" s="12"/>
      <c r="B225" s="1857"/>
      <c r="C225" s="1857"/>
    </row>
    <row r="226" spans="1:3" s="1765" customFormat="1" x14ac:dyDescent="0.25">
      <c r="A226" s="12"/>
      <c r="B226" s="1857"/>
      <c r="C226" s="1857"/>
    </row>
    <row r="227" spans="1:3" s="1765" customFormat="1" x14ac:dyDescent="0.25">
      <c r="A227" s="12"/>
      <c r="B227" s="1857"/>
      <c r="C227" s="1857"/>
    </row>
    <row r="228" spans="1:3" s="1765" customFormat="1" x14ac:dyDescent="0.25">
      <c r="A228" s="12"/>
      <c r="B228" s="1857"/>
      <c r="C228" s="1857"/>
    </row>
    <row r="229" spans="1:3" s="1765" customFormat="1" x14ac:dyDescent="0.25">
      <c r="A229" s="12"/>
      <c r="B229" s="1857"/>
      <c r="C229" s="1857"/>
    </row>
    <row r="230" spans="1:3" s="1765" customFormat="1" x14ac:dyDescent="0.25">
      <c r="A230" s="12"/>
      <c r="B230" s="1857"/>
      <c r="C230" s="1857"/>
    </row>
    <row r="231" spans="1:3" s="1765" customFormat="1" x14ac:dyDescent="0.25">
      <c r="A231" s="12"/>
      <c r="B231" s="1857"/>
      <c r="C231" s="1857"/>
    </row>
    <row r="232" spans="1:3" s="1765" customFormat="1" x14ac:dyDescent="0.25">
      <c r="A232" s="12"/>
      <c r="B232" s="1857"/>
      <c r="C232" s="1857"/>
    </row>
    <row r="233" spans="1:3" s="1765" customFormat="1" x14ac:dyDescent="0.25">
      <c r="A233" s="12"/>
      <c r="B233" s="1857"/>
      <c r="C233" s="1857"/>
    </row>
    <row r="234" spans="1:3" s="1765" customFormat="1" x14ac:dyDescent="0.25">
      <c r="A234" s="12"/>
      <c r="B234" s="1857"/>
      <c r="C234" s="1857"/>
    </row>
    <row r="235" spans="1:3" s="1765" customFormat="1" x14ac:dyDescent="0.25">
      <c r="A235" s="12"/>
      <c r="B235" s="1857"/>
      <c r="C235" s="1857"/>
    </row>
    <row r="236" spans="1:3" s="1765" customFormat="1" x14ac:dyDescent="0.25">
      <c r="A236" s="12"/>
      <c r="B236" s="1857"/>
      <c r="C236" s="1857"/>
    </row>
    <row r="237" spans="1:3" s="1765" customFormat="1" x14ac:dyDescent="0.25">
      <c r="A237" s="12"/>
      <c r="B237" s="1857"/>
      <c r="C237" s="1857"/>
    </row>
    <row r="238" spans="1:3" s="1765" customFormat="1" x14ac:dyDescent="0.25">
      <c r="A238" s="12"/>
      <c r="B238" s="1857"/>
      <c r="C238" s="1857"/>
    </row>
    <row r="239" spans="1:3" s="1765" customFormat="1" x14ac:dyDescent="0.25">
      <c r="A239" s="12"/>
      <c r="B239" s="1857"/>
      <c r="C239" s="1857"/>
    </row>
    <row r="240" spans="1:3" s="1765" customFormat="1" x14ac:dyDescent="0.25">
      <c r="A240" s="12"/>
      <c r="B240" s="1857"/>
      <c r="C240" s="1857"/>
    </row>
    <row r="241" spans="1:3" s="1765" customFormat="1" x14ac:dyDescent="0.25">
      <c r="A241" s="12"/>
      <c r="B241" s="1857"/>
      <c r="C241" s="1857"/>
    </row>
    <row r="242" spans="1:3" s="1765" customFormat="1" x14ac:dyDescent="0.25">
      <c r="A242" s="12"/>
      <c r="B242" s="1857"/>
      <c r="C242" s="1857"/>
    </row>
    <row r="243" spans="1:3" s="1765" customFormat="1" x14ac:dyDescent="0.25">
      <c r="A243" s="12"/>
      <c r="B243" s="1857"/>
      <c r="C243" s="1857"/>
    </row>
    <row r="244" spans="1:3" s="1765" customFormat="1" x14ac:dyDescent="0.25">
      <c r="A244" s="12"/>
      <c r="B244" s="1857"/>
      <c r="C244" s="1857"/>
    </row>
    <row r="245" spans="1:3" s="1765" customFormat="1" x14ac:dyDescent="0.25">
      <c r="A245" s="12"/>
      <c r="B245" s="1857"/>
      <c r="C245" s="1857"/>
    </row>
    <row r="246" spans="1:3" s="1765" customFormat="1" x14ac:dyDescent="0.25">
      <c r="A246" s="12"/>
      <c r="B246" s="1857"/>
      <c r="C246" s="1857"/>
    </row>
    <row r="247" spans="1:3" s="1765" customFormat="1" x14ac:dyDescent="0.25">
      <c r="A247" s="12"/>
      <c r="B247" s="1857"/>
      <c r="C247" s="1857"/>
    </row>
    <row r="248" spans="1:3" s="1765" customFormat="1" x14ac:dyDescent="0.25">
      <c r="A248" s="12"/>
      <c r="B248" s="1857"/>
      <c r="C248" s="1857"/>
    </row>
    <row r="249" spans="1:3" s="1765" customFormat="1" x14ac:dyDescent="0.25">
      <c r="A249" s="12"/>
      <c r="B249" s="1857"/>
      <c r="C249" s="1857"/>
    </row>
    <row r="250" spans="1:3" s="1765" customFormat="1" x14ac:dyDescent="0.25">
      <c r="A250" s="12"/>
      <c r="B250" s="1857"/>
      <c r="C250" s="1857"/>
    </row>
    <row r="251" spans="1:3" s="1765" customFormat="1" x14ac:dyDescent="0.25">
      <c r="A251" s="12"/>
      <c r="B251" s="1857"/>
      <c r="C251" s="1857"/>
    </row>
    <row r="252" spans="1:3" s="1765" customFormat="1" x14ac:dyDescent="0.25">
      <c r="A252" s="12"/>
      <c r="B252" s="1857"/>
      <c r="C252" s="1857"/>
    </row>
    <row r="253" spans="1:3" s="1765" customFormat="1" x14ac:dyDescent="0.25">
      <c r="A253" s="12"/>
      <c r="B253" s="1857"/>
      <c r="C253" s="1857"/>
    </row>
    <row r="254" spans="1:3" s="1765" customFormat="1" x14ac:dyDescent="0.25">
      <c r="A254" s="12"/>
      <c r="B254" s="1857"/>
      <c r="C254" s="1857"/>
    </row>
    <row r="255" spans="1:3" s="1765" customFormat="1" x14ac:dyDescent="0.25">
      <c r="A255" s="12"/>
      <c r="B255" s="1857"/>
      <c r="C255" s="1857"/>
    </row>
    <row r="256" spans="1:3" s="1765" customFormat="1" x14ac:dyDescent="0.25">
      <c r="A256" s="12"/>
      <c r="B256" s="1857"/>
      <c r="C256" s="1857"/>
    </row>
    <row r="257" spans="1:3" s="1765" customFormat="1" x14ac:dyDescent="0.25">
      <c r="A257" s="12"/>
      <c r="B257" s="1857"/>
      <c r="C257" s="1857"/>
    </row>
    <row r="258" spans="1:3" s="1765" customFormat="1" x14ac:dyDescent="0.25">
      <c r="A258" s="12"/>
      <c r="B258" s="1857"/>
      <c r="C258" s="1857"/>
    </row>
    <row r="259" spans="1:3" s="1765" customFormat="1" x14ac:dyDescent="0.25">
      <c r="A259" s="12"/>
      <c r="B259" s="1857"/>
      <c r="C259" s="1857"/>
    </row>
    <row r="260" spans="1:3" s="1765" customFormat="1" x14ac:dyDescent="0.25">
      <c r="A260" s="12"/>
      <c r="B260" s="1857"/>
      <c r="C260" s="1857"/>
    </row>
    <row r="261" spans="1:3" s="1765" customFormat="1" x14ac:dyDescent="0.25">
      <c r="A261" s="12"/>
      <c r="B261" s="1857"/>
      <c r="C261" s="1857"/>
    </row>
    <row r="262" spans="1:3" s="1765" customFormat="1" x14ac:dyDescent="0.25">
      <c r="A262" s="12"/>
      <c r="B262" s="1857"/>
      <c r="C262" s="1857"/>
    </row>
    <row r="263" spans="1:3" s="1765" customFormat="1" x14ac:dyDescent="0.25">
      <c r="A263" s="12"/>
      <c r="B263" s="1857"/>
      <c r="C263" s="1857"/>
    </row>
    <row r="264" spans="1:3" s="1765" customFormat="1" x14ac:dyDescent="0.25">
      <c r="A264" s="12"/>
      <c r="B264" s="1857"/>
      <c r="C264" s="1857"/>
    </row>
    <row r="265" spans="1:3" s="1765" customFormat="1" x14ac:dyDescent="0.25">
      <c r="A265" s="12"/>
      <c r="B265" s="1857"/>
      <c r="C265" s="1857"/>
    </row>
    <row r="266" spans="1:3" s="1765" customFormat="1" x14ac:dyDescent="0.25">
      <c r="A266" s="12"/>
      <c r="B266" s="1857"/>
      <c r="C266" s="1857"/>
    </row>
    <row r="267" spans="1:3" s="1765" customFormat="1" x14ac:dyDescent="0.25">
      <c r="A267" s="12"/>
      <c r="B267" s="1857"/>
      <c r="C267" s="1857"/>
    </row>
    <row r="268" spans="1:3" s="1765" customFormat="1" x14ac:dyDescent="0.25">
      <c r="A268" s="12"/>
      <c r="B268" s="1857"/>
      <c r="C268" s="1857"/>
    </row>
    <row r="269" spans="1:3" s="1765" customFormat="1" x14ac:dyDescent="0.25">
      <c r="A269" s="12"/>
      <c r="B269" s="1857"/>
      <c r="C269" s="1857"/>
    </row>
    <row r="270" spans="1:3" s="1765" customFormat="1" x14ac:dyDescent="0.25">
      <c r="A270" s="12"/>
      <c r="B270" s="1857"/>
      <c r="C270" s="1857"/>
    </row>
    <row r="271" spans="1:3" s="1765" customFormat="1" x14ac:dyDescent="0.25">
      <c r="A271" s="12"/>
      <c r="B271" s="1857"/>
      <c r="C271" s="1857"/>
    </row>
    <row r="272" spans="1:3" s="1765" customFormat="1" x14ac:dyDescent="0.25">
      <c r="A272" s="12"/>
      <c r="B272" s="1857"/>
      <c r="C272" s="1857"/>
    </row>
    <row r="273" spans="1:3" s="1765" customFormat="1" x14ac:dyDescent="0.25">
      <c r="A273" s="12"/>
      <c r="B273" s="1857"/>
      <c r="C273" s="1857"/>
    </row>
    <row r="274" spans="1:3" s="1765" customFormat="1" x14ac:dyDescent="0.25">
      <c r="A274" s="12"/>
      <c r="B274" s="1857"/>
      <c r="C274" s="1857"/>
    </row>
    <row r="275" spans="1:3" s="1765" customFormat="1" x14ac:dyDescent="0.25">
      <c r="A275" s="12"/>
      <c r="B275" s="1857"/>
      <c r="C275" s="1857"/>
    </row>
    <row r="276" spans="1:3" s="1765" customFormat="1" x14ac:dyDescent="0.25">
      <c r="A276" s="12"/>
      <c r="B276" s="1857"/>
      <c r="C276" s="1857"/>
    </row>
    <row r="277" spans="1:3" s="1765" customFormat="1" x14ac:dyDescent="0.25">
      <c r="A277" s="12"/>
      <c r="B277" s="1857"/>
      <c r="C277" s="1857"/>
    </row>
    <row r="278" spans="1:3" s="1765" customFormat="1" x14ac:dyDescent="0.25">
      <c r="A278" s="12"/>
      <c r="B278" s="1857"/>
      <c r="C278" s="1857"/>
    </row>
    <row r="279" spans="1:3" s="1765" customFormat="1" x14ac:dyDescent="0.25">
      <c r="A279" s="12"/>
      <c r="B279" s="1857"/>
      <c r="C279" s="1857"/>
    </row>
    <row r="280" spans="1:3" s="1765" customFormat="1" x14ac:dyDescent="0.25">
      <c r="A280" s="12"/>
      <c r="B280" s="1857"/>
      <c r="C280" s="1857"/>
    </row>
    <row r="281" spans="1:3" s="1765" customFormat="1" x14ac:dyDescent="0.25">
      <c r="A281" s="12"/>
      <c r="B281" s="1857"/>
      <c r="C281" s="1857"/>
    </row>
    <row r="282" spans="1:3" s="1765" customFormat="1" x14ac:dyDescent="0.25">
      <c r="A282" s="12"/>
      <c r="B282" s="1857"/>
      <c r="C282" s="1857"/>
    </row>
    <row r="283" spans="1:3" s="1765" customFormat="1" x14ac:dyDescent="0.25">
      <c r="A283" s="12"/>
      <c r="B283" s="1857"/>
      <c r="C283" s="1857"/>
    </row>
    <row r="284" spans="1:3" s="1765" customFormat="1" x14ac:dyDescent="0.25">
      <c r="A284" s="12"/>
      <c r="B284" s="1857"/>
      <c r="C284" s="1857"/>
    </row>
    <row r="285" spans="1:3" s="1765" customFormat="1" x14ac:dyDescent="0.25">
      <c r="A285" s="12"/>
      <c r="B285" s="1857"/>
      <c r="C285" s="1857"/>
    </row>
    <row r="286" spans="1:3" s="1765" customFormat="1" x14ac:dyDescent="0.25">
      <c r="A286" s="12"/>
      <c r="B286" s="1857"/>
      <c r="C286" s="1857"/>
    </row>
    <row r="287" spans="1:3" s="1765" customFormat="1" x14ac:dyDescent="0.25">
      <c r="A287" s="12"/>
      <c r="B287" s="1857"/>
      <c r="C287" s="1857"/>
    </row>
    <row r="288" spans="1:3" s="1765" customFormat="1" x14ac:dyDescent="0.25">
      <c r="A288" s="12"/>
      <c r="B288" s="1857"/>
      <c r="C288" s="1857"/>
    </row>
    <row r="289" spans="1:3" s="1765" customFormat="1" x14ac:dyDescent="0.25">
      <c r="A289" s="12"/>
      <c r="B289" s="1857"/>
      <c r="C289" s="1857"/>
    </row>
    <row r="290" spans="1:3" s="1765" customFormat="1" x14ac:dyDescent="0.25">
      <c r="A290" s="12"/>
      <c r="B290" s="1857"/>
      <c r="C290" s="1857"/>
    </row>
    <row r="291" spans="1:3" s="1765" customFormat="1" x14ac:dyDescent="0.25">
      <c r="A291" s="12"/>
      <c r="B291" s="1857"/>
      <c r="C291" s="1857"/>
    </row>
    <row r="292" spans="1:3" s="1765" customFormat="1" x14ac:dyDescent="0.25">
      <c r="A292" s="12"/>
      <c r="B292" s="1857"/>
      <c r="C292" s="1857"/>
    </row>
    <row r="293" spans="1:3" s="1765" customFormat="1" x14ac:dyDescent="0.25">
      <c r="A293" s="12"/>
      <c r="B293" s="1857"/>
      <c r="C293" s="1857"/>
    </row>
    <row r="294" spans="1:3" s="1765" customFormat="1" x14ac:dyDescent="0.25">
      <c r="A294" s="12"/>
      <c r="B294" s="1857"/>
      <c r="C294" s="1857"/>
    </row>
    <row r="295" spans="1:3" s="1765" customFormat="1" x14ac:dyDescent="0.25">
      <c r="A295" s="12"/>
      <c r="B295" s="1857"/>
      <c r="C295" s="1857"/>
    </row>
    <row r="296" spans="1:3" s="1765" customFormat="1" x14ac:dyDescent="0.25">
      <c r="A296" s="12"/>
      <c r="B296" s="1857"/>
      <c r="C296" s="1857"/>
    </row>
    <row r="297" spans="1:3" s="1765" customFormat="1" x14ac:dyDescent="0.25">
      <c r="A297" s="12"/>
      <c r="B297" s="1857"/>
      <c r="C297" s="1857"/>
    </row>
    <row r="298" spans="1:3" s="1765" customFormat="1" x14ac:dyDescent="0.25">
      <c r="A298" s="12"/>
      <c r="B298" s="1857"/>
      <c r="C298" s="1857"/>
    </row>
    <row r="299" spans="1:3" s="1765" customFormat="1" x14ac:dyDescent="0.25">
      <c r="A299" s="12"/>
      <c r="B299" s="1857"/>
      <c r="C299" s="1857"/>
    </row>
    <row r="300" spans="1:3" s="1765" customFormat="1" x14ac:dyDescent="0.25">
      <c r="A300" s="12"/>
      <c r="B300" s="1857"/>
      <c r="C300" s="1857"/>
    </row>
    <row r="301" spans="1:3" s="1765" customFormat="1" x14ac:dyDescent="0.25">
      <c r="A301" s="12"/>
      <c r="B301" s="1857"/>
      <c r="C301" s="1857"/>
    </row>
    <row r="302" spans="1:3" s="1765" customFormat="1" x14ac:dyDescent="0.25">
      <c r="A302" s="12"/>
      <c r="B302" s="1857"/>
      <c r="C302" s="1857"/>
    </row>
    <row r="303" spans="1:3" s="1765" customFormat="1" x14ac:dyDescent="0.25">
      <c r="A303" s="12"/>
      <c r="B303" s="1857"/>
      <c r="C303" s="1857"/>
    </row>
    <row r="304" spans="1:3" s="1765" customFormat="1" x14ac:dyDescent="0.25">
      <c r="A304" s="12"/>
      <c r="B304" s="1857"/>
      <c r="C304" s="1857"/>
    </row>
    <row r="305" spans="1:3" s="1765" customFormat="1" x14ac:dyDescent="0.25">
      <c r="A305" s="12"/>
      <c r="B305" s="1857"/>
      <c r="C305" s="1857"/>
    </row>
    <row r="306" spans="1:3" s="1765" customFormat="1" x14ac:dyDescent="0.25">
      <c r="A306" s="12"/>
      <c r="B306" s="1857"/>
      <c r="C306" s="1857"/>
    </row>
    <row r="307" spans="1:3" s="1765" customFormat="1" x14ac:dyDescent="0.25">
      <c r="A307" s="12"/>
      <c r="B307" s="1857"/>
      <c r="C307" s="1857"/>
    </row>
    <row r="308" spans="1:3" s="1765" customFormat="1" x14ac:dyDescent="0.25">
      <c r="A308" s="12"/>
      <c r="B308" s="1857"/>
      <c r="C308" s="1857"/>
    </row>
    <row r="309" spans="1:3" s="1765" customFormat="1" x14ac:dyDescent="0.25">
      <c r="A309" s="12"/>
      <c r="B309" s="1857"/>
      <c r="C309" s="1857"/>
    </row>
    <row r="310" spans="1:3" s="1765" customFormat="1" x14ac:dyDescent="0.25">
      <c r="A310" s="12"/>
      <c r="B310" s="1857"/>
      <c r="C310" s="1857"/>
    </row>
    <row r="311" spans="1:3" s="1765" customFormat="1" x14ac:dyDescent="0.25">
      <c r="A311" s="12"/>
      <c r="B311" s="1857"/>
      <c r="C311" s="1857"/>
    </row>
    <row r="312" spans="1:3" s="1765" customFormat="1" x14ac:dyDescent="0.25">
      <c r="A312" s="12"/>
      <c r="B312" s="1857"/>
      <c r="C312" s="1857"/>
    </row>
    <row r="313" spans="1:3" s="1765" customFormat="1" x14ac:dyDescent="0.25">
      <c r="A313" s="12"/>
      <c r="B313" s="1857"/>
      <c r="C313" s="1857"/>
    </row>
    <row r="314" spans="1:3" s="1765" customFormat="1" x14ac:dyDescent="0.25">
      <c r="A314" s="12"/>
      <c r="B314" s="1857"/>
      <c r="C314" s="1857"/>
    </row>
    <row r="315" spans="1:3" s="1765" customFormat="1" x14ac:dyDescent="0.25">
      <c r="A315" s="12"/>
      <c r="B315" s="1857"/>
      <c r="C315" s="1857"/>
    </row>
    <row r="316" spans="1:3" s="1765" customFormat="1" x14ac:dyDescent="0.25">
      <c r="A316" s="12"/>
      <c r="B316" s="1857"/>
      <c r="C316" s="1857"/>
    </row>
    <row r="317" spans="1:3" s="1765" customFormat="1" x14ac:dyDescent="0.25">
      <c r="A317" s="12"/>
      <c r="B317" s="1857"/>
      <c r="C317" s="1857"/>
    </row>
    <row r="318" spans="1:3" s="1765" customFormat="1" x14ac:dyDescent="0.25">
      <c r="A318" s="12"/>
      <c r="B318" s="1857"/>
      <c r="C318" s="1857"/>
    </row>
    <row r="319" spans="1:3" s="1765" customFormat="1" x14ac:dyDescent="0.25">
      <c r="A319" s="12"/>
      <c r="B319" s="1857"/>
      <c r="C319" s="1857"/>
    </row>
    <row r="320" spans="1:3" s="1765" customFormat="1" x14ac:dyDescent="0.25">
      <c r="A320" s="12"/>
      <c r="B320" s="1857"/>
      <c r="C320" s="1857"/>
    </row>
    <row r="321" spans="1:3" s="1765" customFormat="1" x14ac:dyDescent="0.25">
      <c r="A321" s="12"/>
      <c r="B321" s="1857"/>
      <c r="C321" s="1857"/>
    </row>
    <row r="322" spans="1:3" s="1765" customFormat="1" x14ac:dyDescent="0.25">
      <c r="A322" s="12"/>
      <c r="B322" s="1857"/>
      <c r="C322" s="1857"/>
    </row>
    <row r="323" spans="1:3" s="1765" customFormat="1" x14ac:dyDescent="0.25">
      <c r="A323" s="12"/>
      <c r="B323" s="1857"/>
      <c r="C323" s="1857"/>
    </row>
    <row r="324" spans="1:3" s="1765" customFormat="1" x14ac:dyDescent="0.25">
      <c r="A324" s="12"/>
      <c r="B324" s="1857"/>
      <c r="C324" s="1857"/>
    </row>
    <row r="325" spans="1:3" s="1765" customFormat="1" x14ac:dyDescent="0.25">
      <c r="A325" s="12"/>
      <c r="B325" s="1857"/>
      <c r="C325" s="1857"/>
    </row>
    <row r="326" spans="1:3" s="1765" customFormat="1" x14ac:dyDescent="0.25">
      <c r="A326" s="12"/>
      <c r="B326" s="1857"/>
      <c r="C326" s="1857"/>
    </row>
    <row r="327" spans="1:3" s="1765" customFormat="1" x14ac:dyDescent="0.25">
      <c r="A327" s="12"/>
      <c r="B327" s="1857"/>
      <c r="C327" s="1857"/>
    </row>
    <row r="328" spans="1:3" s="1765" customFormat="1" x14ac:dyDescent="0.25">
      <c r="A328" s="12"/>
      <c r="B328" s="1857"/>
      <c r="C328" s="1857"/>
    </row>
    <row r="329" spans="1:3" s="1765" customFormat="1" x14ac:dyDescent="0.25">
      <c r="A329" s="12"/>
      <c r="B329" s="1857"/>
      <c r="C329" s="1857"/>
    </row>
    <row r="330" spans="1:3" s="1765" customFormat="1" x14ac:dyDescent="0.25">
      <c r="A330" s="12"/>
      <c r="B330" s="1857"/>
      <c r="C330" s="1857"/>
    </row>
    <row r="331" spans="1:3" s="1765" customFormat="1" x14ac:dyDescent="0.25">
      <c r="A331" s="12"/>
      <c r="B331" s="1857"/>
      <c r="C331" s="1857"/>
    </row>
    <row r="332" spans="1:3" s="1765" customFormat="1" x14ac:dyDescent="0.25">
      <c r="A332" s="12"/>
      <c r="B332" s="1857"/>
      <c r="C332" s="1857"/>
    </row>
    <row r="333" spans="1:3" s="1765" customFormat="1" x14ac:dyDescent="0.25">
      <c r="A333" s="12"/>
      <c r="B333" s="1857"/>
      <c r="C333" s="1857"/>
    </row>
    <row r="334" spans="1:3" s="1765" customFormat="1" x14ac:dyDescent="0.25">
      <c r="A334" s="12"/>
      <c r="B334" s="1857"/>
      <c r="C334" s="1857"/>
    </row>
    <row r="335" spans="1:3" s="1765" customFormat="1" x14ac:dyDescent="0.25">
      <c r="A335" s="12"/>
      <c r="B335" s="1857"/>
      <c r="C335" s="1857"/>
    </row>
    <row r="336" spans="1:3" s="1765" customFormat="1" x14ac:dyDescent="0.25">
      <c r="A336" s="12"/>
      <c r="B336" s="1857"/>
      <c r="C336" s="1857"/>
    </row>
    <row r="337" spans="1:3" s="1765" customFormat="1" x14ac:dyDescent="0.25">
      <c r="A337" s="12"/>
      <c r="B337" s="1857"/>
      <c r="C337" s="1857"/>
    </row>
    <row r="338" spans="1:3" s="1765" customFormat="1" x14ac:dyDescent="0.25">
      <c r="A338" s="12"/>
      <c r="B338" s="1857"/>
      <c r="C338" s="1857"/>
    </row>
    <row r="339" spans="1:3" s="1765" customFormat="1" x14ac:dyDescent="0.25">
      <c r="A339" s="12"/>
      <c r="B339" s="1857"/>
      <c r="C339" s="1857"/>
    </row>
    <row r="340" spans="1:3" s="1765" customFormat="1" x14ac:dyDescent="0.25">
      <c r="A340" s="12"/>
      <c r="B340" s="1857"/>
      <c r="C340" s="1857"/>
    </row>
    <row r="341" spans="1:3" s="1765" customFormat="1" x14ac:dyDescent="0.25">
      <c r="A341" s="12"/>
      <c r="B341" s="1857"/>
      <c r="C341" s="1857"/>
    </row>
    <row r="342" spans="1:3" s="1765" customFormat="1" x14ac:dyDescent="0.25">
      <c r="A342" s="12"/>
      <c r="B342" s="1857"/>
      <c r="C342" s="1857"/>
    </row>
    <row r="343" spans="1:3" s="1765" customFormat="1" x14ac:dyDescent="0.25">
      <c r="A343" s="12"/>
      <c r="B343" s="1857"/>
      <c r="C343" s="1857"/>
    </row>
    <row r="344" spans="1:3" s="1765" customFormat="1" x14ac:dyDescent="0.25">
      <c r="A344" s="12"/>
      <c r="B344" s="1857"/>
      <c r="C344" s="1857"/>
    </row>
    <row r="345" spans="1:3" s="1765" customFormat="1" x14ac:dyDescent="0.25">
      <c r="A345" s="12"/>
      <c r="B345" s="1857"/>
      <c r="C345" s="1857"/>
    </row>
    <row r="346" spans="1:3" s="1765" customFormat="1" x14ac:dyDescent="0.25">
      <c r="A346" s="12"/>
      <c r="B346" s="1857"/>
      <c r="C346" s="1857"/>
    </row>
    <row r="347" spans="1:3" s="1765" customFormat="1" x14ac:dyDescent="0.25">
      <c r="A347" s="12"/>
      <c r="B347" s="1857"/>
      <c r="C347" s="1857"/>
    </row>
    <row r="348" spans="1:3" s="1765" customFormat="1" x14ac:dyDescent="0.25">
      <c r="A348" s="12"/>
      <c r="B348" s="1857"/>
      <c r="C348" s="1857"/>
    </row>
    <row r="349" spans="1:3" s="1765" customFormat="1" x14ac:dyDescent="0.25">
      <c r="A349" s="12"/>
      <c r="B349" s="1857"/>
      <c r="C349" s="1857"/>
    </row>
    <row r="350" spans="1:3" s="1765" customFormat="1" x14ac:dyDescent="0.25">
      <c r="A350" s="12"/>
      <c r="B350" s="1857"/>
      <c r="C350" s="1857"/>
    </row>
    <row r="351" spans="1:3" s="1765" customFormat="1" x14ac:dyDescent="0.25">
      <c r="A351" s="12"/>
      <c r="B351" s="1857"/>
      <c r="C351" s="1857"/>
    </row>
    <row r="352" spans="1:3" s="1765" customFormat="1" x14ac:dyDescent="0.25">
      <c r="A352" s="12"/>
      <c r="B352" s="1857"/>
      <c r="C352" s="1857"/>
    </row>
    <row r="353" spans="1:3" s="1765" customFormat="1" x14ac:dyDescent="0.25">
      <c r="A353" s="12"/>
      <c r="B353" s="1857"/>
      <c r="C353" s="1857"/>
    </row>
    <row r="354" spans="1:3" s="1765" customFormat="1" x14ac:dyDescent="0.25">
      <c r="A354" s="12"/>
      <c r="B354" s="1857"/>
      <c r="C354" s="1857"/>
    </row>
    <row r="355" spans="1:3" s="1765" customFormat="1" x14ac:dyDescent="0.25">
      <c r="A355" s="12"/>
      <c r="B355" s="1857"/>
      <c r="C355" s="1857"/>
    </row>
    <row r="356" spans="1:3" s="1765" customFormat="1" x14ac:dyDescent="0.25">
      <c r="A356" s="12"/>
      <c r="B356" s="1857"/>
      <c r="C356" s="1857"/>
    </row>
    <row r="357" spans="1:3" s="1765" customFormat="1" x14ac:dyDescent="0.25">
      <c r="A357" s="12"/>
      <c r="B357" s="1857"/>
      <c r="C357" s="1857"/>
    </row>
    <row r="358" spans="1:3" s="1765" customFormat="1" x14ac:dyDescent="0.25">
      <c r="A358" s="12"/>
      <c r="B358" s="1857"/>
      <c r="C358" s="1857"/>
    </row>
    <row r="359" spans="1:3" s="1765" customFormat="1" x14ac:dyDescent="0.25">
      <c r="A359" s="12"/>
      <c r="B359" s="1857"/>
      <c r="C359" s="1857"/>
    </row>
    <row r="360" spans="1:3" s="1765" customFormat="1" x14ac:dyDescent="0.25">
      <c r="A360" s="12"/>
      <c r="B360" s="1857"/>
      <c r="C360" s="1857"/>
    </row>
    <row r="361" spans="1:3" s="1765" customFormat="1" x14ac:dyDescent="0.25">
      <c r="A361" s="12"/>
      <c r="B361" s="1857"/>
      <c r="C361" s="1857"/>
    </row>
    <row r="362" spans="1:3" s="1765" customFormat="1" x14ac:dyDescent="0.25">
      <c r="A362" s="12"/>
      <c r="B362" s="1857"/>
      <c r="C362" s="1857"/>
    </row>
    <row r="363" spans="1:3" s="1765" customFormat="1" x14ac:dyDescent="0.25">
      <c r="A363" s="12"/>
      <c r="B363" s="1857"/>
      <c r="C363" s="1857"/>
    </row>
    <row r="364" spans="1:3" s="1765" customFormat="1" x14ac:dyDescent="0.25">
      <c r="A364" s="12"/>
      <c r="B364" s="1857"/>
      <c r="C364" s="1857"/>
    </row>
    <row r="365" spans="1:3" s="1765" customFormat="1" x14ac:dyDescent="0.25">
      <c r="A365" s="12"/>
      <c r="B365" s="1857"/>
      <c r="C365" s="1857"/>
    </row>
    <row r="366" spans="1:3" s="1765" customFormat="1" x14ac:dyDescent="0.25">
      <c r="A366" s="12"/>
      <c r="B366" s="1857"/>
      <c r="C366" s="1857"/>
    </row>
    <row r="367" spans="1:3" s="1765" customFormat="1" x14ac:dyDescent="0.25">
      <c r="A367" s="12"/>
      <c r="B367" s="1857"/>
      <c r="C367" s="1857"/>
    </row>
    <row r="368" spans="1:3" s="1765" customFormat="1" x14ac:dyDescent="0.25">
      <c r="A368" s="12"/>
      <c r="B368" s="1857"/>
      <c r="C368" s="1857"/>
    </row>
    <row r="369" spans="1:3" s="1765" customFormat="1" x14ac:dyDescent="0.25">
      <c r="A369" s="12"/>
      <c r="B369" s="1857"/>
      <c r="C369" s="1857"/>
    </row>
    <row r="370" spans="1:3" s="1765" customFormat="1" x14ac:dyDescent="0.25">
      <c r="A370" s="12"/>
      <c r="B370" s="1857"/>
      <c r="C370" s="1857"/>
    </row>
    <row r="371" spans="1:3" s="1765" customFormat="1" x14ac:dyDescent="0.25">
      <c r="A371" s="12"/>
      <c r="B371" s="1857"/>
      <c r="C371" s="1857"/>
    </row>
    <row r="372" spans="1:3" s="1765" customFormat="1" x14ac:dyDescent="0.25">
      <c r="A372" s="12"/>
      <c r="B372" s="1857"/>
      <c r="C372" s="1857"/>
    </row>
    <row r="373" spans="1:3" s="1765" customFormat="1" x14ac:dyDescent="0.25">
      <c r="A373" s="12"/>
      <c r="B373" s="1857"/>
      <c r="C373" s="1857"/>
    </row>
    <row r="374" spans="1:3" s="1765" customFormat="1" x14ac:dyDescent="0.25">
      <c r="A374" s="12"/>
      <c r="B374" s="1857"/>
      <c r="C374" s="1857"/>
    </row>
    <row r="375" spans="1:3" s="1765" customFormat="1" x14ac:dyDescent="0.25">
      <c r="A375" s="12"/>
      <c r="B375" s="1857"/>
      <c r="C375" s="1857"/>
    </row>
    <row r="376" spans="1:3" s="1765" customFormat="1" x14ac:dyDescent="0.25">
      <c r="A376" s="12"/>
      <c r="B376" s="1857"/>
      <c r="C376" s="1857"/>
    </row>
    <row r="377" spans="1:3" s="1765" customFormat="1" x14ac:dyDescent="0.25">
      <c r="A377" s="12"/>
      <c r="B377" s="1857"/>
      <c r="C377" s="1857"/>
    </row>
    <row r="378" spans="1:3" s="1765" customFormat="1" x14ac:dyDescent="0.25">
      <c r="A378" s="12"/>
      <c r="B378" s="1857"/>
      <c r="C378" s="1857"/>
    </row>
    <row r="379" spans="1:3" s="1765" customFormat="1" x14ac:dyDescent="0.25">
      <c r="A379" s="12"/>
      <c r="B379" s="1857"/>
      <c r="C379" s="1857"/>
    </row>
    <row r="380" spans="1:3" s="1765" customFormat="1" x14ac:dyDescent="0.25">
      <c r="A380" s="12"/>
      <c r="B380" s="1857"/>
      <c r="C380" s="1857"/>
    </row>
    <row r="381" spans="1:3" s="1765" customFormat="1" x14ac:dyDescent="0.25">
      <c r="A381" s="12"/>
      <c r="B381" s="1857"/>
      <c r="C381" s="1857"/>
    </row>
    <row r="382" spans="1:3" s="1765" customFormat="1" x14ac:dyDescent="0.25">
      <c r="A382" s="12"/>
      <c r="B382" s="1857"/>
      <c r="C382" s="1857"/>
    </row>
    <row r="383" spans="1:3" s="1765" customFormat="1" x14ac:dyDescent="0.25">
      <c r="A383" s="12"/>
      <c r="B383" s="1857"/>
      <c r="C383" s="1857"/>
    </row>
    <row r="384" spans="1:3" s="1765" customFormat="1" x14ac:dyDescent="0.25">
      <c r="A384" s="12"/>
      <c r="B384" s="1857"/>
      <c r="C384" s="1857"/>
    </row>
    <row r="385" spans="1:3" s="1765" customFormat="1" x14ac:dyDescent="0.25">
      <c r="A385" s="12"/>
      <c r="B385" s="1857"/>
      <c r="C385" s="1857"/>
    </row>
    <row r="386" spans="1:3" s="1765" customFormat="1" x14ac:dyDescent="0.25">
      <c r="A386" s="12"/>
      <c r="B386" s="1857"/>
      <c r="C386" s="1857"/>
    </row>
    <row r="387" spans="1:3" s="1765" customFormat="1" x14ac:dyDescent="0.25">
      <c r="A387" s="12"/>
      <c r="B387" s="1857"/>
      <c r="C387" s="1857"/>
    </row>
    <row r="388" spans="1:3" s="1765" customFormat="1" x14ac:dyDescent="0.25">
      <c r="A388" s="12"/>
      <c r="B388" s="1857"/>
      <c r="C388" s="1857"/>
    </row>
    <row r="389" spans="1:3" s="1765" customFormat="1" x14ac:dyDescent="0.25">
      <c r="A389" s="12"/>
      <c r="B389" s="1857"/>
      <c r="C389" s="1857"/>
    </row>
    <row r="390" spans="1:3" s="1765" customFormat="1" x14ac:dyDescent="0.25">
      <c r="A390" s="12"/>
      <c r="B390" s="1857"/>
      <c r="C390" s="1857"/>
    </row>
    <row r="391" spans="1:3" s="1765" customFormat="1" x14ac:dyDescent="0.25">
      <c r="A391" s="12"/>
      <c r="B391" s="1857"/>
      <c r="C391" s="1857"/>
    </row>
    <row r="392" spans="1:3" s="1765" customFormat="1" x14ac:dyDescent="0.25">
      <c r="A392" s="12"/>
      <c r="B392" s="1857"/>
      <c r="C392" s="1857"/>
    </row>
    <row r="393" spans="1:3" s="1765" customFormat="1" x14ac:dyDescent="0.25">
      <c r="A393" s="12"/>
      <c r="B393" s="1857"/>
      <c r="C393" s="1857"/>
    </row>
    <row r="394" spans="1:3" s="1765" customFormat="1" x14ac:dyDescent="0.25">
      <c r="A394" s="12"/>
      <c r="B394" s="1857"/>
      <c r="C394" s="1857"/>
    </row>
    <row r="395" spans="1:3" s="1765" customFormat="1" x14ac:dyDescent="0.25">
      <c r="A395" s="12"/>
      <c r="B395" s="1857"/>
      <c r="C395" s="1857"/>
    </row>
    <row r="396" spans="1:3" s="1765" customFormat="1" x14ac:dyDescent="0.25">
      <c r="A396" s="12"/>
      <c r="B396" s="1857"/>
      <c r="C396" s="1857"/>
    </row>
    <row r="397" spans="1:3" s="1765" customFormat="1" x14ac:dyDescent="0.25">
      <c r="A397" s="12"/>
      <c r="B397" s="1857"/>
      <c r="C397" s="1857"/>
    </row>
    <row r="398" spans="1:3" s="1765" customFormat="1" x14ac:dyDescent="0.25">
      <c r="A398" s="12"/>
      <c r="B398" s="1857"/>
      <c r="C398" s="1857"/>
    </row>
    <row r="399" spans="1:3" s="1765" customFormat="1" x14ac:dyDescent="0.25">
      <c r="A399" s="12"/>
      <c r="B399" s="1857"/>
      <c r="C399" s="1857"/>
    </row>
    <row r="400" spans="1:3" s="1765" customFormat="1" x14ac:dyDescent="0.25">
      <c r="A400" s="12"/>
      <c r="B400" s="1857"/>
      <c r="C400" s="1857"/>
    </row>
    <row r="401" spans="1:3" s="1765" customFormat="1" x14ac:dyDescent="0.25">
      <c r="A401" s="12"/>
      <c r="B401" s="1857"/>
      <c r="C401" s="1857"/>
    </row>
    <row r="402" spans="1:3" s="1765" customFormat="1" x14ac:dyDescent="0.25">
      <c r="A402" s="12"/>
      <c r="B402" s="1857"/>
      <c r="C402" s="1857"/>
    </row>
    <row r="403" spans="1:3" s="1765" customFormat="1" x14ac:dyDescent="0.25">
      <c r="A403" s="12"/>
      <c r="B403" s="1857"/>
      <c r="C403" s="1857"/>
    </row>
    <row r="404" spans="1:3" s="1765" customFormat="1" x14ac:dyDescent="0.25">
      <c r="A404" s="12"/>
      <c r="B404" s="1857"/>
      <c r="C404" s="1857"/>
    </row>
    <row r="405" spans="1:3" s="1765" customFormat="1" x14ac:dyDescent="0.25">
      <c r="A405" s="12"/>
      <c r="B405" s="1857"/>
      <c r="C405" s="1857"/>
    </row>
    <row r="406" spans="1:3" s="1765" customFormat="1" x14ac:dyDescent="0.25">
      <c r="A406" s="12"/>
      <c r="B406" s="1857"/>
      <c r="C406" s="1857"/>
    </row>
    <row r="407" spans="1:3" s="1765" customFormat="1" x14ac:dyDescent="0.25">
      <c r="A407" s="12"/>
      <c r="B407" s="1857"/>
      <c r="C407" s="1857"/>
    </row>
    <row r="408" spans="1:3" s="1765" customFormat="1" x14ac:dyDescent="0.25">
      <c r="A408" s="12"/>
      <c r="B408" s="1857"/>
      <c r="C408" s="1857"/>
    </row>
    <row r="409" spans="1:3" s="1765" customFormat="1" x14ac:dyDescent="0.25">
      <c r="A409" s="12"/>
      <c r="B409" s="1857"/>
      <c r="C409" s="1857"/>
    </row>
    <row r="410" spans="1:3" s="1765" customFormat="1" x14ac:dyDescent="0.25">
      <c r="A410" s="12"/>
      <c r="B410" s="1857"/>
      <c r="C410" s="1857"/>
    </row>
    <row r="411" spans="1:3" s="1765" customFormat="1" x14ac:dyDescent="0.25">
      <c r="A411" s="12"/>
      <c r="B411" s="1857"/>
      <c r="C411" s="1857"/>
    </row>
    <row r="412" spans="1:3" s="1765" customFormat="1" x14ac:dyDescent="0.25">
      <c r="A412" s="12"/>
      <c r="B412" s="1857"/>
      <c r="C412" s="1857"/>
    </row>
    <row r="413" spans="1:3" s="1765" customFormat="1" x14ac:dyDescent="0.25">
      <c r="A413" s="12"/>
      <c r="B413" s="1857"/>
      <c r="C413" s="1857"/>
    </row>
    <row r="414" spans="1:3" s="1765" customFormat="1" x14ac:dyDescent="0.25">
      <c r="A414" s="12"/>
      <c r="B414" s="1857"/>
      <c r="C414" s="1857"/>
    </row>
    <row r="415" spans="1:3" s="1765" customFormat="1" x14ac:dyDescent="0.25">
      <c r="A415" s="12"/>
      <c r="B415" s="1857"/>
      <c r="C415" s="1857"/>
    </row>
    <row r="416" spans="1:3" s="1765" customFormat="1" x14ac:dyDescent="0.25">
      <c r="A416" s="12"/>
      <c r="B416" s="1857"/>
      <c r="C416" s="1857"/>
    </row>
    <row r="417" spans="1:3" s="1765" customFormat="1" x14ac:dyDescent="0.25">
      <c r="A417" s="12"/>
      <c r="B417" s="1857"/>
      <c r="C417" s="1857"/>
    </row>
    <row r="418" spans="1:3" s="1765" customFormat="1" x14ac:dyDescent="0.25">
      <c r="A418" s="12"/>
      <c r="B418" s="1857"/>
      <c r="C418" s="1857"/>
    </row>
    <row r="419" spans="1:3" s="1765" customFormat="1" x14ac:dyDescent="0.25">
      <c r="A419" s="12"/>
      <c r="B419" s="1857"/>
      <c r="C419" s="1857"/>
    </row>
    <row r="420" spans="1:3" s="1765" customFormat="1" x14ac:dyDescent="0.25">
      <c r="A420" s="12"/>
      <c r="B420" s="1857"/>
      <c r="C420" s="1857"/>
    </row>
    <row r="421" spans="1:3" s="1765" customFormat="1" x14ac:dyDescent="0.25">
      <c r="A421" s="12"/>
      <c r="B421" s="1857"/>
      <c r="C421" s="1857"/>
    </row>
    <row r="422" spans="1:3" s="1765" customFormat="1" x14ac:dyDescent="0.25">
      <c r="A422" s="12"/>
      <c r="B422" s="1857"/>
      <c r="C422" s="1857"/>
    </row>
    <row r="423" spans="1:3" s="1765" customFormat="1" x14ac:dyDescent="0.25">
      <c r="A423" s="12"/>
      <c r="B423" s="1857"/>
      <c r="C423" s="1857"/>
    </row>
    <row r="424" spans="1:3" s="1765" customFormat="1" x14ac:dyDescent="0.25">
      <c r="A424" s="12"/>
      <c r="B424" s="1857"/>
      <c r="C424" s="1857"/>
    </row>
    <row r="425" spans="1:3" s="1765" customFormat="1" x14ac:dyDescent="0.25">
      <c r="A425" s="12"/>
      <c r="B425" s="1857"/>
      <c r="C425" s="1857"/>
    </row>
    <row r="426" spans="1:3" s="1765" customFormat="1" x14ac:dyDescent="0.25">
      <c r="A426" s="12"/>
      <c r="B426" s="1857"/>
      <c r="C426" s="1857"/>
    </row>
    <row r="427" spans="1:3" s="1765" customFormat="1" x14ac:dyDescent="0.25">
      <c r="A427" s="12"/>
      <c r="B427" s="1857"/>
      <c r="C427" s="1857"/>
    </row>
    <row r="428" spans="1:3" s="1765" customFormat="1" x14ac:dyDescent="0.25">
      <c r="A428" s="12"/>
      <c r="B428" s="1857"/>
      <c r="C428" s="1857"/>
    </row>
    <row r="429" spans="1:3" s="1765" customFormat="1" x14ac:dyDescent="0.25">
      <c r="A429" s="12"/>
      <c r="B429" s="1857"/>
      <c r="C429" s="1857"/>
    </row>
    <row r="430" spans="1:3" s="1765" customFormat="1" x14ac:dyDescent="0.25">
      <c r="A430" s="12"/>
      <c r="B430" s="1857"/>
      <c r="C430" s="1857"/>
    </row>
    <row r="431" spans="1:3" s="1765" customFormat="1" x14ac:dyDescent="0.25">
      <c r="A431" s="12"/>
      <c r="B431" s="1857"/>
      <c r="C431" s="1857"/>
    </row>
    <row r="432" spans="1:3" s="1765" customFormat="1" x14ac:dyDescent="0.25">
      <c r="A432" s="12"/>
      <c r="B432" s="1857"/>
      <c r="C432" s="1857"/>
    </row>
    <row r="433" spans="1:3" s="1765" customFormat="1" x14ac:dyDescent="0.25">
      <c r="A433" s="12"/>
      <c r="B433" s="1857"/>
      <c r="C433" s="1857"/>
    </row>
    <row r="434" spans="1:3" s="1765" customFormat="1" x14ac:dyDescent="0.25">
      <c r="A434" s="12"/>
      <c r="B434" s="1857"/>
      <c r="C434" s="1857"/>
    </row>
    <row r="435" spans="1:3" s="1765" customFormat="1" x14ac:dyDescent="0.25">
      <c r="A435" s="12"/>
      <c r="B435" s="1857"/>
      <c r="C435" s="1857"/>
    </row>
    <row r="436" spans="1:3" s="1765" customFormat="1" x14ac:dyDescent="0.25">
      <c r="A436" s="12"/>
      <c r="B436" s="1857"/>
      <c r="C436" s="1857"/>
    </row>
    <row r="437" spans="1:3" s="1765" customFormat="1" x14ac:dyDescent="0.25">
      <c r="A437" s="12"/>
      <c r="B437" s="1857"/>
      <c r="C437" s="1857"/>
    </row>
    <row r="438" spans="1:3" s="1765" customFormat="1" x14ac:dyDescent="0.25">
      <c r="A438" s="12"/>
      <c r="B438" s="1857"/>
      <c r="C438" s="1857"/>
    </row>
    <row r="439" spans="1:3" s="1765" customFormat="1" x14ac:dyDescent="0.25">
      <c r="A439" s="12"/>
      <c r="B439" s="1857"/>
      <c r="C439" s="1857"/>
    </row>
    <row r="440" spans="1:3" s="1765" customFormat="1" x14ac:dyDescent="0.25">
      <c r="A440" s="12"/>
      <c r="B440" s="1857"/>
      <c r="C440" s="1857"/>
    </row>
    <row r="441" spans="1:3" s="1765" customFormat="1" x14ac:dyDescent="0.25">
      <c r="A441" s="12"/>
      <c r="B441" s="1857"/>
      <c r="C441" s="1857"/>
    </row>
    <row r="442" spans="1:3" s="1765" customFormat="1" x14ac:dyDescent="0.25">
      <c r="A442" s="12"/>
      <c r="B442" s="1857"/>
      <c r="C442" s="1857"/>
    </row>
    <row r="443" spans="1:3" s="1765" customFormat="1" x14ac:dyDescent="0.25">
      <c r="A443" s="12"/>
      <c r="B443" s="1857"/>
      <c r="C443" s="1857"/>
    </row>
    <row r="444" spans="1:3" s="1765" customFormat="1" x14ac:dyDescent="0.25">
      <c r="A444" s="12"/>
      <c r="B444" s="1857"/>
      <c r="C444" s="1857"/>
    </row>
    <row r="445" spans="1:3" s="1765" customFormat="1" x14ac:dyDescent="0.25">
      <c r="A445" s="12"/>
      <c r="B445" s="1857"/>
      <c r="C445" s="1857"/>
    </row>
    <row r="446" spans="1:3" s="1765" customFormat="1" x14ac:dyDescent="0.25">
      <c r="A446" s="12"/>
      <c r="B446" s="1857"/>
      <c r="C446" s="1857"/>
    </row>
    <row r="447" spans="1:3" s="1765" customFormat="1" x14ac:dyDescent="0.25">
      <c r="A447" s="12"/>
      <c r="B447" s="1857"/>
      <c r="C447" s="1857"/>
    </row>
    <row r="448" spans="1:3" s="1765" customFormat="1" x14ac:dyDescent="0.25">
      <c r="A448" s="12"/>
      <c r="B448" s="1857"/>
      <c r="C448" s="1857"/>
    </row>
    <row r="449" spans="1:3" s="1765" customFormat="1" x14ac:dyDescent="0.25">
      <c r="A449" s="12"/>
      <c r="B449" s="1857"/>
      <c r="C449" s="1857"/>
    </row>
    <row r="450" spans="1:3" s="1765" customFormat="1" x14ac:dyDescent="0.25">
      <c r="A450" s="12"/>
      <c r="B450" s="1857"/>
      <c r="C450" s="1857"/>
    </row>
    <row r="451" spans="1:3" s="1765" customFormat="1" x14ac:dyDescent="0.25">
      <c r="A451" s="12"/>
      <c r="B451" s="1857"/>
      <c r="C451" s="1857"/>
    </row>
    <row r="452" spans="1:3" s="1765" customFormat="1" x14ac:dyDescent="0.25">
      <c r="A452" s="12"/>
      <c r="B452" s="1857"/>
      <c r="C452" s="1857"/>
    </row>
    <row r="453" spans="1:3" s="1765" customFormat="1" x14ac:dyDescent="0.25">
      <c r="A453" s="12"/>
      <c r="B453" s="1857"/>
      <c r="C453" s="1857"/>
    </row>
    <row r="454" spans="1:3" s="1765" customFormat="1" x14ac:dyDescent="0.25">
      <c r="A454" s="12"/>
      <c r="B454" s="1857"/>
      <c r="C454" s="1857"/>
    </row>
    <row r="455" spans="1:3" s="1765" customFormat="1" x14ac:dyDescent="0.25">
      <c r="A455" s="12"/>
      <c r="B455" s="1857"/>
      <c r="C455" s="1857"/>
    </row>
    <row r="456" spans="1:3" s="1765" customFormat="1" x14ac:dyDescent="0.25">
      <c r="A456" s="12"/>
      <c r="B456" s="1857"/>
      <c r="C456" s="1857"/>
    </row>
    <row r="457" spans="1:3" s="1765" customFormat="1" x14ac:dyDescent="0.25">
      <c r="A457" s="12"/>
      <c r="B457" s="1857"/>
      <c r="C457" s="1857"/>
    </row>
    <row r="458" spans="1:3" s="1765" customFormat="1" x14ac:dyDescent="0.25">
      <c r="A458" s="12"/>
      <c r="B458" s="1857"/>
      <c r="C458" s="1857"/>
    </row>
    <row r="459" spans="1:3" s="1765" customFormat="1" x14ac:dyDescent="0.25">
      <c r="A459" s="12"/>
      <c r="B459" s="1857"/>
      <c r="C459" s="1857"/>
    </row>
    <row r="460" spans="1:3" s="1765" customFormat="1" x14ac:dyDescent="0.25">
      <c r="A460" s="12"/>
      <c r="B460" s="1857"/>
      <c r="C460" s="1857"/>
    </row>
    <row r="461" spans="1:3" s="1765" customFormat="1" x14ac:dyDescent="0.25">
      <c r="A461" s="12"/>
      <c r="B461" s="1857"/>
      <c r="C461" s="1857"/>
    </row>
    <row r="462" spans="1:3" s="1765" customFormat="1" x14ac:dyDescent="0.25">
      <c r="A462" s="12"/>
      <c r="B462" s="1857"/>
      <c r="C462" s="1857"/>
    </row>
    <row r="463" spans="1:3" s="1765" customFormat="1" x14ac:dyDescent="0.25">
      <c r="A463" s="12"/>
      <c r="B463" s="1857"/>
      <c r="C463" s="1857"/>
    </row>
    <row r="464" spans="1:3" s="1765" customFormat="1" x14ac:dyDescent="0.25">
      <c r="A464" s="12"/>
      <c r="B464" s="1857"/>
      <c r="C464" s="1857"/>
    </row>
    <row r="465" spans="1:3" s="1765" customFormat="1" x14ac:dyDescent="0.25">
      <c r="A465" s="12"/>
      <c r="B465" s="1857"/>
      <c r="C465" s="1857"/>
    </row>
    <row r="466" spans="1:3" s="1765" customFormat="1" x14ac:dyDescent="0.25">
      <c r="A466" s="12"/>
      <c r="B466" s="1857"/>
      <c r="C466" s="1857"/>
    </row>
    <row r="467" spans="1:3" s="1765" customFormat="1" x14ac:dyDescent="0.25">
      <c r="A467" s="12"/>
      <c r="B467" s="1857"/>
      <c r="C467" s="1857"/>
    </row>
    <row r="468" spans="1:3" s="1765" customFormat="1" x14ac:dyDescent="0.25">
      <c r="A468" s="12"/>
      <c r="B468" s="1857"/>
      <c r="C468" s="1857"/>
    </row>
    <row r="469" spans="1:3" s="1765" customFormat="1" x14ac:dyDescent="0.25">
      <c r="A469" s="12"/>
      <c r="B469" s="1857"/>
      <c r="C469" s="1857"/>
    </row>
    <row r="470" spans="1:3" s="1765" customFormat="1" x14ac:dyDescent="0.25">
      <c r="A470" s="12"/>
      <c r="B470" s="1857"/>
      <c r="C470" s="1857"/>
    </row>
    <row r="471" spans="1:3" s="1765" customFormat="1" x14ac:dyDescent="0.25">
      <c r="A471" s="12"/>
      <c r="B471" s="1857"/>
      <c r="C471" s="1857"/>
    </row>
    <row r="472" spans="1:3" s="1765" customFormat="1" x14ac:dyDescent="0.25">
      <c r="A472" s="12"/>
      <c r="B472" s="1857"/>
      <c r="C472" s="1857"/>
    </row>
    <row r="473" spans="1:3" s="1765" customFormat="1" x14ac:dyDescent="0.25">
      <c r="A473" s="12"/>
      <c r="B473" s="1857"/>
      <c r="C473" s="1857"/>
    </row>
    <row r="474" spans="1:3" s="1765" customFormat="1" x14ac:dyDescent="0.25">
      <c r="A474" s="12"/>
      <c r="B474" s="1857"/>
      <c r="C474" s="1857"/>
    </row>
    <row r="475" spans="1:3" s="1765" customFormat="1" x14ac:dyDescent="0.25">
      <c r="A475" s="12"/>
      <c r="B475" s="1857"/>
      <c r="C475" s="1857"/>
    </row>
    <row r="476" spans="1:3" s="1765" customFormat="1" x14ac:dyDescent="0.25">
      <c r="A476" s="12"/>
      <c r="B476" s="1857"/>
      <c r="C476" s="1857"/>
    </row>
    <row r="477" spans="1:3" s="1765" customFormat="1" x14ac:dyDescent="0.25">
      <c r="A477" s="12"/>
      <c r="B477" s="1857"/>
      <c r="C477" s="1857"/>
    </row>
    <row r="478" spans="1:3" s="1765" customFormat="1" x14ac:dyDescent="0.25">
      <c r="A478" s="12"/>
      <c r="B478" s="1857"/>
      <c r="C478" s="1857"/>
    </row>
    <row r="479" spans="1:3" s="1765" customFormat="1" x14ac:dyDescent="0.25">
      <c r="A479" s="12"/>
      <c r="B479" s="1857"/>
      <c r="C479" s="1857"/>
    </row>
    <row r="480" spans="1:3" s="1765" customFormat="1" x14ac:dyDescent="0.25">
      <c r="A480" s="12"/>
      <c r="B480" s="1857"/>
      <c r="C480" s="1857"/>
    </row>
    <row r="481" spans="1:3" s="1765" customFormat="1" x14ac:dyDescent="0.25">
      <c r="A481" s="12"/>
      <c r="B481" s="1857"/>
      <c r="C481" s="1857"/>
    </row>
    <row r="482" spans="1:3" s="1765" customFormat="1" x14ac:dyDescent="0.25">
      <c r="A482" s="12"/>
      <c r="B482" s="1857"/>
      <c r="C482" s="1857"/>
    </row>
    <row r="483" spans="1:3" s="1765" customFormat="1" x14ac:dyDescent="0.25">
      <c r="A483" s="12"/>
      <c r="B483" s="1857"/>
      <c r="C483" s="1857"/>
    </row>
    <row r="484" spans="1:3" s="1765" customFormat="1" x14ac:dyDescent="0.25">
      <c r="A484" s="12"/>
      <c r="B484" s="1857"/>
      <c r="C484" s="1857"/>
    </row>
    <row r="485" spans="1:3" s="1765" customFormat="1" x14ac:dyDescent="0.25">
      <c r="A485" s="12"/>
      <c r="B485" s="1857"/>
      <c r="C485" s="1857"/>
    </row>
    <row r="486" spans="1:3" s="1765" customFormat="1" x14ac:dyDescent="0.25">
      <c r="A486" s="12"/>
      <c r="B486" s="1857"/>
      <c r="C486" s="1857"/>
    </row>
    <row r="487" spans="1:3" s="1765" customFormat="1" x14ac:dyDescent="0.25">
      <c r="A487" s="12"/>
      <c r="B487" s="1857"/>
      <c r="C487" s="1857"/>
    </row>
    <row r="488" spans="1:3" s="1765" customFormat="1" x14ac:dyDescent="0.25">
      <c r="A488" s="12"/>
      <c r="B488" s="1857"/>
      <c r="C488" s="1857"/>
    </row>
    <row r="489" spans="1:3" s="1765" customFormat="1" x14ac:dyDescent="0.25">
      <c r="A489" s="12"/>
      <c r="B489" s="1857"/>
      <c r="C489" s="1857"/>
    </row>
    <row r="490" spans="1:3" s="1765" customFormat="1" x14ac:dyDescent="0.25">
      <c r="A490" s="12"/>
      <c r="B490" s="1857"/>
      <c r="C490" s="1857"/>
    </row>
    <row r="491" spans="1:3" s="1765" customFormat="1" x14ac:dyDescent="0.25">
      <c r="A491" s="12"/>
      <c r="B491" s="1857"/>
      <c r="C491" s="1857"/>
    </row>
    <row r="492" spans="1:3" s="1765" customFormat="1" x14ac:dyDescent="0.25">
      <c r="A492" s="12"/>
      <c r="B492" s="1857"/>
      <c r="C492" s="1857"/>
    </row>
    <row r="493" spans="1:3" s="1765" customFormat="1" x14ac:dyDescent="0.25">
      <c r="A493" s="12"/>
      <c r="B493" s="1857"/>
      <c r="C493" s="1857"/>
    </row>
    <row r="494" spans="1:3" s="1765" customFormat="1" x14ac:dyDescent="0.25">
      <c r="A494" s="12"/>
      <c r="B494" s="1857"/>
      <c r="C494" s="1857"/>
    </row>
    <row r="495" spans="1:3" s="1765" customFormat="1" x14ac:dyDescent="0.25">
      <c r="A495" s="12"/>
      <c r="B495" s="1857"/>
      <c r="C495" s="1857"/>
    </row>
    <row r="496" spans="1:3" s="1765" customFormat="1" x14ac:dyDescent="0.25">
      <c r="A496" s="12"/>
      <c r="B496" s="1857"/>
      <c r="C496" s="1857"/>
    </row>
    <row r="497" spans="1:3" s="1765" customFormat="1" x14ac:dyDescent="0.25">
      <c r="A497" s="12"/>
      <c r="B497" s="1857"/>
      <c r="C497" s="1857"/>
    </row>
    <row r="498" spans="1:3" s="1765" customFormat="1" x14ac:dyDescent="0.25">
      <c r="A498" s="12"/>
      <c r="B498" s="1857"/>
      <c r="C498" s="1857"/>
    </row>
    <row r="499" spans="1:3" s="1765" customFormat="1" x14ac:dyDescent="0.25">
      <c r="A499" s="12"/>
      <c r="B499" s="1857"/>
      <c r="C499" s="1857"/>
    </row>
    <row r="500" spans="1:3" s="1765" customFormat="1" x14ac:dyDescent="0.25">
      <c r="A500" s="12"/>
      <c r="B500" s="1857"/>
      <c r="C500" s="1857"/>
    </row>
    <row r="501" spans="1:3" s="1765" customFormat="1" x14ac:dyDescent="0.25">
      <c r="A501" s="12"/>
      <c r="B501" s="1857"/>
      <c r="C501" s="1857"/>
    </row>
    <row r="502" spans="1:3" s="1765" customFormat="1" x14ac:dyDescent="0.25">
      <c r="A502" s="12"/>
      <c r="B502" s="1857"/>
      <c r="C502" s="1857"/>
    </row>
    <row r="503" spans="1:3" s="1765" customFormat="1" x14ac:dyDescent="0.25">
      <c r="A503" s="12"/>
      <c r="B503" s="1857"/>
      <c r="C503" s="1857"/>
    </row>
    <row r="504" spans="1:3" s="1765" customFormat="1" x14ac:dyDescent="0.25">
      <c r="A504" s="12"/>
      <c r="B504" s="1857"/>
      <c r="C504" s="1857"/>
    </row>
    <row r="505" spans="1:3" s="1765" customFormat="1" x14ac:dyDescent="0.25">
      <c r="A505" s="12"/>
      <c r="B505" s="1857"/>
      <c r="C505" s="1857"/>
    </row>
    <row r="506" spans="1:3" s="1765" customFormat="1" x14ac:dyDescent="0.25">
      <c r="A506" s="12"/>
      <c r="B506" s="1857"/>
      <c r="C506" s="1857"/>
    </row>
    <row r="507" spans="1:3" s="1765" customFormat="1" x14ac:dyDescent="0.25">
      <c r="A507" s="12"/>
      <c r="B507" s="1857"/>
      <c r="C507" s="1857"/>
    </row>
    <row r="508" spans="1:3" s="1765" customFormat="1" x14ac:dyDescent="0.25">
      <c r="A508" s="12"/>
      <c r="B508" s="1857"/>
      <c r="C508" s="1857"/>
    </row>
    <row r="509" spans="1:3" s="1765" customFormat="1" x14ac:dyDescent="0.25">
      <c r="A509" s="12"/>
      <c r="B509" s="1857"/>
      <c r="C509" s="1857"/>
    </row>
    <row r="510" spans="1:3" s="1765" customFormat="1" x14ac:dyDescent="0.25">
      <c r="A510" s="12"/>
      <c r="B510" s="1857"/>
      <c r="C510" s="1857"/>
    </row>
    <row r="511" spans="1:3" s="1765" customFormat="1" x14ac:dyDescent="0.25">
      <c r="A511" s="12"/>
      <c r="B511" s="1857"/>
      <c r="C511" s="1857"/>
    </row>
    <row r="512" spans="1:3" s="1765" customFormat="1" x14ac:dyDescent="0.25">
      <c r="A512" s="12"/>
      <c r="B512" s="1857"/>
      <c r="C512" s="1857"/>
    </row>
    <row r="513" spans="1:3" s="1765" customFormat="1" x14ac:dyDescent="0.25">
      <c r="A513" s="12"/>
      <c r="B513" s="1857"/>
      <c r="C513" s="1857"/>
    </row>
    <row r="514" spans="1:3" s="1765" customFormat="1" x14ac:dyDescent="0.25">
      <c r="A514" s="12"/>
      <c r="B514" s="1857"/>
      <c r="C514" s="1857"/>
    </row>
    <row r="515" spans="1:3" s="1765" customFormat="1" x14ac:dyDescent="0.25">
      <c r="A515" s="12"/>
      <c r="B515" s="1857"/>
      <c r="C515" s="1857"/>
    </row>
    <row r="516" spans="1:3" s="1765" customFormat="1" x14ac:dyDescent="0.25">
      <c r="A516" s="12"/>
      <c r="B516" s="1857"/>
      <c r="C516" s="1857"/>
    </row>
    <row r="517" spans="1:3" s="1765" customFormat="1" x14ac:dyDescent="0.25">
      <c r="A517" s="12"/>
      <c r="B517" s="1857"/>
      <c r="C517" s="1857"/>
    </row>
    <row r="518" spans="1:3" s="1765" customFormat="1" x14ac:dyDescent="0.25">
      <c r="A518" s="12"/>
      <c r="B518" s="1857"/>
      <c r="C518" s="1857"/>
    </row>
    <row r="519" spans="1:3" s="1765" customFormat="1" x14ac:dyDescent="0.25">
      <c r="A519" s="12"/>
      <c r="B519" s="1857"/>
      <c r="C519" s="1857"/>
    </row>
    <row r="520" spans="1:3" s="1765" customFormat="1" x14ac:dyDescent="0.25">
      <c r="A520" s="12"/>
      <c r="B520" s="1857"/>
      <c r="C520" s="1857"/>
    </row>
    <row r="521" spans="1:3" s="1765" customFormat="1" x14ac:dyDescent="0.25">
      <c r="A521" s="12"/>
      <c r="B521" s="1857"/>
      <c r="C521" s="1857"/>
    </row>
    <row r="522" spans="1:3" s="1765" customFormat="1" x14ac:dyDescent="0.25">
      <c r="A522" s="12"/>
      <c r="B522" s="1857"/>
      <c r="C522" s="1857"/>
    </row>
    <row r="523" spans="1:3" s="1765" customFormat="1" x14ac:dyDescent="0.25">
      <c r="A523" s="12"/>
      <c r="B523" s="1857"/>
      <c r="C523" s="1857"/>
    </row>
    <row r="524" spans="1:3" s="1765" customFormat="1" x14ac:dyDescent="0.25">
      <c r="A524" s="12"/>
      <c r="B524" s="1857"/>
      <c r="C524" s="1857"/>
    </row>
    <row r="525" spans="1:3" s="1765" customFormat="1" x14ac:dyDescent="0.25">
      <c r="A525" s="12"/>
      <c r="B525" s="1857"/>
      <c r="C525" s="1857"/>
    </row>
    <row r="526" spans="1:3" s="1765" customFormat="1" x14ac:dyDescent="0.25">
      <c r="A526" s="12"/>
      <c r="B526" s="1857"/>
      <c r="C526" s="1857"/>
    </row>
    <row r="527" spans="1:3" s="1765" customFormat="1" x14ac:dyDescent="0.25">
      <c r="A527" s="12"/>
      <c r="B527" s="1857"/>
      <c r="C527" s="1857"/>
    </row>
    <row r="528" spans="1:3" s="1765" customFormat="1" x14ac:dyDescent="0.25">
      <c r="A528" s="12"/>
      <c r="B528" s="1857"/>
      <c r="C528" s="1857"/>
    </row>
    <row r="529" spans="1:3" s="1765" customFormat="1" x14ac:dyDescent="0.25">
      <c r="A529" s="12"/>
      <c r="B529" s="1857"/>
      <c r="C529" s="1857"/>
    </row>
    <row r="530" spans="1:3" s="1765" customFormat="1" x14ac:dyDescent="0.25">
      <c r="A530" s="12"/>
      <c r="B530" s="1857"/>
      <c r="C530" s="1857"/>
    </row>
    <row r="531" spans="1:3" s="1765" customFormat="1" x14ac:dyDescent="0.25">
      <c r="A531" s="12"/>
      <c r="B531" s="1857"/>
      <c r="C531" s="1857"/>
    </row>
    <row r="532" spans="1:3" s="1765" customFormat="1" x14ac:dyDescent="0.25">
      <c r="A532" s="12"/>
      <c r="B532" s="1857"/>
      <c r="C532" s="1857"/>
    </row>
    <row r="533" spans="1:3" s="1765" customFormat="1" x14ac:dyDescent="0.25">
      <c r="A533" s="12"/>
      <c r="B533" s="1857"/>
      <c r="C533" s="1857"/>
    </row>
    <row r="534" spans="1:3" s="1765" customFormat="1" x14ac:dyDescent="0.25">
      <c r="A534" s="12"/>
      <c r="B534" s="1857"/>
      <c r="C534" s="1857"/>
    </row>
    <row r="535" spans="1:3" s="1765" customFormat="1" x14ac:dyDescent="0.25">
      <c r="A535" s="12"/>
      <c r="B535" s="1857"/>
      <c r="C535" s="1857"/>
    </row>
    <row r="536" spans="1:3" s="1765" customFormat="1" x14ac:dyDescent="0.25">
      <c r="A536" s="12"/>
      <c r="B536" s="1857"/>
      <c r="C536" s="1857"/>
    </row>
    <row r="537" spans="1:3" s="1765" customFormat="1" x14ac:dyDescent="0.25">
      <c r="A537" s="12"/>
      <c r="B537" s="1857"/>
      <c r="C537" s="1857"/>
    </row>
    <row r="538" spans="1:3" s="1765" customFormat="1" x14ac:dyDescent="0.25">
      <c r="A538" s="12"/>
      <c r="B538" s="1857"/>
      <c r="C538" s="1857"/>
    </row>
    <row r="539" spans="1:3" s="1765" customFormat="1" x14ac:dyDescent="0.25">
      <c r="A539" s="12"/>
      <c r="B539" s="1857"/>
      <c r="C539" s="1857"/>
    </row>
    <row r="540" spans="1:3" s="1765" customFormat="1" x14ac:dyDescent="0.25">
      <c r="A540" s="12"/>
      <c r="B540" s="1857"/>
      <c r="C540" s="1857"/>
    </row>
    <row r="541" spans="1:3" s="1765" customFormat="1" x14ac:dyDescent="0.25">
      <c r="A541" s="12"/>
      <c r="B541" s="1857"/>
      <c r="C541" s="1857"/>
    </row>
    <row r="542" spans="1:3" s="1765" customFormat="1" x14ac:dyDescent="0.25">
      <c r="A542" s="12"/>
      <c r="B542" s="1857"/>
      <c r="C542" s="1857"/>
    </row>
    <row r="543" spans="1:3" s="1765" customFormat="1" x14ac:dyDescent="0.25">
      <c r="A543" s="12"/>
      <c r="B543" s="1857"/>
      <c r="C543" s="1857"/>
    </row>
    <row r="544" spans="1:3" s="1765" customFormat="1" x14ac:dyDescent="0.25">
      <c r="A544" s="12"/>
      <c r="B544" s="1857"/>
      <c r="C544" s="1857"/>
    </row>
    <row r="545" spans="1:3" s="1765" customFormat="1" x14ac:dyDescent="0.25">
      <c r="A545" s="12"/>
      <c r="B545" s="1857"/>
      <c r="C545" s="1857"/>
    </row>
    <row r="546" spans="1:3" s="1765" customFormat="1" x14ac:dyDescent="0.25">
      <c r="A546" s="12"/>
      <c r="B546" s="1857"/>
      <c r="C546" s="1857"/>
    </row>
    <row r="547" spans="1:3" s="1765" customFormat="1" x14ac:dyDescent="0.25">
      <c r="A547" s="12"/>
      <c r="B547" s="1857"/>
      <c r="C547" s="1857"/>
    </row>
    <row r="548" spans="1:3" s="1765" customFormat="1" x14ac:dyDescent="0.25">
      <c r="A548" s="12"/>
      <c r="B548" s="1857"/>
      <c r="C548" s="1857"/>
    </row>
    <row r="549" spans="1:3" s="1765" customFormat="1" x14ac:dyDescent="0.25">
      <c r="A549" s="12"/>
      <c r="B549" s="1857"/>
      <c r="C549" s="1857"/>
    </row>
    <row r="550" spans="1:3" s="1765" customFormat="1" x14ac:dyDescent="0.25">
      <c r="A550" s="12"/>
      <c r="B550" s="1857"/>
      <c r="C550" s="1857"/>
    </row>
    <row r="551" spans="1:3" s="1765" customFormat="1" x14ac:dyDescent="0.25">
      <c r="A551" s="12"/>
      <c r="B551" s="1857"/>
      <c r="C551" s="1857"/>
    </row>
    <row r="552" spans="1:3" s="1765" customFormat="1" x14ac:dyDescent="0.25">
      <c r="A552" s="12"/>
      <c r="B552" s="1857"/>
      <c r="C552" s="1857"/>
    </row>
    <row r="553" spans="1:3" s="1765" customFormat="1" x14ac:dyDescent="0.25">
      <c r="A553" s="12"/>
      <c r="B553" s="1857"/>
      <c r="C553" s="1857"/>
    </row>
    <row r="554" spans="1:3" s="1765" customFormat="1" x14ac:dyDescent="0.25">
      <c r="A554" s="12"/>
      <c r="B554" s="1857"/>
      <c r="C554" s="1857"/>
    </row>
    <row r="555" spans="1:3" s="1765" customFormat="1" x14ac:dyDescent="0.25">
      <c r="A555" s="12"/>
      <c r="B555" s="1857"/>
      <c r="C555" s="1857"/>
    </row>
    <row r="556" spans="1:3" s="1765" customFormat="1" x14ac:dyDescent="0.25">
      <c r="A556" s="12"/>
      <c r="B556" s="1857"/>
      <c r="C556" s="1857"/>
    </row>
    <row r="557" spans="1:3" s="1765" customFormat="1" x14ac:dyDescent="0.25">
      <c r="A557" s="12"/>
      <c r="B557" s="1857"/>
      <c r="C557" s="1857"/>
    </row>
    <row r="558" spans="1:3" s="1765" customFormat="1" x14ac:dyDescent="0.25">
      <c r="A558" s="12"/>
      <c r="B558" s="1857"/>
      <c r="C558" s="1857"/>
    </row>
    <row r="559" spans="1:3" s="1765" customFormat="1" x14ac:dyDescent="0.25">
      <c r="A559" s="12"/>
      <c r="B559" s="1857"/>
      <c r="C559" s="1857"/>
    </row>
    <row r="560" spans="1:3" s="1765" customFormat="1" x14ac:dyDescent="0.25">
      <c r="A560" s="12"/>
      <c r="B560" s="1857"/>
      <c r="C560" s="1857"/>
    </row>
    <row r="561" spans="1:3" s="1765" customFormat="1" x14ac:dyDescent="0.25">
      <c r="A561" s="12"/>
      <c r="B561" s="1857"/>
      <c r="C561" s="1857"/>
    </row>
    <row r="562" spans="1:3" s="1765" customFormat="1" x14ac:dyDescent="0.25">
      <c r="A562" s="12"/>
      <c r="B562" s="1857"/>
      <c r="C562" s="1857"/>
    </row>
    <row r="563" spans="1:3" s="1765" customFormat="1" x14ac:dyDescent="0.25">
      <c r="A563" s="12"/>
      <c r="B563" s="1857"/>
      <c r="C563" s="1857"/>
    </row>
    <row r="564" spans="1:3" s="1765" customFormat="1" x14ac:dyDescent="0.25">
      <c r="A564" s="12"/>
      <c r="B564" s="1857"/>
      <c r="C564" s="1857"/>
    </row>
    <row r="565" spans="1:3" s="1765" customFormat="1" x14ac:dyDescent="0.25">
      <c r="A565" s="12"/>
      <c r="B565" s="1857"/>
      <c r="C565" s="1857"/>
    </row>
    <row r="566" spans="1:3" s="1765" customFormat="1" x14ac:dyDescent="0.25">
      <c r="A566" s="12"/>
      <c r="B566" s="1857"/>
      <c r="C566" s="1857"/>
    </row>
    <row r="567" spans="1:3" s="1765" customFormat="1" x14ac:dyDescent="0.25">
      <c r="A567" s="12"/>
      <c r="B567" s="1857"/>
      <c r="C567" s="1857"/>
    </row>
    <row r="568" spans="1:3" s="1765" customFormat="1" x14ac:dyDescent="0.25">
      <c r="A568" s="12"/>
      <c r="B568" s="1857"/>
      <c r="C568" s="1857"/>
    </row>
    <row r="569" spans="1:3" s="1765" customFormat="1" x14ac:dyDescent="0.25">
      <c r="A569" s="12"/>
      <c r="B569" s="1857"/>
      <c r="C569" s="1857"/>
    </row>
    <row r="570" spans="1:3" s="1765" customFormat="1" x14ac:dyDescent="0.25">
      <c r="A570" s="12"/>
      <c r="B570" s="1857"/>
      <c r="C570" s="1857"/>
    </row>
    <row r="571" spans="1:3" s="1765" customFormat="1" x14ac:dyDescent="0.25">
      <c r="A571" s="12"/>
      <c r="B571" s="1857"/>
      <c r="C571" s="1857"/>
    </row>
    <row r="572" spans="1:3" s="1765" customFormat="1" x14ac:dyDescent="0.25">
      <c r="A572" s="12"/>
      <c r="B572" s="1857"/>
      <c r="C572" s="1857"/>
    </row>
    <row r="573" spans="1:3" s="1765" customFormat="1" x14ac:dyDescent="0.25">
      <c r="A573" s="12"/>
      <c r="B573" s="1857"/>
      <c r="C573" s="1857"/>
    </row>
    <row r="574" spans="1:3" s="1765" customFormat="1" x14ac:dyDescent="0.25">
      <c r="A574" s="12"/>
      <c r="B574" s="1857"/>
      <c r="C574" s="1857"/>
    </row>
    <row r="575" spans="1:3" s="1765" customFormat="1" x14ac:dyDescent="0.25">
      <c r="A575" s="12"/>
      <c r="B575" s="1857"/>
      <c r="C575" s="1857"/>
    </row>
    <row r="576" spans="1:3" s="1765" customFormat="1" x14ac:dyDescent="0.25">
      <c r="A576" s="12"/>
      <c r="B576" s="1857"/>
      <c r="C576" s="1857"/>
    </row>
    <row r="577" spans="1:3" s="1765" customFormat="1" x14ac:dyDescent="0.25">
      <c r="A577" s="12"/>
      <c r="B577" s="1857"/>
      <c r="C577" s="1857"/>
    </row>
    <row r="578" spans="1:3" s="1765" customFormat="1" x14ac:dyDescent="0.25">
      <c r="A578" s="12"/>
      <c r="B578" s="1857"/>
      <c r="C578" s="1857"/>
    </row>
    <row r="579" spans="1:3" s="1765" customFormat="1" x14ac:dyDescent="0.25">
      <c r="A579" s="12"/>
      <c r="B579" s="1857"/>
      <c r="C579" s="1857"/>
    </row>
    <row r="580" spans="1:3" s="1765" customFormat="1" x14ac:dyDescent="0.25">
      <c r="A580" s="12"/>
      <c r="B580" s="1857"/>
      <c r="C580" s="1857"/>
    </row>
    <row r="581" spans="1:3" s="1765" customFormat="1" x14ac:dyDescent="0.25">
      <c r="A581" s="12"/>
      <c r="B581" s="1857"/>
      <c r="C581" s="1857"/>
    </row>
    <row r="582" spans="1:3" s="1765" customFormat="1" x14ac:dyDescent="0.25">
      <c r="A582" s="12"/>
      <c r="B582" s="1857"/>
      <c r="C582" s="1857"/>
    </row>
    <row r="583" spans="1:3" s="1765" customFormat="1" x14ac:dyDescent="0.25">
      <c r="A583" s="12"/>
      <c r="B583" s="1857"/>
      <c r="C583" s="1857"/>
    </row>
    <row r="584" spans="1:3" s="1765" customFormat="1" x14ac:dyDescent="0.25">
      <c r="A584" s="12"/>
      <c r="B584" s="1857"/>
      <c r="C584" s="1857"/>
    </row>
    <row r="585" spans="1:3" s="1765" customFormat="1" x14ac:dyDescent="0.25">
      <c r="A585" s="12"/>
      <c r="B585" s="1857"/>
      <c r="C585" s="1857"/>
    </row>
    <row r="586" spans="1:3" s="1765" customFormat="1" x14ac:dyDescent="0.25">
      <c r="A586" s="12"/>
      <c r="B586" s="1857"/>
      <c r="C586" s="1857"/>
    </row>
    <row r="587" spans="1:3" s="1765" customFormat="1" x14ac:dyDescent="0.25">
      <c r="A587" s="12"/>
      <c r="B587" s="1857"/>
      <c r="C587" s="1857"/>
    </row>
    <row r="588" spans="1:3" s="1765" customFormat="1" x14ac:dyDescent="0.25">
      <c r="A588" s="12"/>
      <c r="B588" s="1857"/>
      <c r="C588" s="1857"/>
    </row>
    <row r="589" spans="1:3" s="1765" customFormat="1" x14ac:dyDescent="0.25">
      <c r="A589" s="12"/>
      <c r="B589" s="1857"/>
      <c r="C589" s="1857"/>
    </row>
    <row r="590" spans="1:3" s="1765" customFormat="1" x14ac:dyDescent="0.25">
      <c r="A590" s="12"/>
      <c r="B590" s="1857"/>
      <c r="C590" s="1857"/>
    </row>
    <row r="591" spans="1:3" s="1765" customFormat="1" x14ac:dyDescent="0.25">
      <c r="A591" s="12"/>
      <c r="B591" s="1857"/>
      <c r="C591" s="1857"/>
    </row>
    <row r="592" spans="1:3" s="1765" customFormat="1" x14ac:dyDescent="0.25">
      <c r="A592" s="12"/>
      <c r="B592" s="1857"/>
      <c r="C592" s="1857"/>
    </row>
    <row r="593" spans="1:3" s="1765" customFormat="1" x14ac:dyDescent="0.25">
      <c r="A593" s="12"/>
      <c r="B593" s="1857"/>
      <c r="C593" s="1857"/>
    </row>
    <row r="594" spans="1:3" s="1765" customFormat="1" x14ac:dyDescent="0.25">
      <c r="A594" s="12"/>
      <c r="B594" s="1857"/>
      <c r="C594" s="1857"/>
    </row>
    <row r="595" spans="1:3" s="1765" customFormat="1" x14ac:dyDescent="0.25">
      <c r="A595" s="12"/>
      <c r="B595" s="1857"/>
      <c r="C595" s="1857"/>
    </row>
    <row r="596" spans="1:3" s="1765" customFormat="1" x14ac:dyDescent="0.25">
      <c r="A596" s="12"/>
      <c r="B596" s="1857"/>
      <c r="C596" s="1857"/>
    </row>
    <row r="597" spans="1:3" s="1765" customFormat="1" x14ac:dyDescent="0.25">
      <c r="A597" s="12"/>
      <c r="B597" s="1857"/>
      <c r="C597" s="1857"/>
    </row>
    <row r="598" spans="1:3" s="1765" customFormat="1" x14ac:dyDescent="0.25">
      <c r="A598" s="12"/>
      <c r="B598" s="1857"/>
      <c r="C598" s="1857"/>
    </row>
    <row r="599" spans="1:3" s="1765" customFormat="1" x14ac:dyDescent="0.25">
      <c r="A599" s="12"/>
      <c r="B599" s="1857"/>
      <c r="C599" s="1857"/>
    </row>
    <row r="600" spans="1:3" s="1765" customFormat="1" x14ac:dyDescent="0.25">
      <c r="A600" s="12"/>
      <c r="B600" s="1857"/>
      <c r="C600" s="1857"/>
    </row>
    <row r="601" spans="1:3" s="1765" customFormat="1" x14ac:dyDescent="0.25">
      <c r="A601" s="12"/>
      <c r="B601" s="1857"/>
      <c r="C601" s="1857"/>
    </row>
    <row r="602" spans="1:3" s="1765" customFormat="1" x14ac:dyDescent="0.25">
      <c r="A602" s="12"/>
      <c r="B602" s="1857"/>
      <c r="C602" s="1857"/>
    </row>
    <row r="603" spans="1:3" s="1765" customFormat="1" x14ac:dyDescent="0.25">
      <c r="A603" s="12"/>
      <c r="B603" s="1857"/>
      <c r="C603" s="1857"/>
    </row>
    <row r="604" spans="1:3" s="1765" customFormat="1" x14ac:dyDescent="0.25">
      <c r="A604" s="12"/>
      <c r="B604" s="1857"/>
      <c r="C604" s="1857"/>
    </row>
    <row r="605" spans="1:3" s="1765" customFormat="1" x14ac:dyDescent="0.25">
      <c r="A605" s="12"/>
      <c r="B605" s="1857"/>
      <c r="C605" s="1857"/>
    </row>
    <row r="606" spans="1:3" s="1765" customFormat="1" x14ac:dyDescent="0.25">
      <c r="A606" s="12"/>
      <c r="B606" s="1857"/>
      <c r="C606" s="1857"/>
    </row>
    <row r="607" spans="1:3" s="1765" customFormat="1" x14ac:dyDescent="0.25">
      <c r="A607" s="12"/>
      <c r="B607" s="1857"/>
      <c r="C607" s="1857"/>
    </row>
    <row r="608" spans="1:3" s="1765" customFormat="1" x14ac:dyDescent="0.25">
      <c r="A608" s="12"/>
      <c r="B608" s="1857"/>
      <c r="C608" s="1857"/>
    </row>
    <row r="609" spans="1:3" s="1765" customFormat="1" x14ac:dyDescent="0.25">
      <c r="A609" s="12"/>
      <c r="B609" s="1857"/>
      <c r="C609" s="1857"/>
    </row>
    <row r="610" spans="1:3" s="1765" customFormat="1" x14ac:dyDescent="0.25">
      <c r="A610" s="12"/>
      <c r="B610" s="1857"/>
      <c r="C610" s="1857"/>
    </row>
    <row r="611" spans="1:3" s="1765" customFormat="1" x14ac:dyDescent="0.25">
      <c r="A611" s="12"/>
      <c r="B611" s="1857"/>
      <c r="C611" s="1857"/>
    </row>
    <row r="612" spans="1:3" s="1765" customFormat="1" x14ac:dyDescent="0.25">
      <c r="A612" s="12"/>
      <c r="B612" s="1857"/>
      <c r="C612" s="1857"/>
    </row>
    <row r="613" spans="1:3" s="1765" customFormat="1" x14ac:dyDescent="0.25">
      <c r="A613" s="12"/>
      <c r="B613" s="1857"/>
      <c r="C613" s="1857"/>
    </row>
    <row r="614" spans="1:3" s="1765" customFormat="1" x14ac:dyDescent="0.25">
      <c r="A614" s="12"/>
      <c r="B614" s="1857"/>
      <c r="C614" s="1857"/>
    </row>
    <row r="615" spans="1:3" s="1765" customFormat="1" x14ac:dyDescent="0.25">
      <c r="A615" s="12"/>
      <c r="B615" s="1857"/>
      <c r="C615" s="1857"/>
    </row>
    <row r="616" spans="1:3" s="1765" customFormat="1" x14ac:dyDescent="0.25">
      <c r="A616" s="12"/>
      <c r="B616" s="1857"/>
      <c r="C616" s="1857"/>
    </row>
    <row r="617" spans="1:3" s="1765" customFormat="1" x14ac:dyDescent="0.25">
      <c r="A617" s="12"/>
      <c r="B617" s="1857"/>
      <c r="C617" s="1857"/>
    </row>
    <row r="618" spans="1:3" s="1765" customFormat="1" x14ac:dyDescent="0.25">
      <c r="A618" s="12"/>
      <c r="B618" s="1857"/>
      <c r="C618" s="1857"/>
    </row>
    <row r="619" spans="1:3" s="1765" customFormat="1" x14ac:dyDescent="0.25">
      <c r="A619" s="12"/>
      <c r="B619" s="1857"/>
      <c r="C619" s="1857"/>
    </row>
    <row r="620" spans="1:3" s="1765" customFormat="1" x14ac:dyDescent="0.25">
      <c r="A620" s="12"/>
      <c r="B620" s="1857"/>
      <c r="C620" s="1857"/>
    </row>
    <row r="621" spans="1:3" s="1765" customFormat="1" x14ac:dyDescent="0.25">
      <c r="A621" s="12"/>
      <c r="B621" s="1857"/>
      <c r="C621" s="1857"/>
    </row>
    <row r="622" spans="1:3" s="1765" customFormat="1" x14ac:dyDescent="0.25">
      <c r="A622" s="12"/>
      <c r="B622" s="1857"/>
      <c r="C622" s="1857"/>
    </row>
    <row r="623" spans="1:3" s="1765" customFormat="1" x14ac:dyDescent="0.25">
      <c r="A623" s="12"/>
      <c r="B623" s="1857"/>
      <c r="C623" s="1857"/>
    </row>
    <row r="624" spans="1:3" s="1765" customFormat="1" x14ac:dyDescent="0.25">
      <c r="A624" s="12"/>
      <c r="B624" s="1857"/>
      <c r="C624" s="1857"/>
    </row>
    <row r="625" spans="1:3" s="1765" customFormat="1" x14ac:dyDescent="0.25">
      <c r="A625" s="12"/>
      <c r="B625" s="1857"/>
      <c r="C625" s="1857"/>
    </row>
    <row r="626" spans="1:3" s="1765" customFormat="1" x14ac:dyDescent="0.25">
      <c r="A626" s="12"/>
      <c r="B626" s="1857"/>
      <c r="C626" s="1857"/>
    </row>
    <row r="627" spans="1:3" s="1765" customFormat="1" x14ac:dyDescent="0.25">
      <c r="A627" s="12"/>
      <c r="B627" s="1857"/>
      <c r="C627" s="1857"/>
    </row>
    <row r="628" spans="1:3" s="1765" customFormat="1" x14ac:dyDescent="0.25">
      <c r="A628" s="12"/>
      <c r="B628" s="1857"/>
      <c r="C628" s="1857"/>
    </row>
    <row r="629" spans="1:3" s="1765" customFormat="1" x14ac:dyDescent="0.25">
      <c r="A629" s="12"/>
      <c r="B629" s="1857"/>
      <c r="C629" s="1857"/>
    </row>
    <row r="630" spans="1:3" s="1765" customFormat="1" x14ac:dyDescent="0.25">
      <c r="A630" s="12"/>
      <c r="B630" s="1857"/>
      <c r="C630" s="1857"/>
    </row>
    <row r="631" spans="1:3" s="1765" customFormat="1" x14ac:dyDescent="0.25">
      <c r="A631" s="12"/>
      <c r="B631" s="1857"/>
      <c r="C631" s="1857"/>
    </row>
    <row r="632" spans="1:3" s="1765" customFormat="1" x14ac:dyDescent="0.25">
      <c r="A632" s="12"/>
      <c r="B632" s="1857"/>
      <c r="C632" s="1857"/>
    </row>
    <row r="633" spans="1:3" s="1765" customFormat="1" x14ac:dyDescent="0.25">
      <c r="A633" s="12"/>
      <c r="B633" s="1857"/>
      <c r="C633" s="1857"/>
    </row>
    <row r="634" spans="1:3" s="1765" customFormat="1" x14ac:dyDescent="0.25">
      <c r="A634" s="12"/>
      <c r="B634" s="1857"/>
      <c r="C634" s="1857"/>
    </row>
    <row r="635" spans="1:3" s="1765" customFormat="1" x14ac:dyDescent="0.25">
      <c r="A635" s="12"/>
      <c r="B635" s="1857"/>
      <c r="C635" s="1857"/>
    </row>
    <row r="636" spans="1:3" s="1765" customFormat="1" x14ac:dyDescent="0.25">
      <c r="A636" s="12"/>
      <c r="B636" s="1857"/>
      <c r="C636" s="1857"/>
    </row>
    <row r="637" spans="1:3" s="1765" customFormat="1" x14ac:dyDescent="0.25">
      <c r="A637" s="12"/>
      <c r="B637" s="1857"/>
      <c r="C637" s="1857"/>
    </row>
    <row r="638" spans="1:3" s="1765" customFormat="1" x14ac:dyDescent="0.25">
      <c r="A638" s="12"/>
      <c r="B638" s="1857"/>
      <c r="C638" s="1857"/>
    </row>
    <row r="639" spans="1:3" s="1765" customFormat="1" x14ac:dyDescent="0.25">
      <c r="A639" s="12"/>
      <c r="B639" s="1857"/>
      <c r="C639" s="1857"/>
    </row>
    <row r="640" spans="1:3" s="1765" customFormat="1" x14ac:dyDescent="0.25">
      <c r="A640" s="12"/>
      <c r="B640" s="1857"/>
      <c r="C640" s="1857"/>
    </row>
    <row r="641" spans="1:3" s="1765" customFormat="1" x14ac:dyDescent="0.25">
      <c r="A641" s="12"/>
      <c r="B641" s="1857"/>
      <c r="C641" s="1857"/>
    </row>
    <row r="642" spans="1:3" s="1765" customFormat="1" x14ac:dyDescent="0.25">
      <c r="A642" s="12"/>
      <c r="B642" s="1857"/>
      <c r="C642" s="1857"/>
    </row>
    <row r="643" spans="1:3" s="1765" customFormat="1" x14ac:dyDescent="0.25">
      <c r="A643" s="12"/>
      <c r="B643" s="1857"/>
      <c r="C643" s="1857"/>
    </row>
    <row r="644" spans="1:3" s="1765" customFormat="1" x14ac:dyDescent="0.25">
      <c r="A644" s="12"/>
      <c r="B644" s="1857"/>
      <c r="C644" s="1857"/>
    </row>
    <row r="645" spans="1:3" s="1765" customFormat="1" x14ac:dyDescent="0.25">
      <c r="A645" s="12"/>
      <c r="B645" s="1857"/>
      <c r="C645" s="1857"/>
    </row>
    <row r="646" spans="1:3" s="1765" customFormat="1" x14ac:dyDescent="0.25">
      <c r="A646" s="12"/>
      <c r="B646" s="1857"/>
      <c r="C646" s="1857"/>
    </row>
    <row r="647" spans="1:3" s="1765" customFormat="1" x14ac:dyDescent="0.25">
      <c r="A647" s="12"/>
      <c r="B647" s="1857"/>
      <c r="C647" s="1857"/>
    </row>
    <row r="648" spans="1:3" s="1765" customFormat="1" x14ac:dyDescent="0.25">
      <c r="A648" s="12"/>
      <c r="B648" s="1857"/>
      <c r="C648" s="1857"/>
    </row>
    <row r="649" spans="1:3" s="1765" customFormat="1" x14ac:dyDescent="0.25">
      <c r="A649" s="12"/>
      <c r="B649" s="1857"/>
      <c r="C649" s="1857"/>
    </row>
    <row r="650" spans="1:3" s="1765" customFormat="1" x14ac:dyDescent="0.25">
      <c r="A650" s="12"/>
      <c r="B650" s="1857"/>
      <c r="C650" s="1857"/>
    </row>
    <row r="651" spans="1:3" s="1765" customFormat="1" x14ac:dyDescent="0.25">
      <c r="A651" s="12"/>
      <c r="B651" s="1857"/>
      <c r="C651" s="1857"/>
    </row>
    <row r="652" spans="1:3" s="1765" customFormat="1" x14ac:dyDescent="0.25">
      <c r="A652" s="12"/>
      <c r="B652" s="1857"/>
      <c r="C652" s="1857"/>
    </row>
    <row r="653" spans="1:3" s="1765" customFormat="1" x14ac:dyDescent="0.25">
      <c r="A653" s="12"/>
      <c r="B653" s="1857"/>
      <c r="C653" s="1857"/>
    </row>
    <row r="654" spans="1:3" s="1765" customFormat="1" x14ac:dyDescent="0.25">
      <c r="A654" s="12"/>
      <c r="B654" s="1857"/>
      <c r="C654" s="1857"/>
    </row>
    <row r="655" spans="1:3" s="1765" customFormat="1" x14ac:dyDescent="0.25">
      <c r="A655" s="12"/>
      <c r="B655" s="1857"/>
      <c r="C655" s="1857"/>
    </row>
    <row r="656" spans="1:3" s="1765" customFormat="1" x14ac:dyDescent="0.25">
      <c r="A656" s="12"/>
      <c r="B656" s="1857"/>
      <c r="C656" s="1857"/>
    </row>
    <row r="657" spans="1:3" s="1765" customFormat="1" x14ac:dyDescent="0.25">
      <c r="A657" s="12"/>
      <c r="B657" s="1857"/>
      <c r="C657" s="1857"/>
    </row>
    <row r="658" spans="1:3" s="1765" customFormat="1" x14ac:dyDescent="0.25">
      <c r="A658" s="12"/>
      <c r="B658" s="1857"/>
      <c r="C658" s="1857"/>
    </row>
    <row r="659" spans="1:3" s="1765" customFormat="1" x14ac:dyDescent="0.25">
      <c r="A659" s="12"/>
      <c r="B659" s="1857"/>
      <c r="C659" s="1857"/>
    </row>
    <row r="660" spans="1:3" s="1765" customFormat="1" x14ac:dyDescent="0.25">
      <c r="A660" s="12"/>
      <c r="B660" s="1857"/>
      <c r="C660" s="1857"/>
    </row>
    <row r="661" spans="1:3" s="1765" customFormat="1" x14ac:dyDescent="0.25">
      <c r="A661" s="12"/>
      <c r="B661" s="1857"/>
      <c r="C661" s="1857"/>
    </row>
    <row r="662" spans="1:3" s="1765" customFormat="1" x14ac:dyDescent="0.25">
      <c r="A662" s="12"/>
      <c r="B662" s="1857"/>
      <c r="C662" s="1857"/>
    </row>
    <row r="663" spans="1:3" s="1765" customFormat="1" x14ac:dyDescent="0.25">
      <c r="A663" s="12"/>
      <c r="B663" s="1857"/>
      <c r="C663" s="1857"/>
    </row>
    <row r="664" spans="1:3" s="1765" customFormat="1" x14ac:dyDescent="0.25">
      <c r="A664" s="12"/>
      <c r="B664" s="1857"/>
      <c r="C664" s="1857"/>
    </row>
    <row r="665" spans="1:3" s="1765" customFormat="1" x14ac:dyDescent="0.25">
      <c r="A665" s="12"/>
      <c r="B665" s="1857"/>
      <c r="C665" s="1857"/>
    </row>
    <row r="666" spans="1:3" s="1765" customFormat="1" x14ac:dyDescent="0.25">
      <c r="A666" s="12"/>
      <c r="B666" s="1857"/>
      <c r="C666" s="1857"/>
    </row>
    <row r="667" spans="1:3" s="1765" customFormat="1" x14ac:dyDescent="0.25">
      <c r="A667" s="12"/>
      <c r="B667" s="1857"/>
      <c r="C667" s="1857"/>
    </row>
    <row r="668" spans="1:3" s="1765" customFormat="1" x14ac:dyDescent="0.25">
      <c r="A668" s="12"/>
      <c r="B668" s="1857"/>
      <c r="C668" s="1857"/>
    </row>
    <row r="669" spans="1:3" s="1765" customFormat="1" x14ac:dyDescent="0.25">
      <c r="A669" s="12"/>
      <c r="B669" s="1857"/>
      <c r="C669" s="1857"/>
    </row>
    <row r="670" spans="1:3" s="1765" customFormat="1" x14ac:dyDescent="0.25">
      <c r="A670" s="12"/>
      <c r="B670" s="1857"/>
      <c r="C670" s="1857"/>
    </row>
    <row r="671" spans="1:3" s="1765" customFormat="1" x14ac:dyDescent="0.25">
      <c r="A671" s="12"/>
      <c r="B671" s="1857"/>
      <c r="C671" s="1857"/>
    </row>
    <row r="672" spans="1:3" s="1765" customFormat="1" x14ac:dyDescent="0.25">
      <c r="A672" s="12"/>
      <c r="B672" s="1857"/>
      <c r="C672" s="1857"/>
    </row>
    <row r="673" spans="1:3" s="1765" customFormat="1" x14ac:dyDescent="0.25">
      <c r="A673" s="12"/>
      <c r="B673" s="1857"/>
      <c r="C673" s="1857"/>
    </row>
    <row r="674" spans="1:3" s="1765" customFormat="1" x14ac:dyDescent="0.25">
      <c r="A674" s="12"/>
      <c r="B674" s="1857"/>
      <c r="C674" s="1857"/>
    </row>
    <row r="675" spans="1:3" s="1765" customFormat="1" x14ac:dyDescent="0.25">
      <c r="A675" s="12"/>
      <c r="B675" s="1857"/>
      <c r="C675" s="1857"/>
    </row>
    <row r="676" spans="1:3" s="1765" customFormat="1" x14ac:dyDescent="0.25">
      <c r="A676" s="12"/>
      <c r="B676" s="1857"/>
      <c r="C676" s="1857"/>
    </row>
    <row r="677" spans="1:3" s="1765" customFormat="1" x14ac:dyDescent="0.25">
      <c r="A677" s="12"/>
      <c r="B677" s="1857"/>
      <c r="C677" s="1857"/>
    </row>
    <row r="678" spans="1:3" s="1765" customFormat="1" x14ac:dyDescent="0.25">
      <c r="A678" s="12"/>
      <c r="B678" s="1857"/>
      <c r="C678" s="1857"/>
    </row>
    <row r="679" spans="1:3" s="1765" customFormat="1" x14ac:dyDescent="0.25">
      <c r="A679" s="12"/>
      <c r="B679" s="1857"/>
      <c r="C679" s="1857"/>
    </row>
    <row r="680" spans="1:3" s="1765" customFormat="1" x14ac:dyDescent="0.25">
      <c r="A680" s="12"/>
      <c r="B680" s="1857"/>
      <c r="C680" s="1857"/>
    </row>
    <row r="681" spans="1:3" s="1765" customFormat="1" x14ac:dyDescent="0.25">
      <c r="A681" s="12"/>
      <c r="B681" s="1857"/>
      <c r="C681" s="1857"/>
    </row>
    <row r="682" spans="1:3" s="1765" customFormat="1" x14ac:dyDescent="0.25">
      <c r="A682" s="12"/>
      <c r="B682" s="1857"/>
      <c r="C682" s="1857"/>
    </row>
    <row r="683" spans="1:3" s="1765" customFormat="1" x14ac:dyDescent="0.25">
      <c r="A683" s="12"/>
      <c r="B683" s="1857"/>
      <c r="C683" s="1857"/>
    </row>
    <row r="684" spans="1:3" s="1765" customFormat="1" x14ac:dyDescent="0.25">
      <c r="A684" s="12"/>
      <c r="B684" s="1857"/>
      <c r="C684" s="1857"/>
    </row>
    <row r="685" spans="1:3" s="1765" customFormat="1" x14ac:dyDescent="0.25">
      <c r="A685" s="12"/>
      <c r="B685" s="1857"/>
      <c r="C685" s="1857"/>
    </row>
    <row r="686" spans="1:3" s="1765" customFormat="1" x14ac:dyDescent="0.25">
      <c r="A686" s="12"/>
      <c r="B686" s="1857"/>
      <c r="C686" s="1857"/>
    </row>
    <row r="687" spans="1:3" s="1765" customFormat="1" x14ac:dyDescent="0.25">
      <c r="A687" s="12"/>
      <c r="B687" s="1857"/>
      <c r="C687" s="1857"/>
    </row>
    <row r="688" spans="1:3" s="1765" customFormat="1" x14ac:dyDescent="0.25">
      <c r="A688" s="12"/>
      <c r="B688" s="1857"/>
      <c r="C688" s="1857"/>
    </row>
    <row r="689" spans="1:3" s="1765" customFormat="1" x14ac:dyDescent="0.25">
      <c r="A689" s="12"/>
      <c r="B689" s="1857"/>
      <c r="C689" s="1857"/>
    </row>
    <row r="690" spans="1:3" s="1765" customFormat="1" x14ac:dyDescent="0.25">
      <c r="A690" s="12"/>
      <c r="B690" s="1857"/>
      <c r="C690" s="1857"/>
    </row>
    <row r="691" spans="1:3" s="1765" customFormat="1" x14ac:dyDescent="0.25">
      <c r="A691" s="12"/>
      <c r="B691" s="1857"/>
      <c r="C691" s="1857"/>
    </row>
    <row r="692" spans="1:3" s="1765" customFormat="1" x14ac:dyDescent="0.25">
      <c r="A692" s="12"/>
      <c r="B692" s="1857"/>
      <c r="C692" s="1857"/>
    </row>
    <row r="693" spans="1:3" s="1765" customFormat="1" x14ac:dyDescent="0.25">
      <c r="A693" s="12"/>
      <c r="B693" s="1857"/>
      <c r="C693" s="1857"/>
    </row>
    <row r="694" spans="1:3" s="1765" customFormat="1" x14ac:dyDescent="0.25">
      <c r="A694" s="12"/>
      <c r="B694" s="1857"/>
      <c r="C694" s="1857"/>
    </row>
    <row r="695" spans="1:3" s="1765" customFormat="1" x14ac:dyDescent="0.25">
      <c r="A695" s="12"/>
      <c r="B695" s="1857"/>
      <c r="C695" s="1857"/>
    </row>
    <row r="696" spans="1:3" s="1765" customFormat="1" x14ac:dyDescent="0.25">
      <c r="A696" s="12"/>
      <c r="B696" s="1857"/>
      <c r="C696" s="1857"/>
    </row>
    <row r="697" spans="1:3" s="1765" customFormat="1" x14ac:dyDescent="0.25">
      <c r="A697" s="12"/>
      <c r="B697" s="1857"/>
      <c r="C697" s="1857"/>
    </row>
    <row r="698" spans="1:3" s="1765" customFormat="1" x14ac:dyDescent="0.25">
      <c r="A698" s="12"/>
      <c r="B698" s="1857"/>
      <c r="C698" s="1857"/>
    </row>
    <row r="699" spans="1:3" s="1765" customFormat="1" x14ac:dyDescent="0.25">
      <c r="A699" s="12"/>
      <c r="B699" s="1857"/>
      <c r="C699" s="1857"/>
    </row>
    <row r="700" spans="1:3" s="1765" customFormat="1" x14ac:dyDescent="0.25">
      <c r="A700" s="12"/>
      <c r="B700" s="1857"/>
      <c r="C700" s="1857"/>
    </row>
    <row r="701" spans="1:3" s="1765" customFormat="1" x14ac:dyDescent="0.25">
      <c r="A701" s="12"/>
      <c r="B701" s="1857"/>
      <c r="C701" s="1857"/>
    </row>
    <row r="702" spans="1:3" s="1765" customFormat="1" x14ac:dyDescent="0.25">
      <c r="A702" s="12"/>
      <c r="B702" s="1857"/>
      <c r="C702" s="1857"/>
    </row>
    <row r="703" spans="1:3" s="1765" customFormat="1" x14ac:dyDescent="0.25">
      <c r="A703" s="12"/>
      <c r="B703" s="1857"/>
      <c r="C703" s="1857"/>
    </row>
    <row r="704" spans="1:3" s="1765" customFormat="1" x14ac:dyDescent="0.25">
      <c r="A704" s="12"/>
      <c r="B704" s="1857"/>
      <c r="C704" s="1857"/>
    </row>
    <row r="705" spans="1:3" s="1765" customFormat="1" x14ac:dyDescent="0.25">
      <c r="A705" s="12"/>
      <c r="B705" s="1857"/>
      <c r="C705" s="1857"/>
    </row>
    <row r="706" spans="1:3" s="1765" customFormat="1" x14ac:dyDescent="0.25">
      <c r="A706" s="12"/>
      <c r="B706" s="1857"/>
      <c r="C706" s="1857"/>
    </row>
    <row r="707" spans="1:3" s="1765" customFormat="1" x14ac:dyDescent="0.25">
      <c r="A707" s="12"/>
      <c r="B707" s="1857"/>
      <c r="C707" s="1857"/>
    </row>
    <row r="708" spans="1:3" s="1765" customFormat="1" x14ac:dyDescent="0.25">
      <c r="A708" s="12"/>
      <c r="B708" s="1857"/>
      <c r="C708" s="1857"/>
    </row>
    <row r="709" spans="1:3" s="1765" customFormat="1" x14ac:dyDescent="0.25">
      <c r="A709" s="12"/>
      <c r="B709" s="1857"/>
      <c r="C709" s="1857"/>
    </row>
    <row r="710" spans="1:3" s="1765" customFormat="1" x14ac:dyDescent="0.25">
      <c r="A710" s="12"/>
      <c r="B710" s="1857"/>
      <c r="C710" s="1857"/>
    </row>
    <row r="711" spans="1:3" s="1765" customFormat="1" x14ac:dyDescent="0.25">
      <c r="A711" s="12"/>
      <c r="B711" s="1857"/>
      <c r="C711" s="1857"/>
    </row>
    <row r="712" spans="1:3" s="1765" customFormat="1" x14ac:dyDescent="0.25">
      <c r="A712" s="12"/>
      <c r="B712" s="1857"/>
      <c r="C712" s="1857"/>
    </row>
    <row r="713" spans="1:3" s="1765" customFormat="1" x14ac:dyDescent="0.25">
      <c r="A713" s="12"/>
      <c r="B713" s="1857"/>
      <c r="C713" s="1857"/>
    </row>
    <row r="714" spans="1:3" s="1765" customFormat="1" x14ac:dyDescent="0.25">
      <c r="A714" s="12"/>
      <c r="B714" s="1857"/>
      <c r="C714" s="1857"/>
    </row>
    <row r="715" spans="1:3" s="1765" customFormat="1" x14ac:dyDescent="0.25">
      <c r="A715" s="12"/>
      <c r="B715" s="1857"/>
      <c r="C715" s="1857"/>
    </row>
    <row r="716" spans="1:3" s="1765" customFormat="1" x14ac:dyDescent="0.25">
      <c r="A716" s="12"/>
      <c r="B716" s="1857"/>
      <c r="C716" s="1857"/>
    </row>
    <row r="717" spans="1:3" s="1765" customFormat="1" x14ac:dyDescent="0.25">
      <c r="A717" s="12"/>
      <c r="B717" s="1857"/>
      <c r="C717" s="1857"/>
    </row>
    <row r="718" spans="1:3" s="1765" customFormat="1" x14ac:dyDescent="0.25">
      <c r="A718" s="12"/>
      <c r="B718" s="1857"/>
      <c r="C718" s="1857"/>
    </row>
    <row r="719" spans="1:3" s="1765" customFormat="1" x14ac:dyDescent="0.25">
      <c r="A719" s="12"/>
      <c r="B719" s="1857"/>
      <c r="C719" s="1857"/>
    </row>
    <row r="720" spans="1:3" s="1765" customFormat="1" x14ac:dyDescent="0.25">
      <c r="A720" s="12"/>
      <c r="B720" s="1857"/>
      <c r="C720" s="1857"/>
    </row>
    <row r="721" spans="1:3" s="1765" customFormat="1" x14ac:dyDescent="0.25">
      <c r="A721" s="12"/>
      <c r="B721" s="1857"/>
      <c r="C721" s="1857"/>
    </row>
    <row r="722" spans="1:3" s="1765" customFormat="1" x14ac:dyDescent="0.25">
      <c r="A722" s="12"/>
      <c r="B722" s="1857"/>
      <c r="C722" s="1857"/>
    </row>
    <row r="723" spans="1:3" s="1765" customFormat="1" x14ac:dyDescent="0.25">
      <c r="A723" s="12"/>
      <c r="B723" s="1857"/>
      <c r="C723" s="1857"/>
    </row>
    <row r="724" spans="1:3" s="1765" customFormat="1" x14ac:dyDescent="0.25">
      <c r="A724" s="12"/>
      <c r="B724" s="1857"/>
      <c r="C724" s="1857"/>
    </row>
    <row r="725" spans="1:3" s="1765" customFormat="1" x14ac:dyDescent="0.25">
      <c r="A725" s="12"/>
      <c r="B725" s="1857"/>
      <c r="C725" s="1857"/>
    </row>
    <row r="726" spans="1:3" s="1765" customFormat="1" x14ac:dyDescent="0.25">
      <c r="A726" s="12"/>
      <c r="B726" s="1857"/>
      <c r="C726" s="1857"/>
    </row>
    <row r="727" spans="1:3" s="1765" customFormat="1" x14ac:dyDescent="0.25">
      <c r="A727" s="12"/>
      <c r="B727" s="1857"/>
      <c r="C727" s="1857"/>
    </row>
    <row r="728" spans="1:3" s="1765" customFormat="1" x14ac:dyDescent="0.25">
      <c r="A728" s="12"/>
      <c r="B728" s="1857"/>
      <c r="C728" s="1857"/>
    </row>
    <row r="729" spans="1:3" s="1765" customFormat="1" x14ac:dyDescent="0.25">
      <c r="A729" s="12"/>
      <c r="B729" s="1857"/>
      <c r="C729" s="1857"/>
    </row>
    <row r="730" spans="1:3" s="1765" customFormat="1" x14ac:dyDescent="0.25">
      <c r="A730" s="12"/>
      <c r="B730" s="1857"/>
      <c r="C730" s="1857"/>
    </row>
    <row r="731" spans="1:3" s="1765" customFormat="1" x14ac:dyDescent="0.25">
      <c r="A731" s="12"/>
      <c r="B731" s="1857"/>
      <c r="C731" s="1857"/>
    </row>
    <row r="732" spans="1:3" s="1765" customFormat="1" x14ac:dyDescent="0.25">
      <c r="A732" s="12"/>
      <c r="B732" s="1857"/>
      <c r="C732" s="1857"/>
    </row>
    <row r="733" spans="1:3" s="1765" customFormat="1" x14ac:dyDescent="0.25">
      <c r="A733" s="12"/>
      <c r="B733" s="1857"/>
      <c r="C733" s="1857"/>
    </row>
    <row r="734" spans="1:3" s="1765" customFormat="1" x14ac:dyDescent="0.25">
      <c r="A734" s="12"/>
      <c r="B734" s="1857"/>
      <c r="C734" s="1857"/>
    </row>
    <row r="735" spans="1:3" s="1765" customFormat="1" x14ac:dyDescent="0.25">
      <c r="A735" s="12"/>
      <c r="B735" s="1857"/>
      <c r="C735" s="1857"/>
    </row>
    <row r="736" spans="1:3" s="1765" customFormat="1" x14ac:dyDescent="0.25">
      <c r="A736" s="12"/>
      <c r="B736" s="1857"/>
      <c r="C736" s="1857"/>
    </row>
  </sheetData>
  <mergeCells count="20">
    <mergeCell ref="O59:P59"/>
    <mergeCell ref="R59:V59"/>
    <mergeCell ref="W59:X59"/>
    <mergeCell ref="Y59:Z59"/>
    <mergeCell ref="AA59:AB59"/>
    <mergeCell ref="D50:BB50"/>
    <mergeCell ref="D51:BB51"/>
    <mergeCell ref="D52:BB52"/>
    <mergeCell ref="D53:BB53"/>
    <mergeCell ref="D54:BB54"/>
    <mergeCell ref="E59:F59"/>
    <mergeCell ref="G59:H59"/>
    <mergeCell ref="I59:J59"/>
    <mergeCell ref="K59:L59"/>
    <mergeCell ref="M59:N59"/>
    <mergeCell ref="D49:BB49"/>
    <mergeCell ref="D2:BB2"/>
    <mergeCell ref="D3:BB3"/>
    <mergeCell ref="D4:BB4"/>
    <mergeCell ref="D48:BB48"/>
  </mergeCells>
  <pageMargins left="0.74803149606299202" right="0.74803149606299202" top="0.98425196850393704" bottom="0.98425196850393704" header="0.511811023622047" footer="0.511811023622047"/>
  <pageSetup paperSize="9" scale="2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50"/>
  <sheetViews>
    <sheetView showGridLines="0" view="pageBreakPreview" topLeftCell="A8" zoomScaleNormal="100" zoomScaleSheetLayoutView="100" workbookViewId="0">
      <selection activeCell="S10" sqref="S10"/>
    </sheetView>
  </sheetViews>
  <sheetFormatPr defaultColWidth="9.140625" defaultRowHeight="12" x14ac:dyDescent="0.2"/>
  <cols>
    <col min="1" max="1" width="2.28515625" style="1893" customWidth="1"/>
    <col min="2" max="2" width="12.5703125" style="1894" customWidth="1"/>
    <col min="3" max="3" width="3.7109375" style="1894" customWidth="1"/>
    <col min="4" max="4" width="31.7109375" style="1894" customWidth="1"/>
    <col min="5" max="6" width="10.85546875" style="1894" bestFit="1" customWidth="1"/>
    <col min="7" max="7" width="10.42578125" style="1894" customWidth="1"/>
    <col min="8" max="8" width="10.28515625" style="1894" customWidth="1"/>
    <col min="9" max="9" width="9.28515625" style="1894" customWidth="1"/>
    <col min="10" max="10" width="10.7109375" style="1894" customWidth="1"/>
    <col min="11" max="11" width="10.140625" style="1894" customWidth="1"/>
    <col min="12" max="12" width="10" style="1894" customWidth="1"/>
    <col min="13" max="13" width="10.5703125" style="1894" customWidth="1"/>
    <col min="14" max="14" width="9.7109375" style="1894" customWidth="1"/>
    <col min="15" max="15" width="9.5703125" style="1894" customWidth="1"/>
    <col min="16" max="16" width="9.7109375" style="1894" customWidth="1"/>
    <col min="17" max="17" width="10.42578125" style="1894" customWidth="1"/>
    <col min="18" max="18" width="9.28515625" style="1894" customWidth="1"/>
    <col min="19" max="19" width="9.7109375" style="1894" customWidth="1"/>
    <col min="20" max="20" width="8.5703125" style="1894" customWidth="1"/>
    <col min="21" max="21" width="9.28515625" style="1894" customWidth="1"/>
    <col min="22" max="22" width="9.85546875" style="1894" customWidth="1"/>
    <col min="23" max="23" width="9.42578125" style="1894" customWidth="1"/>
    <col min="24" max="24" width="9.85546875" style="1894" customWidth="1"/>
    <col min="25" max="25" width="9.140625" style="1894"/>
    <col min="26" max="26" width="9.85546875" style="1894" customWidth="1"/>
    <col min="27" max="16384" width="9.140625" style="1894"/>
  </cols>
  <sheetData>
    <row r="1" spans="1:37" s="1891" customFormat="1" ht="15" x14ac:dyDescent="0.25">
      <c r="A1" s="1890"/>
    </row>
    <row r="2" spans="1:37" s="1891" customFormat="1" ht="15" customHeight="1" x14ac:dyDescent="0.2">
      <c r="A2" s="1892">
        <v>1</v>
      </c>
      <c r="B2" s="1892" t="s">
        <v>0</v>
      </c>
      <c r="C2" s="1892">
        <v>25</v>
      </c>
      <c r="D2" s="4202" t="s">
        <v>768</v>
      </c>
      <c r="E2" s="4203"/>
      <c r="F2" s="4203"/>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4"/>
    </row>
    <row r="3" spans="1:37" s="1891" customFormat="1" ht="15" customHeight="1" x14ac:dyDescent="0.2">
      <c r="A3" s="1892">
        <v>2</v>
      </c>
      <c r="B3" s="1892" t="s">
        <v>2</v>
      </c>
      <c r="C3" s="1892"/>
      <c r="D3" s="4205" t="s">
        <v>769</v>
      </c>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7"/>
    </row>
    <row r="4" spans="1:37" s="1891" customFormat="1" ht="14.25" customHeight="1" x14ac:dyDescent="0.2">
      <c r="A4" s="1892">
        <v>3</v>
      </c>
      <c r="B4" s="1892" t="s">
        <v>4</v>
      </c>
      <c r="C4" s="1892"/>
      <c r="D4" s="4205" t="s">
        <v>770</v>
      </c>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7"/>
    </row>
    <row r="5" spans="1:37" s="1891" customFormat="1" ht="15" customHeight="1" x14ac:dyDescent="0.2">
      <c r="A5" s="1892"/>
      <c r="B5" s="1892"/>
      <c r="C5" s="1892"/>
      <c r="D5" s="4205"/>
      <c r="E5" s="4206"/>
      <c r="F5" s="4206"/>
      <c r="G5" s="4206"/>
      <c r="H5" s="4206"/>
      <c r="I5" s="4206"/>
      <c r="J5" s="4206"/>
      <c r="K5" s="4206"/>
      <c r="L5" s="4206"/>
      <c r="M5" s="4206"/>
      <c r="N5" s="4206"/>
      <c r="O5" s="4206"/>
      <c r="P5" s="4206"/>
      <c r="Q5" s="4206"/>
      <c r="R5" s="4206"/>
      <c r="S5" s="4206"/>
      <c r="T5" s="4206"/>
      <c r="U5" s="4206"/>
      <c r="V5" s="4206"/>
      <c r="W5" s="4206"/>
      <c r="X5" s="4206"/>
      <c r="Y5" s="4206"/>
      <c r="Z5" s="4206"/>
      <c r="AA5" s="4206"/>
      <c r="AB5" s="4206"/>
      <c r="AC5" s="4206"/>
      <c r="AD5" s="4206"/>
      <c r="AE5" s="4206"/>
      <c r="AF5" s="4206"/>
      <c r="AG5" s="4206"/>
      <c r="AH5" s="4206"/>
      <c r="AI5" s="4206"/>
      <c r="AJ5" s="4206"/>
      <c r="AK5" s="4207"/>
    </row>
    <row r="6" spans="1:37" s="1896" customFormat="1" ht="12.75" x14ac:dyDescent="0.2">
      <c r="A6" s="1892">
        <v>4</v>
      </c>
      <c r="B6" s="1895" t="s">
        <v>5</v>
      </c>
      <c r="D6" s="1897" t="s">
        <v>40</v>
      </c>
      <c r="E6" s="1898" t="s">
        <v>771</v>
      </c>
      <c r="F6" s="1898"/>
      <c r="G6" s="1898"/>
      <c r="H6" s="1898"/>
      <c r="I6" s="1899"/>
      <c r="J6" s="1899"/>
      <c r="K6" s="1899"/>
      <c r="L6" s="1898"/>
      <c r="M6" s="1898"/>
      <c r="N6" s="1898"/>
      <c r="O6" s="1898"/>
      <c r="P6" s="1147"/>
      <c r="Q6" s="1147"/>
      <c r="R6" s="1147"/>
      <c r="S6" s="1147"/>
      <c r="T6" s="1147"/>
      <c r="U6" s="1147"/>
      <c r="V6" s="1147"/>
      <c r="W6" s="1147"/>
    </row>
    <row r="7" spans="1:37" s="1896" customFormat="1" ht="11.25" x14ac:dyDescent="0.2">
      <c r="A7" s="1900"/>
      <c r="D7" s="1901"/>
      <c r="E7" s="1902" t="s">
        <v>772</v>
      </c>
      <c r="F7" s="1902"/>
      <c r="G7" s="1902"/>
      <c r="H7" s="1902"/>
      <c r="I7" s="1902"/>
      <c r="J7" s="1902" t="s">
        <v>773</v>
      </c>
      <c r="K7" s="1902"/>
      <c r="L7" s="1902"/>
      <c r="M7" s="1902"/>
      <c r="N7" s="1902"/>
      <c r="O7" s="1902"/>
      <c r="P7" s="1902"/>
      <c r="Q7" s="1902" t="s">
        <v>774</v>
      </c>
      <c r="R7" s="1902"/>
      <c r="S7" s="1902" t="s">
        <v>775</v>
      </c>
      <c r="T7" s="1902"/>
      <c r="U7" s="1902"/>
      <c r="V7" s="1902"/>
      <c r="W7" s="1903"/>
      <c r="X7" s="1147"/>
      <c r="Y7" s="1904"/>
    </row>
    <row r="8" spans="1:37" s="1896" customFormat="1" ht="11.25" x14ac:dyDescent="0.2">
      <c r="A8" s="1900"/>
      <c r="D8" s="1905" t="s">
        <v>467</v>
      </c>
      <c r="E8" s="1906">
        <v>1194349</v>
      </c>
      <c r="F8" s="1906"/>
      <c r="G8" s="1906"/>
      <c r="H8" s="1906"/>
      <c r="I8" s="1906"/>
      <c r="J8" s="1906">
        <v>1082044</v>
      </c>
      <c r="K8" s="1906"/>
      <c r="L8" s="1906"/>
      <c r="M8" s="1906"/>
      <c r="N8" s="1906"/>
      <c r="O8" s="1906"/>
      <c r="P8" s="1906">
        <v>1000558</v>
      </c>
      <c r="Q8" s="1906"/>
      <c r="R8" s="1906"/>
      <c r="S8" s="1906"/>
      <c r="T8" s="1906"/>
      <c r="U8" s="1906"/>
      <c r="V8" s="1906"/>
      <c r="W8" s="1907"/>
      <c r="X8" s="1906"/>
      <c r="Y8" s="1147"/>
    </row>
    <row r="9" spans="1:37" s="1896" customFormat="1" ht="11.25" x14ac:dyDescent="0.2">
      <c r="A9" s="1900"/>
      <c r="D9" s="1905" t="s">
        <v>468</v>
      </c>
      <c r="E9" s="1906">
        <v>1463364</v>
      </c>
      <c r="F9" s="1906"/>
      <c r="G9" s="1906"/>
      <c r="H9" s="1906"/>
      <c r="I9" s="1906"/>
      <c r="J9" s="1906">
        <v>1173938</v>
      </c>
      <c r="K9" s="1906"/>
      <c r="L9" s="1906"/>
      <c r="M9" s="1906"/>
      <c r="N9" s="1906"/>
      <c r="O9" s="1906"/>
      <c r="P9" s="1906">
        <v>915661</v>
      </c>
      <c r="Q9" s="1906"/>
      <c r="R9" s="1906"/>
      <c r="S9" s="1906"/>
      <c r="T9" s="1906"/>
      <c r="U9" s="1906"/>
      <c r="V9" s="1906"/>
      <c r="W9" s="1907"/>
      <c r="X9" s="1906"/>
      <c r="Y9" s="1147"/>
    </row>
    <row r="10" spans="1:37" x14ac:dyDescent="0.2">
      <c r="D10" s="1908" t="s">
        <v>721</v>
      </c>
      <c r="E10" s="1909">
        <v>2657714</v>
      </c>
      <c r="F10" s="1909"/>
      <c r="G10" s="1909"/>
      <c r="H10" s="1909"/>
      <c r="I10" s="1909"/>
      <c r="J10" s="1909">
        <v>2255982</v>
      </c>
      <c r="K10" s="1909"/>
      <c r="L10" s="1909"/>
      <c r="M10" s="1909"/>
      <c r="N10" s="1909"/>
      <c r="O10" s="1909"/>
      <c r="P10" s="1909">
        <v>1916219</v>
      </c>
      <c r="Q10" s="1909"/>
      <c r="R10" s="1909"/>
      <c r="S10" s="1909">
        <f>+'[9]Demographic trends'!N41*3.4%</f>
        <v>1760199.074</v>
      </c>
      <c r="T10" s="1909"/>
      <c r="U10" s="1909"/>
      <c r="V10" s="1909"/>
      <c r="W10" s="1910"/>
      <c r="X10" s="1909"/>
      <c r="Y10" s="1911"/>
    </row>
    <row r="11" spans="1:37" x14ac:dyDescent="0.2">
      <c r="D11" s="1912" t="s">
        <v>776</v>
      </c>
      <c r="E11" s="1913">
        <v>6.5</v>
      </c>
      <c r="F11" s="1914"/>
      <c r="G11" s="1914"/>
      <c r="H11" s="1914"/>
      <c r="I11" s="1914"/>
      <c r="J11" s="1915">
        <v>5</v>
      </c>
      <c r="K11" s="1914"/>
      <c r="L11" s="1914"/>
      <c r="M11" s="1914"/>
      <c r="N11" s="1914"/>
      <c r="O11" s="1914"/>
      <c r="P11" s="1915">
        <v>4</v>
      </c>
      <c r="Q11" s="1914"/>
      <c r="R11" s="1914"/>
      <c r="S11" s="1913">
        <f>100-96.6</f>
        <v>3.4000000000000057</v>
      </c>
      <c r="T11" s="1913"/>
      <c r="U11" s="1913"/>
      <c r="V11" s="1913"/>
      <c r="W11" s="1916"/>
      <c r="X11" s="1917"/>
      <c r="Y11" s="1911"/>
    </row>
    <row r="12" spans="1:37" x14ac:dyDescent="0.2">
      <c r="D12" s="1918"/>
      <c r="E12" s="1906"/>
      <c r="F12" s="1906"/>
      <c r="G12" s="1906"/>
      <c r="H12" s="1906"/>
      <c r="I12" s="1906"/>
      <c r="J12" s="1906"/>
      <c r="K12" s="1906"/>
      <c r="L12" s="1906"/>
      <c r="M12" s="1906"/>
      <c r="N12" s="1906"/>
      <c r="O12" s="1906"/>
      <c r="P12" s="1906"/>
      <c r="Q12" s="1906"/>
      <c r="R12" s="1906"/>
      <c r="S12" s="1911"/>
      <c r="T12" s="1911"/>
      <c r="U12" s="1911"/>
      <c r="V12" s="1911"/>
      <c r="W12" s="1911"/>
    </row>
    <row r="13" spans="1:37" x14ac:dyDescent="0.2">
      <c r="D13" s="1919"/>
      <c r="E13" s="1906"/>
      <c r="F13" s="1906"/>
      <c r="G13" s="1906"/>
      <c r="H13" s="1906"/>
      <c r="I13" s="1906"/>
      <c r="J13" s="1906"/>
      <c r="K13" s="1906"/>
      <c r="L13" s="1906"/>
      <c r="M13" s="1906"/>
      <c r="N13" s="1906"/>
      <c r="O13" s="1906"/>
      <c r="P13" s="1906"/>
      <c r="Q13" s="1906"/>
      <c r="R13" s="1906"/>
      <c r="S13" s="1911"/>
      <c r="T13" s="1911"/>
      <c r="U13" s="1911"/>
      <c r="V13" s="1911"/>
      <c r="W13" s="1911"/>
    </row>
    <row r="14" spans="1:37" ht="12.75" x14ac:dyDescent="0.2">
      <c r="A14" s="1892"/>
      <c r="B14" s="1892"/>
      <c r="C14" s="1892"/>
      <c r="D14" s="1897" t="s">
        <v>67</v>
      </c>
      <c r="E14" s="1898" t="s">
        <v>777</v>
      </c>
      <c r="F14" s="1898"/>
      <c r="G14" s="1898"/>
      <c r="H14" s="1898"/>
      <c r="I14" s="1911"/>
      <c r="J14" s="1911"/>
      <c r="K14" s="1911"/>
      <c r="L14" s="1911"/>
      <c r="M14" s="1911"/>
      <c r="N14" s="1911"/>
      <c r="O14" s="1911"/>
      <c r="P14" s="1911"/>
      <c r="Q14" s="1911"/>
      <c r="R14" s="1911"/>
      <c r="S14" s="1911"/>
      <c r="T14" s="1911"/>
      <c r="U14" s="1911"/>
      <c r="V14" s="1911"/>
      <c r="W14" s="1911"/>
    </row>
    <row r="15" spans="1:37" x14ac:dyDescent="0.2">
      <c r="D15" s="1920"/>
      <c r="E15" s="1921" t="s">
        <v>778</v>
      </c>
      <c r="F15" s="1921" t="s">
        <v>779</v>
      </c>
      <c r="G15" s="1921" t="s">
        <v>780</v>
      </c>
      <c r="H15" s="1921" t="s">
        <v>136</v>
      </c>
      <c r="I15" s="1921" t="s">
        <v>137</v>
      </c>
      <c r="J15" s="1921" t="s">
        <v>138</v>
      </c>
      <c r="K15" s="1921" t="s">
        <v>139</v>
      </c>
      <c r="L15" s="1921" t="s">
        <v>140</v>
      </c>
      <c r="M15" s="1921" t="s">
        <v>141</v>
      </c>
      <c r="N15" s="1921" t="s">
        <v>142</v>
      </c>
      <c r="O15" s="1921" t="s">
        <v>143</v>
      </c>
      <c r="P15" s="1921" t="s">
        <v>781</v>
      </c>
      <c r="Q15" s="1921" t="s">
        <v>145</v>
      </c>
      <c r="R15" s="1921" t="s">
        <v>8</v>
      </c>
      <c r="S15" s="1921" t="s">
        <v>9</v>
      </c>
      <c r="T15" s="1922" t="s">
        <v>10</v>
      </c>
      <c r="U15" s="1922" t="s">
        <v>11</v>
      </c>
      <c r="V15" s="1922" t="s">
        <v>12</v>
      </c>
      <c r="W15" s="1922" t="s">
        <v>13</v>
      </c>
      <c r="X15" s="1923" t="s">
        <v>14</v>
      </c>
      <c r="Y15" s="1923" t="s">
        <v>15</v>
      </c>
      <c r="Z15" s="1923" t="s">
        <v>333</v>
      </c>
    </row>
    <row r="16" spans="1:37" x14ac:dyDescent="0.2">
      <c r="D16" s="1924" t="s">
        <v>782</v>
      </c>
      <c r="E16" s="1925">
        <v>3487</v>
      </c>
      <c r="F16" s="1925">
        <v>8172</v>
      </c>
      <c r="G16" s="1925">
        <v>16835</v>
      </c>
      <c r="H16" s="1925">
        <v>22789</v>
      </c>
      <c r="I16" s="1925">
        <v>33574</v>
      </c>
      <c r="J16" s="1925">
        <v>34978</v>
      </c>
      <c r="K16" s="1925">
        <v>42355</v>
      </c>
      <c r="L16" s="1925">
        <v>76494</v>
      </c>
      <c r="M16" s="1925">
        <v>86917</v>
      </c>
      <c r="N16" s="1925">
        <v>90112</v>
      </c>
      <c r="O16" s="1925">
        <v>98631</v>
      </c>
      <c r="P16" s="1925">
        <v>102292</v>
      </c>
      <c r="Q16" s="1925">
        <v>107065</v>
      </c>
      <c r="R16" s="1925">
        <v>110731</v>
      </c>
      <c r="S16" s="1925">
        <v>112185</v>
      </c>
      <c r="T16" s="1925">
        <v>114993</v>
      </c>
      <c r="U16" s="1925">
        <v>120268</v>
      </c>
      <c r="V16" s="1925">
        <v>120632</v>
      </c>
      <c r="W16" s="1926">
        <v>126777</v>
      </c>
      <c r="X16" s="1927">
        <v>131040</v>
      </c>
      <c r="Y16" s="1927">
        <v>144952</v>
      </c>
      <c r="Z16" s="1927">
        <v>147467</v>
      </c>
    </row>
    <row r="17" spans="1:26" x14ac:dyDescent="0.2">
      <c r="D17" s="1928" t="s">
        <v>783</v>
      </c>
      <c r="E17" s="1929">
        <v>711629</v>
      </c>
      <c r="F17" s="1929">
        <v>660528</v>
      </c>
      <c r="G17" s="1929">
        <v>633778</v>
      </c>
      <c r="H17" s="1929">
        <v>607537</v>
      </c>
      <c r="I17" s="1929">
        <v>655822</v>
      </c>
      <c r="J17" s="1929">
        <v>694232</v>
      </c>
      <c r="K17" s="1929">
        <v>840424</v>
      </c>
      <c r="L17" s="1929">
        <v>1228231</v>
      </c>
      <c r="M17" s="1929">
        <v>1293280</v>
      </c>
      <c r="N17" s="1929">
        <v>1315143</v>
      </c>
      <c r="O17" s="1929">
        <v>1422808</v>
      </c>
      <c r="P17" s="1929">
        <v>1408456</v>
      </c>
      <c r="Q17" s="1929">
        <v>1286883</v>
      </c>
      <c r="R17" s="1929">
        <v>1264477</v>
      </c>
      <c r="S17" s="1929">
        <v>1200898</v>
      </c>
      <c r="T17" s="1930">
        <v>1198131</v>
      </c>
      <c r="U17" s="1929">
        <v>1164192</v>
      </c>
      <c r="V17" s="1930">
        <v>1120419</v>
      </c>
      <c r="W17" s="1931">
        <v>1112663</v>
      </c>
      <c r="X17" s="1932">
        <v>1085541</v>
      </c>
      <c r="Y17" s="1927">
        <v>1067176</v>
      </c>
      <c r="Z17" s="1927">
        <v>1061866</v>
      </c>
    </row>
    <row r="18" spans="1:26" x14ac:dyDescent="0.2">
      <c r="D18" s="1933" t="s">
        <v>784</v>
      </c>
      <c r="E18" s="1929">
        <v>715116</v>
      </c>
      <c r="F18" s="1929">
        <v>668700</v>
      </c>
      <c r="G18" s="1929">
        <v>650613</v>
      </c>
      <c r="H18" s="1929">
        <v>630326</v>
      </c>
      <c r="I18" s="1929">
        <v>689396</v>
      </c>
      <c r="J18" s="1929">
        <v>729210</v>
      </c>
      <c r="K18" s="1929">
        <v>882779</v>
      </c>
      <c r="L18" s="1929">
        <v>1304725</v>
      </c>
      <c r="M18" s="1929">
        <v>1380197</v>
      </c>
      <c r="N18" s="1929">
        <v>1405255</v>
      </c>
      <c r="O18" s="1929">
        <v>1521439</v>
      </c>
      <c r="P18" s="1929">
        <v>1510748</v>
      </c>
      <c r="Q18" s="1929">
        <v>1393948</v>
      </c>
      <c r="R18" s="1929">
        <v>1375208</v>
      </c>
      <c r="S18" s="1929">
        <v>1313083</v>
      </c>
      <c r="T18" s="1930">
        <v>1313124</v>
      </c>
      <c r="U18" s="1929">
        <v>1284460</v>
      </c>
      <c r="V18" s="1930">
        <v>1241051</v>
      </c>
      <c r="W18" s="1934">
        <v>1239440</v>
      </c>
      <c r="X18" s="1935">
        <v>1216581</v>
      </c>
      <c r="Y18" s="1927">
        <f>SUM(Y16:Y17)</f>
        <v>1212128</v>
      </c>
      <c r="Z18" s="1927">
        <f>SUM(Z16:Z17)</f>
        <v>1209333</v>
      </c>
    </row>
    <row r="19" spans="1:26" ht="22.5" x14ac:dyDescent="0.2">
      <c r="D19" s="1936" t="s">
        <v>785</v>
      </c>
      <c r="E19" s="1937">
        <f t="shared" ref="E19:W19" si="0">E18/E20</f>
        <v>0.29688360148160325</v>
      </c>
      <c r="F19" s="1937">
        <f t="shared" si="0"/>
        <v>0.2762686585663115</v>
      </c>
      <c r="G19" s="1937">
        <f t="shared" si="0"/>
        <v>0.25604624639610107</v>
      </c>
      <c r="H19" s="1937">
        <f t="shared" si="0"/>
        <v>0.23456879712440862</v>
      </c>
      <c r="I19" s="1937">
        <f t="shared" si="0"/>
        <v>0.18266994312132651</v>
      </c>
      <c r="J19" s="1937">
        <f t="shared" si="0"/>
        <v>0.18308974011003815</v>
      </c>
      <c r="K19" s="1937">
        <f t="shared" si="0"/>
        <v>0.17967221456157043</v>
      </c>
      <c r="L19" s="1937">
        <f t="shared" si="0"/>
        <v>0.20145255518068389</v>
      </c>
      <c r="M19" s="1937">
        <f t="shared" si="0"/>
        <v>0.17539355937488998</v>
      </c>
      <c r="N19" s="1937">
        <f t="shared" si="0"/>
        <v>0.12836759928368349</v>
      </c>
      <c r="O19" s="1937">
        <f t="shared" si="0"/>
        <v>0.12696495851964021</v>
      </c>
      <c r="P19" s="1937">
        <f t="shared" si="0"/>
        <v>0.12196832718734328</v>
      </c>
      <c r="Q19" s="1937">
        <f t="shared" si="0"/>
        <v>0.10701188935694049</v>
      </c>
      <c r="R19" s="1937">
        <f t="shared" si="0"/>
        <v>9.8200187830331173E-2</v>
      </c>
      <c r="S19" s="1937">
        <f t="shared" si="0"/>
        <v>8.8260134368736948E-2</v>
      </c>
      <c r="T19" s="1937">
        <f t="shared" si="0"/>
        <v>8.455831500014295E-2</v>
      </c>
      <c r="U19" s="1937">
        <f t="shared" si="0"/>
        <v>8.0116559033521578E-2</v>
      </c>
      <c r="V19" s="1937">
        <f t="shared" si="0"/>
        <v>7.8302642608742506E-2</v>
      </c>
      <c r="W19" s="1937">
        <f t="shared" si="0"/>
        <v>7.4983260288419118E-2</v>
      </c>
      <c r="X19" s="1937">
        <f>X18/X20</f>
        <v>7.2184253927357042E-2</v>
      </c>
      <c r="Y19" s="1937">
        <f t="shared" ref="Y19:Z19" si="1">Y18/Y20</f>
        <v>7.0470407153270034E-2</v>
      </c>
      <c r="Z19" s="1937">
        <f t="shared" si="1"/>
        <v>6.9065296706252624E-2</v>
      </c>
    </row>
    <row r="20" spans="1:26" x14ac:dyDescent="0.2">
      <c r="D20" s="1938" t="s">
        <v>786</v>
      </c>
      <c r="E20" s="1939">
        <v>2408742</v>
      </c>
      <c r="F20" s="1939">
        <v>2420470</v>
      </c>
      <c r="G20" s="1939">
        <v>2540998</v>
      </c>
      <c r="H20" s="1939">
        <v>2687169</v>
      </c>
      <c r="I20" s="1939">
        <v>3773998</v>
      </c>
      <c r="J20" s="1939">
        <v>3982801</v>
      </c>
      <c r="K20" s="1939">
        <v>4913275</v>
      </c>
      <c r="L20" s="1939">
        <v>6476587</v>
      </c>
      <c r="M20" s="1939">
        <v>7869143</v>
      </c>
      <c r="N20" s="1939">
        <v>10947116</v>
      </c>
      <c r="O20" s="1939">
        <v>11983141</v>
      </c>
      <c r="P20" s="1939">
        <v>12386396</v>
      </c>
      <c r="Q20" s="1939">
        <v>13026104</v>
      </c>
      <c r="R20" s="1939">
        <v>14004128</v>
      </c>
      <c r="S20" s="1939">
        <v>14877419</v>
      </c>
      <c r="T20" s="1939">
        <v>15529212</v>
      </c>
      <c r="U20" s="1939">
        <v>16032391</v>
      </c>
      <c r="V20" s="1939">
        <v>15849414</v>
      </c>
      <c r="W20" s="1939">
        <v>16529556</v>
      </c>
      <c r="X20" s="1940">
        <v>16853828</v>
      </c>
      <c r="Y20" s="1940">
        <v>17200525</v>
      </c>
      <c r="Z20" s="1940">
        <v>17509995</v>
      </c>
    </row>
    <row r="21" spans="1:26" x14ac:dyDescent="0.2">
      <c r="D21" s="1941"/>
      <c r="E21" s="1942"/>
      <c r="F21" s="1942"/>
      <c r="G21" s="1942"/>
      <c r="H21" s="1942"/>
      <c r="I21" s="1942"/>
      <c r="J21" s="1942"/>
      <c r="K21" s="1942"/>
      <c r="L21" s="1942"/>
      <c r="M21" s="1942"/>
      <c r="N21" s="1942"/>
      <c r="O21" s="1942"/>
      <c r="P21" s="1942"/>
      <c r="Q21" s="1942"/>
      <c r="R21" s="1942"/>
      <c r="S21" s="1942"/>
      <c r="T21" s="1942"/>
      <c r="U21" s="1942"/>
      <c r="V21" s="1942"/>
      <c r="W21" s="1942"/>
    </row>
    <row r="22" spans="1:26" x14ac:dyDescent="0.2">
      <c r="D22" s="1943"/>
      <c r="E22" s="1906"/>
      <c r="F22" s="1906"/>
      <c r="G22" s="1906"/>
      <c r="H22" s="1906"/>
      <c r="I22" s="1906"/>
      <c r="J22" s="1906"/>
      <c r="K22" s="1906"/>
      <c r="L22" s="1906"/>
      <c r="M22" s="1906"/>
      <c r="N22" s="1906"/>
      <c r="O22" s="1906"/>
      <c r="P22" s="1906"/>
      <c r="Q22" s="1906"/>
      <c r="R22" s="1906"/>
      <c r="S22" s="1906"/>
      <c r="T22" s="1906"/>
      <c r="U22" s="1906"/>
      <c r="V22" s="1906"/>
    </row>
    <row r="23" spans="1:26" ht="12.75" customHeight="1" x14ac:dyDescent="0.25">
      <c r="D23" s="1944" t="s">
        <v>258</v>
      </c>
      <c r="E23" s="1945" t="s">
        <v>787</v>
      </c>
      <c r="F23" s="1945"/>
      <c r="G23" s="1945"/>
      <c r="H23" s="1945"/>
      <c r="I23" s="1946"/>
      <c r="J23" s="1946"/>
      <c r="K23" s="1946"/>
      <c r="L23" s="1947"/>
      <c r="M23" s="1947"/>
      <c r="N23" s="1947"/>
      <c r="O23" s="1947"/>
      <c r="P23" s="1948"/>
      <c r="Q23" s="1947"/>
      <c r="R23" s="1947"/>
      <c r="S23" s="1947"/>
      <c r="T23" s="1947"/>
      <c r="U23" s="1947"/>
      <c r="V23" s="1947"/>
      <c r="W23" s="165">
        <v>155</v>
      </c>
      <c r="X23" s="1949">
        <v>290</v>
      </c>
    </row>
    <row r="24" spans="1:26" x14ac:dyDescent="0.2">
      <c r="D24" s="1901" t="s">
        <v>788</v>
      </c>
      <c r="E24" s="1902"/>
      <c r="F24" s="1902"/>
      <c r="G24" s="1902"/>
      <c r="H24" s="1902"/>
      <c r="I24" s="1902"/>
      <c r="J24" s="1902"/>
      <c r="K24" s="1921">
        <v>2002</v>
      </c>
      <c r="L24" s="1921">
        <v>2003</v>
      </c>
      <c r="M24" s="1921">
        <v>2004</v>
      </c>
      <c r="N24" s="1921">
        <v>2005</v>
      </c>
      <c r="O24" s="1921">
        <v>2006</v>
      </c>
      <c r="P24" s="1921">
        <v>2007</v>
      </c>
      <c r="Q24" s="1921">
        <v>2008</v>
      </c>
      <c r="R24" s="1921">
        <v>2009</v>
      </c>
      <c r="S24" s="1921">
        <v>2010</v>
      </c>
      <c r="T24" s="1921">
        <v>2011</v>
      </c>
      <c r="U24" s="1921">
        <v>2012</v>
      </c>
      <c r="V24" s="1921">
        <v>2013</v>
      </c>
      <c r="W24" s="1921">
        <v>2014</v>
      </c>
      <c r="X24" s="1950">
        <v>2015</v>
      </c>
    </row>
    <row r="25" spans="1:26" x14ac:dyDescent="0.2">
      <c r="D25" s="1951" t="s">
        <v>789</v>
      </c>
      <c r="E25" s="1952"/>
      <c r="F25" s="1952"/>
      <c r="G25" s="1952"/>
      <c r="H25" s="1952"/>
      <c r="I25" s="1953"/>
      <c r="J25" s="1953"/>
      <c r="K25" s="1954">
        <v>562</v>
      </c>
      <c r="L25" s="1954">
        <v>519</v>
      </c>
      <c r="M25" s="1954">
        <v>777</v>
      </c>
      <c r="N25" s="1954">
        <v>754</v>
      </c>
      <c r="O25" s="1954">
        <v>692</v>
      </c>
      <c r="P25" s="1954">
        <v>727</v>
      </c>
      <c r="Q25" s="1954">
        <v>804</v>
      </c>
      <c r="R25" s="1954">
        <v>872</v>
      </c>
      <c r="S25" s="1954">
        <v>792</v>
      </c>
      <c r="T25" s="1954">
        <v>890</v>
      </c>
      <c r="U25" s="1955">
        <v>1053</v>
      </c>
      <c r="V25" s="1955">
        <v>1086</v>
      </c>
      <c r="W25" s="1955">
        <v>1320</v>
      </c>
      <c r="X25" s="1956">
        <v>1691</v>
      </c>
    </row>
    <row r="26" spans="1:26" ht="12" hidden="1" customHeight="1" x14ac:dyDescent="0.2">
      <c r="D26" s="4208" t="s">
        <v>790</v>
      </c>
      <c r="E26" s="4209"/>
      <c r="F26" s="4209"/>
      <c r="G26" s="4209"/>
      <c r="H26" s="4209"/>
      <c r="I26" s="1957"/>
      <c r="J26" s="1957"/>
      <c r="K26" s="1958">
        <v>310</v>
      </c>
      <c r="L26" s="1958">
        <v>347</v>
      </c>
      <c r="M26" s="1958">
        <v>463</v>
      </c>
      <c r="N26" s="1958">
        <v>445</v>
      </c>
      <c r="O26" s="1958">
        <v>462</v>
      </c>
      <c r="P26" s="1958">
        <v>430</v>
      </c>
      <c r="Q26" s="1958"/>
      <c r="R26" s="1958"/>
      <c r="S26" s="1958"/>
      <c r="T26" s="1958"/>
      <c r="U26" s="1958"/>
      <c r="V26" s="1958"/>
      <c r="W26" s="1958"/>
      <c r="X26" s="1959"/>
    </row>
    <row r="27" spans="1:26" ht="12" hidden="1" customHeight="1" x14ac:dyDescent="0.2">
      <c r="D27" s="4200" t="s">
        <v>791</v>
      </c>
      <c r="E27" s="4201"/>
      <c r="F27" s="4201"/>
      <c r="G27" s="4201"/>
      <c r="H27" s="4201"/>
      <c r="I27" s="1960"/>
      <c r="J27" s="1960"/>
      <c r="K27" s="1961">
        <v>35</v>
      </c>
      <c r="L27" s="1961">
        <v>30</v>
      </c>
      <c r="M27" s="1961">
        <v>42</v>
      </c>
      <c r="N27" s="1961">
        <v>36</v>
      </c>
      <c r="O27" s="1961">
        <v>21</v>
      </c>
      <c r="P27" s="1961">
        <v>28</v>
      </c>
      <c r="Q27" s="1961"/>
      <c r="R27" s="1961"/>
      <c r="S27" s="1961"/>
      <c r="T27" s="1961"/>
      <c r="U27" s="1961"/>
      <c r="V27" s="1961"/>
      <c r="W27" s="1961"/>
      <c r="X27" s="1962"/>
    </row>
    <row r="28" spans="1:26" ht="12" hidden="1" customHeight="1" x14ac:dyDescent="0.2">
      <c r="D28" s="4210" t="s">
        <v>792</v>
      </c>
      <c r="E28" s="4211"/>
      <c r="F28" s="4211"/>
      <c r="G28" s="4211"/>
      <c r="H28" s="4211"/>
      <c r="I28" s="1963"/>
      <c r="J28" s="1963"/>
      <c r="K28" s="1964">
        <v>38</v>
      </c>
      <c r="L28" s="1964">
        <v>39</v>
      </c>
      <c r="M28" s="1964">
        <v>58</v>
      </c>
      <c r="N28" s="1964">
        <v>47</v>
      </c>
      <c r="O28" s="1964">
        <v>45</v>
      </c>
      <c r="P28" s="1964">
        <v>34</v>
      </c>
      <c r="Q28" s="1964"/>
      <c r="R28" s="1964"/>
      <c r="S28" s="1964"/>
      <c r="T28" s="1964"/>
      <c r="U28" s="1964"/>
      <c r="V28" s="1964"/>
      <c r="W28" s="1964"/>
      <c r="X28" s="1965"/>
    </row>
    <row r="29" spans="1:26" x14ac:dyDescent="0.2">
      <c r="D29" s="1966" t="s">
        <v>793</v>
      </c>
      <c r="E29" s="1967"/>
      <c r="F29" s="1967"/>
      <c r="G29" s="1967"/>
      <c r="H29" s="1967"/>
      <c r="I29" s="1967"/>
      <c r="J29" s="1967"/>
      <c r="K29" s="1968">
        <v>383</v>
      </c>
      <c r="L29" s="1968">
        <v>416</v>
      </c>
      <c r="M29" s="1968">
        <v>563</v>
      </c>
      <c r="N29" s="1968">
        <v>528</v>
      </c>
      <c r="O29" s="1968">
        <v>528</v>
      </c>
      <c r="P29" s="1968">
        <v>492</v>
      </c>
      <c r="Q29" s="1968">
        <v>636</v>
      </c>
      <c r="R29" s="1968">
        <v>697</v>
      </c>
      <c r="S29" s="1968">
        <v>633</v>
      </c>
      <c r="T29" s="1968">
        <v>745</v>
      </c>
      <c r="U29" s="1968">
        <v>929</v>
      </c>
      <c r="V29" s="1968">
        <v>960</v>
      </c>
      <c r="W29" s="1968">
        <f>W25-W23</f>
        <v>1165</v>
      </c>
      <c r="X29" s="1969">
        <f>X25-X23</f>
        <v>1401</v>
      </c>
    </row>
    <row r="30" spans="1:26" s="1911" customFormat="1" x14ac:dyDescent="0.2">
      <c r="A30" s="1893"/>
      <c r="B30" s="1894"/>
      <c r="C30" s="1894"/>
      <c r="D30" s="1918" t="s">
        <v>478</v>
      </c>
      <c r="E30" s="1970"/>
      <c r="F30" s="1970"/>
      <c r="G30" s="1970"/>
      <c r="H30" s="1970"/>
      <c r="I30" s="1970"/>
      <c r="J30" s="1970"/>
      <c r="K30" s="1971">
        <f t="shared" ref="K30:X30" si="2">+K29/K25</f>
        <v>0.68149466192170816</v>
      </c>
      <c r="L30" s="1971">
        <f t="shared" si="2"/>
        <v>0.80154142581888244</v>
      </c>
      <c r="M30" s="1971">
        <f t="shared" si="2"/>
        <v>0.72458172458172454</v>
      </c>
      <c r="N30" s="1971">
        <f t="shared" si="2"/>
        <v>0.70026525198938994</v>
      </c>
      <c r="O30" s="1971">
        <f t="shared" si="2"/>
        <v>0.76300578034682076</v>
      </c>
      <c r="P30" s="1971">
        <f t="shared" si="2"/>
        <v>0.67675378266850073</v>
      </c>
      <c r="Q30" s="1971">
        <f t="shared" si="2"/>
        <v>0.79104477611940294</v>
      </c>
      <c r="R30" s="1971">
        <f t="shared" si="2"/>
        <v>0.79931192660550454</v>
      </c>
      <c r="S30" s="1971">
        <f t="shared" si="2"/>
        <v>0.7992424242424242</v>
      </c>
      <c r="T30" s="1971">
        <f t="shared" si="2"/>
        <v>0.8370786516853933</v>
      </c>
      <c r="U30" s="1971">
        <f t="shared" si="2"/>
        <v>0.88224121557454893</v>
      </c>
      <c r="V30" s="1971">
        <f t="shared" si="2"/>
        <v>0.88397790055248615</v>
      </c>
      <c r="W30" s="1971">
        <f t="shared" si="2"/>
        <v>0.88257575757575757</v>
      </c>
      <c r="X30" s="1972">
        <f t="shared" si="2"/>
        <v>0.82850384387936138</v>
      </c>
    </row>
    <row r="31" spans="1:26" s="1911" customFormat="1" x14ac:dyDescent="0.2">
      <c r="A31" s="1893"/>
      <c r="B31" s="1894"/>
      <c r="C31" s="1894"/>
      <c r="D31" s="1918"/>
      <c r="E31" s="1970"/>
      <c r="F31" s="1970"/>
      <c r="G31" s="1970"/>
      <c r="H31" s="1970"/>
      <c r="I31" s="1970"/>
      <c r="J31" s="1970"/>
      <c r="K31" s="1970"/>
      <c r="L31" s="1970"/>
      <c r="M31" s="1970"/>
      <c r="N31" s="1970"/>
      <c r="O31" s="1970"/>
      <c r="P31" s="1970"/>
      <c r="Q31" s="1970"/>
      <c r="R31" s="1970"/>
      <c r="S31" s="1970"/>
      <c r="T31" s="1970"/>
      <c r="U31" s="1970"/>
      <c r="V31" s="1970"/>
      <c r="W31" s="1970"/>
    </row>
    <row r="32" spans="1:26" s="1911" customFormat="1" x14ac:dyDescent="0.2">
      <c r="A32" s="1893"/>
      <c r="B32" s="1894"/>
      <c r="C32" s="1894"/>
      <c r="D32" s="1918"/>
      <c r="E32" s="1970"/>
      <c r="F32" s="1970"/>
      <c r="G32" s="1970"/>
      <c r="H32" s="1970"/>
      <c r="I32" s="1970"/>
      <c r="J32" s="1970"/>
      <c r="K32" s="1970"/>
      <c r="L32" s="1970"/>
      <c r="M32" s="1970"/>
      <c r="N32" s="1970"/>
      <c r="O32" s="1970"/>
      <c r="P32" s="1970"/>
      <c r="Q32" s="1970"/>
      <c r="R32" s="1970"/>
      <c r="S32" s="1970"/>
      <c r="T32" s="1970"/>
      <c r="U32" s="1970"/>
      <c r="V32" s="1970"/>
      <c r="W32" s="1970"/>
    </row>
    <row r="33" spans="1:37" s="1911" customFormat="1" x14ac:dyDescent="0.2">
      <c r="A33" s="1893"/>
      <c r="B33" s="1894"/>
      <c r="C33" s="1894"/>
      <c r="D33" s="1918"/>
      <c r="E33" s="1970"/>
      <c r="F33" s="1970"/>
      <c r="G33" s="1970"/>
      <c r="H33" s="1970"/>
      <c r="I33" s="1970"/>
      <c r="J33" s="1970"/>
      <c r="K33" s="1970"/>
      <c r="L33" s="1970"/>
      <c r="M33" s="1970"/>
      <c r="N33" s="1970"/>
      <c r="O33" s="1970"/>
      <c r="P33" s="1970"/>
      <c r="Q33" s="1970"/>
      <c r="R33" s="1970"/>
      <c r="S33" s="1970"/>
      <c r="T33" s="1970"/>
      <c r="U33" s="1970"/>
      <c r="V33" s="1970"/>
      <c r="W33" s="1970"/>
    </row>
    <row r="34" spans="1:37" x14ac:dyDescent="0.2">
      <c r="D34" s="1897" t="s">
        <v>276</v>
      </c>
      <c r="E34" s="1973" t="s">
        <v>794</v>
      </c>
      <c r="F34" s="1974"/>
      <c r="G34" s="1974"/>
      <c r="H34" s="1970"/>
      <c r="I34" s="1970"/>
      <c r="J34" s="1970"/>
      <c r="K34" s="1970"/>
      <c r="L34" s="1970"/>
      <c r="M34" s="1970"/>
      <c r="N34" s="1970"/>
      <c r="O34" s="1970"/>
      <c r="P34" s="1975"/>
      <c r="Q34" s="1970"/>
    </row>
    <row r="35" spans="1:37" x14ac:dyDescent="0.2">
      <c r="D35" s="1976"/>
      <c r="E35" s="4212">
        <v>2005</v>
      </c>
      <c r="F35" s="4212"/>
      <c r="G35" s="4213"/>
      <c r="H35" s="4212">
        <v>2006</v>
      </c>
      <c r="I35" s="4212"/>
      <c r="J35" s="4213"/>
      <c r="K35" s="4212">
        <v>2007</v>
      </c>
      <c r="L35" s="4212"/>
      <c r="M35" s="4213"/>
      <c r="N35" s="4212">
        <v>2008</v>
      </c>
      <c r="O35" s="4212"/>
      <c r="P35" s="4213"/>
      <c r="Q35" s="4212">
        <v>2009</v>
      </c>
      <c r="R35" s="4212"/>
      <c r="S35" s="4213"/>
      <c r="T35" s="4212">
        <v>2010</v>
      </c>
      <c r="U35" s="4212"/>
      <c r="V35" s="4213"/>
      <c r="W35" s="4212">
        <v>2011</v>
      </c>
      <c r="X35" s="4212"/>
      <c r="Y35" s="4213"/>
      <c r="Z35" s="4212">
        <v>2012</v>
      </c>
      <c r="AA35" s="4212"/>
      <c r="AB35" s="4213"/>
      <c r="AC35" s="4220">
        <v>2013</v>
      </c>
      <c r="AD35" s="4212"/>
      <c r="AE35" s="4213"/>
      <c r="AF35" s="4220">
        <v>2014</v>
      </c>
      <c r="AG35" s="4212"/>
      <c r="AH35" s="4213"/>
      <c r="AI35" s="4220">
        <v>2015</v>
      </c>
      <c r="AJ35" s="4212"/>
      <c r="AK35" s="4213"/>
    </row>
    <row r="36" spans="1:37" x14ac:dyDescent="0.2">
      <c r="D36" s="1977"/>
      <c r="E36" s="1978" t="s">
        <v>467</v>
      </c>
      <c r="F36" s="1978" t="s">
        <v>468</v>
      </c>
      <c r="G36" s="1979" t="s">
        <v>257</v>
      </c>
      <c r="H36" s="1978" t="s">
        <v>467</v>
      </c>
      <c r="I36" s="1978" t="s">
        <v>468</v>
      </c>
      <c r="J36" s="1979" t="s">
        <v>257</v>
      </c>
      <c r="K36" s="1978" t="s">
        <v>467</v>
      </c>
      <c r="L36" s="1978" t="s">
        <v>468</v>
      </c>
      <c r="M36" s="1979" t="s">
        <v>257</v>
      </c>
      <c r="N36" s="1978" t="s">
        <v>467</v>
      </c>
      <c r="O36" s="1978" t="s">
        <v>468</v>
      </c>
      <c r="P36" s="1979" t="s">
        <v>257</v>
      </c>
      <c r="Q36" s="1978" t="s">
        <v>467</v>
      </c>
      <c r="R36" s="1978" t="s">
        <v>468</v>
      </c>
      <c r="S36" s="1979" t="s">
        <v>257</v>
      </c>
      <c r="T36" s="1978" t="s">
        <v>467</v>
      </c>
      <c r="U36" s="1978" t="s">
        <v>468</v>
      </c>
      <c r="V36" s="1979" t="s">
        <v>257</v>
      </c>
      <c r="W36" s="1978" t="s">
        <v>467</v>
      </c>
      <c r="X36" s="1978" t="s">
        <v>468</v>
      </c>
      <c r="Y36" s="1979" t="s">
        <v>257</v>
      </c>
      <c r="Z36" s="1978" t="s">
        <v>467</v>
      </c>
      <c r="AA36" s="1978" t="s">
        <v>468</v>
      </c>
      <c r="AB36" s="1979" t="s">
        <v>257</v>
      </c>
      <c r="AC36" s="1980" t="s">
        <v>467</v>
      </c>
      <c r="AD36" s="1978" t="s">
        <v>468</v>
      </c>
      <c r="AE36" s="1979" t="s">
        <v>257</v>
      </c>
      <c r="AF36" s="1980" t="s">
        <v>467</v>
      </c>
      <c r="AG36" s="1978" t="s">
        <v>468</v>
      </c>
      <c r="AH36" s="1979" t="s">
        <v>257</v>
      </c>
      <c r="AI36" s="1980" t="s">
        <v>467</v>
      </c>
      <c r="AJ36" s="1978" t="s">
        <v>468</v>
      </c>
      <c r="AK36" s="1979" t="s">
        <v>257</v>
      </c>
    </row>
    <row r="37" spans="1:37" x14ac:dyDescent="0.2">
      <c r="D37" s="1981" t="s">
        <v>795</v>
      </c>
      <c r="E37" s="1496">
        <v>225</v>
      </c>
      <c r="F37" s="1496">
        <v>98</v>
      </c>
      <c r="G37" s="1982">
        <v>323</v>
      </c>
      <c r="H37" s="1496">
        <v>143</v>
      </c>
      <c r="I37" s="1496">
        <v>34</v>
      </c>
      <c r="J37" s="1982">
        <v>177</v>
      </c>
      <c r="K37" s="1496">
        <v>62</v>
      </c>
      <c r="L37" s="1496">
        <v>12</v>
      </c>
      <c r="M37" s="1982">
        <v>74</v>
      </c>
      <c r="N37" s="1496">
        <v>192</v>
      </c>
      <c r="O37" s="1496">
        <v>43</v>
      </c>
      <c r="P37" s="1982">
        <v>235</v>
      </c>
      <c r="Q37" s="1496">
        <v>210</v>
      </c>
      <c r="R37" s="1496">
        <v>50</v>
      </c>
      <c r="S37" s="1982">
        <f>Q37+R37</f>
        <v>260</v>
      </c>
      <c r="T37" s="1496">
        <v>500</v>
      </c>
      <c r="U37" s="1496">
        <v>104</v>
      </c>
      <c r="V37" s="1982">
        <f>T37+U37</f>
        <v>604</v>
      </c>
      <c r="W37" s="1496">
        <v>306</v>
      </c>
      <c r="X37" s="1496">
        <f>25+6+5+32</f>
        <v>68</v>
      </c>
      <c r="Y37" s="1982">
        <f>SUM(W37:X37)</f>
        <v>374</v>
      </c>
      <c r="Z37" s="1496">
        <v>745</v>
      </c>
      <c r="AA37" s="1496">
        <v>202</v>
      </c>
      <c r="AB37" s="1982">
        <f>SUM(Z37:AA37)</f>
        <v>947</v>
      </c>
      <c r="AC37" s="1983">
        <v>258</v>
      </c>
      <c r="AD37" s="1496">
        <v>80</v>
      </c>
      <c r="AE37" s="1982">
        <f>SUM(AC37:AD37)</f>
        <v>338</v>
      </c>
      <c r="AF37" s="1983">
        <v>870</v>
      </c>
      <c r="AG37" s="1496">
        <v>277</v>
      </c>
      <c r="AH37" s="1982">
        <f>SUM(AF37:AG37)</f>
        <v>1147</v>
      </c>
      <c r="AI37" s="1983">
        <v>757</v>
      </c>
      <c r="AJ37" s="1496">
        <v>225</v>
      </c>
      <c r="AK37" s="1982">
        <f>SUM(AI37:AJ37)</f>
        <v>982</v>
      </c>
    </row>
    <row r="38" spans="1:37" x14ac:dyDescent="0.2">
      <c r="D38" s="1984" t="s">
        <v>796</v>
      </c>
      <c r="E38" s="1985">
        <v>236</v>
      </c>
      <c r="F38" s="1985">
        <v>70</v>
      </c>
      <c r="G38" s="1986">
        <v>306</v>
      </c>
      <c r="H38" s="1985">
        <v>193</v>
      </c>
      <c r="I38" s="1985">
        <v>72</v>
      </c>
      <c r="J38" s="1986">
        <v>265</v>
      </c>
      <c r="K38" s="1985">
        <v>161</v>
      </c>
      <c r="L38" s="1985">
        <v>45</v>
      </c>
      <c r="M38" s="1986">
        <v>206</v>
      </c>
      <c r="N38" s="1985">
        <v>303</v>
      </c>
      <c r="O38" s="1985">
        <v>109</v>
      </c>
      <c r="P38" s="1986">
        <v>412</v>
      </c>
      <c r="Q38" s="1985">
        <v>530</v>
      </c>
      <c r="R38" s="1985">
        <v>174</v>
      </c>
      <c r="S38" s="1986">
        <f>Q38+R38</f>
        <v>704</v>
      </c>
      <c r="T38" s="1985">
        <v>837</v>
      </c>
      <c r="U38" s="1985">
        <v>334</v>
      </c>
      <c r="V38" s="1986">
        <f>T38+U38</f>
        <v>1171</v>
      </c>
      <c r="W38" s="1985">
        <v>601</v>
      </c>
      <c r="X38" s="1985">
        <v>336</v>
      </c>
      <c r="Y38" s="1986">
        <f>SUM(W38:X38)</f>
        <v>937</v>
      </c>
      <c r="Z38" s="1985">
        <v>1349</v>
      </c>
      <c r="AA38" s="1985">
        <v>561</v>
      </c>
      <c r="AB38" s="1986">
        <f>SUM(Z38:AA38)</f>
        <v>1910</v>
      </c>
      <c r="AC38" s="1987">
        <v>754</v>
      </c>
      <c r="AD38" s="1985">
        <v>301</v>
      </c>
      <c r="AE38" s="1986">
        <f>SUM(AC38:AD38)</f>
        <v>1055</v>
      </c>
      <c r="AF38" s="1988">
        <v>1614</v>
      </c>
      <c r="AG38" s="1985">
        <v>675</v>
      </c>
      <c r="AH38" s="1986">
        <f>SUM(AF38:AG38)</f>
        <v>2289</v>
      </c>
      <c r="AI38" s="1988">
        <v>1365</v>
      </c>
      <c r="AJ38" s="1985">
        <v>649</v>
      </c>
      <c r="AK38" s="1986">
        <f>SUM(AI38:AJ38)</f>
        <v>2014</v>
      </c>
    </row>
    <row r="39" spans="1:37" x14ac:dyDescent="0.2">
      <c r="P39" s="1948"/>
      <c r="W39" s="1911"/>
      <c r="X39" s="1911"/>
    </row>
    <row r="40" spans="1:37" s="1891" customFormat="1" ht="14.25" customHeight="1" x14ac:dyDescent="0.2">
      <c r="A40" s="1892">
        <v>5</v>
      </c>
      <c r="B40" s="1892" t="s">
        <v>29</v>
      </c>
      <c r="C40" s="1892"/>
      <c r="D40" s="4205" t="s">
        <v>797</v>
      </c>
      <c r="E40" s="4206"/>
      <c r="F40" s="4206"/>
      <c r="G40" s="4206"/>
      <c r="H40" s="4206"/>
      <c r="I40" s="4206"/>
      <c r="J40" s="4206"/>
      <c r="K40" s="4206"/>
      <c r="L40" s="4206"/>
      <c r="M40" s="4206"/>
      <c r="N40" s="4206"/>
      <c r="O40" s="4206"/>
      <c r="P40" s="4206"/>
      <c r="Q40" s="4206"/>
      <c r="R40" s="4206"/>
      <c r="S40" s="4206"/>
      <c r="T40" s="4206"/>
      <c r="U40" s="4206"/>
      <c r="V40" s="4206"/>
      <c r="W40" s="4206"/>
      <c r="X40" s="4206"/>
      <c r="Y40" s="4206"/>
      <c r="Z40" s="4206"/>
      <c r="AA40" s="4206"/>
      <c r="AB40" s="4206"/>
      <c r="AC40" s="4206"/>
      <c r="AD40" s="4206"/>
      <c r="AE40" s="4206"/>
      <c r="AF40" s="4206"/>
      <c r="AG40" s="4206"/>
      <c r="AH40" s="4206"/>
      <c r="AI40" s="4206"/>
      <c r="AJ40" s="4206"/>
      <c r="AK40" s="4207"/>
    </row>
    <row r="41" spans="1:37" s="1891" customFormat="1" ht="25.5" customHeight="1" x14ac:dyDescent="0.2">
      <c r="A41" s="1989">
        <v>6</v>
      </c>
      <c r="B41" s="1989" t="s">
        <v>32</v>
      </c>
      <c r="C41" s="1989"/>
      <c r="D41" s="4214" t="s">
        <v>798</v>
      </c>
      <c r="E41" s="4215"/>
      <c r="F41" s="4215"/>
      <c r="G41" s="4215"/>
      <c r="H41" s="4215"/>
      <c r="I41" s="4215"/>
      <c r="J41" s="4215"/>
      <c r="K41" s="4215"/>
      <c r="L41" s="4215"/>
      <c r="M41" s="4215"/>
      <c r="N41" s="4215"/>
      <c r="O41" s="4215"/>
      <c r="P41" s="4215"/>
      <c r="Q41" s="4215"/>
      <c r="R41" s="4215"/>
      <c r="S41" s="4215"/>
      <c r="T41" s="4215"/>
      <c r="U41" s="4215"/>
      <c r="V41" s="4215"/>
      <c r="W41" s="4215"/>
      <c r="X41" s="4215"/>
      <c r="Y41" s="4215"/>
      <c r="Z41" s="4215"/>
      <c r="AA41" s="4215"/>
      <c r="AB41" s="4215"/>
      <c r="AC41" s="4215"/>
      <c r="AD41" s="4215"/>
      <c r="AE41" s="4215"/>
      <c r="AF41" s="4215"/>
      <c r="AG41" s="4215"/>
      <c r="AH41" s="4215"/>
      <c r="AI41" s="4215"/>
      <c r="AJ41" s="4215"/>
      <c r="AK41" s="4216"/>
    </row>
    <row r="42" spans="1:37" s="1891" customFormat="1" ht="56.25" customHeight="1" x14ac:dyDescent="0.2">
      <c r="A42" s="1990">
        <v>7</v>
      </c>
      <c r="B42" s="1990" t="s">
        <v>31</v>
      </c>
      <c r="C42" s="1991"/>
      <c r="D42" s="4202" t="s">
        <v>799</v>
      </c>
      <c r="E42" s="4203"/>
      <c r="F42" s="4203"/>
      <c r="G42" s="4203"/>
      <c r="H42" s="4203"/>
      <c r="I42" s="4203"/>
      <c r="J42" s="4203"/>
      <c r="K42" s="4203"/>
      <c r="L42" s="4203"/>
      <c r="M42" s="4203"/>
      <c r="N42" s="4203"/>
      <c r="O42" s="4203"/>
      <c r="P42" s="4203"/>
      <c r="Q42" s="4203"/>
      <c r="R42" s="4203"/>
      <c r="S42" s="4203"/>
      <c r="T42" s="4203"/>
      <c r="U42" s="4203"/>
      <c r="V42" s="4203"/>
      <c r="W42" s="4203"/>
      <c r="X42" s="4203"/>
      <c r="Y42" s="4203"/>
      <c r="Z42" s="4203"/>
      <c r="AA42" s="4203"/>
      <c r="AB42" s="4203"/>
      <c r="AC42" s="4203"/>
      <c r="AD42" s="4203"/>
      <c r="AE42" s="4203"/>
      <c r="AF42" s="4203"/>
      <c r="AG42" s="4203"/>
      <c r="AH42" s="4203"/>
      <c r="AI42" s="4203"/>
      <c r="AJ42" s="4203"/>
      <c r="AK42" s="4204"/>
    </row>
    <row r="43" spans="1:37" ht="54" customHeight="1" x14ac:dyDescent="0.2">
      <c r="A43" s="1990">
        <v>8</v>
      </c>
      <c r="B43" s="1990" t="s">
        <v>34</v>
      </c>
      <c r="D43" s="4217" t="s">
        <v>800</v>
      </c>
      <c r="E43" s="4218"/>
      <c r="F43" s="4218"/>
      <c r="G43" s="4218"/>
      <c r="H43" s="4218"/>
      <c r="I43" s="4218"/>
      <c r="J43" s="4218"/>
      <c r="K43" s="4218"/>
      <c r="L43" s="4218"/>
      <c r="M43" s="4218"/>
      <c r="N43" s="4218"/>
      <c r="O43" s="4218"/>
      <c r="P43" s="4218"/>
      <c r="Q43" s="4218"/>
      <c r="R43" s="4218"/>
      <c r="S43" s="4218"/>
      <c r="T43" s="4218"/>
      <c r="U43" s="4218"/>
      <c r="V43" s="4218"/>
      <c r="W43" s="4218"/>
      <c r="X43" s="4218"/>
      <c r="Y43" s="4218"/>
      <c r="Z43" s="4218"/>
      <c r="AA43" s="4218"/>
      <c r="AB43" s="4218"/>
      <c r="AC43" s="4218"/>
      <c r="AD43" s="4218"/>
      <c r="AE43" s="4218"/>
      <c r="AF43" s="4218"/>
      <c r="AG43" s="4218"/>
      <c r="AH43" s="4218"/>
      <c r="AI43" s="4218"/>
      <c r="AJ43" s="4218"/>
      <c r="AK43" s="4219"/>
    </row>
    <row r="45" spans="1:37" x14ac:dyDescent="0.2">
      <c r="B45" s="1911"/>
      <c r="C45" s="1911"/>
      <c r="D45" s="1992"/>
      <c r="E45" s="1992"/>
      <c r="F45" s="1992"/>
      <c r="G45" s="1992"/>
      <c r="H45" s="1992"/>
      <c r="I45" s="1993"/>
      <c r="J45" s="1993"/>
      <c r="K45" s="1992"/>
      <c r="L45" s="1992"/>
      <c r="M45" s="1992"/>
      <c r="N45" s="1992"/>
      <c r="O45" s="1992"/>
      <c r="P45" s="1992"/>
      <c r="Q45" s="1992"/>
    </row>
    <row r="46" spans="1:37" x14ac:dyDescent="0.2">
      <c r="B46" s="1911"/>
      <c r="C46" s="1911"/>
      <c r="D46" s="1992"/>
      <c r="E46" s="1992"/>
      <c r="F46" s="1992"/>
      <c r="G46" s="1992"/>
      <c r="H46" s="1992"/>
      <c r="I46" s="1993"/>
      <c r="J46" s="1993"/>
      <c r="K46" s="1992"/>
      <c r="L46" s="1992"/>
      <c r="M46" s="1992"/>
      <c r="N46" s="1992"/>
      <c r="O46" s="1992"/>
      <c r="P46" s="1992"/>
      <c r="Q46" s="1992"/>
    </row>
    <row r="47" spans="1:37" x14ac:dyDescent="0.2">
      <c r="B47" s="1911"/>
      <c r="C47" s="1911"/>
      <c r="D47" s="1992"/>
      <c r="E47" s="1992"/>
      <c r="F47" s="1992"/>
      <c r="G47" s="1992"/>
      <c r="H47" s="1992"/>
      <c r="I47" s="1993"/>
      <c r="J47" s="1993"/>
      <c r="K47" s="1992"/>
      <c r="L47" s="1992"/>
      <c r="M47" s="1992"/>
      <c r="N47" s="1992"/>
      <c r="O47" s="1992"/>
      <c r="P47" s="1992"/>
      <c r="Q47" s="1992"/>
    </row>
    <row r="48" spans="1:37" x14ac:dyDescent="0.2">
      <c r="B48" s="1911"/>
      <c r="C48" s="1911"/>
      <c r="D48" s="1994"/>
      <c r="E48" s="1994"/>
      <c r="F48" s="1994"/>
      <c r="G48" s="1994"/>
      <c r="H48" s="1994"/>
      <c r="I48" s="1994"/>
      <c r="J48" s="1994"/>
      <c r="K48" s="1994"/>
      <c r="L48" s="1994"/>
      <c r="M48" s="1994"/>
      <c r="N48" s="1994"/>
      <c r="O48" s="1994"/>
      <c r="P48" s="1994"/>
      <c r="Q48" s="1994"/>
      <c r="W48" s="1911"/>
    </row>
    <row r="49" spans="2:23" x14ac:dyDescent="0.2">
      <c r="B49" s="1995"/>
      <c r="C49" s="1995"/>
      <c r="D49" s="1996"/>
      <c r="E49" s="1996"/>
      <c r="F49" s="1996"/>
      <c r="G49" s="1996"/>
      <c r="H49" s="1996"/>
      <c r="I49" s="1996"/>
      <c r="J49" s="1996"/>
      <c r="K49" s="1996"/>
      <c r="L49" s="1996"/>
      <c r="M49" s="1996"/>
      <c r="N49" s="1996"/>
      <c r="O49" s="1996"/>
      <c r="P49" s="1996"/>
      <c r="Q49" s="1996"/>
      <c r="W49" s="1911"/>
    </row>
    <row r="50" spans="2:23" x14ac:dyDescent="0.2">
      <c r="B50" s="1911"/>
      <c r="C50" s="1911"/>
      <c r="D50" s="1997"/>
      <c r="E50" s="1997"/>
      <c r="F50" s="1911"/>
      <c r="G50" s="1911"/>
      <c r="H50" s="1997"/>
      <c r="I50" s="1997"/>
      <c r="J50" s="1997"/>
      <c r="K50" s="1997"/>
      <c r="L50" s="1997"/>
      <c r="M50" s="1997"/>
      <c r="N50" s="1997"/>
      <c r="O50" s="1997"/>
      <c r="P50" s="1997"/>
      <c r="Q50" s="1997"/>
      <c r="W50" s="1911"/>
    </row>
  </sheetData>
  <mergeCells count="22">
    <mergeCell ref="D40:AK40"/>
    <mergeCell ref="D41:AK41"/>
    <mergeCell ref="D42:AK42"/>
    <mergeCell ref="D43:AK43"/>
    <mergeCell ref="T35:V35"/>
    <mergeCell ref="W35:Y35"/>
    <mergeCell ref="Z35:AB35"/>
    <mergeCell ref="AC35:AE35"/>
    <mergeCell ref="AF35:AH35"/>
    <mergeCell ref="AI35:AK35"/>
    <mergeCell ref="Q35:S35"/>
    <mergeCell ref="D28:H28"/>
    <mergeCell ref="E35:G35"/>
    <mergeCell ref="H35:J35"/>
    <mergeCell ref="K35:M35"/>
    <mergeCell ref="N35:P35"/>
    <mergeCell ref="D27:H27"/>
    <mergeCell ref="D2:AK2"/>
    <mergeCell ref="D3:AK3"/>
    <mergeCell ref="D4:AK4"/>
    <mergeCell ref="D5:AK5"/>
    <mergeCell ref="D26:H26"/>
  </mergeCells>
  <pageMargins left="0.74803149606299202" right="0.74803149606299202" top="0.98425196850393704" bottom="0.98425196850393704" header="0.511811023622047" footer="0.511811023622047"/>
  <pageSetup paperSize="9" scale="34" orientation="landscape" r:id="rId1"/>
  <headerFooter alignWithMargins="0">
    <oddHeader>&amp;C&amp;"-,Bold"DEVELOPMENT INDICATORS 2017</oddHeader>
    <oddFooter>&amp;LDepartment of Planning, Monitoring and Evaluation (DPME). &amp;CPage &amp;P of &amp;N&amp;R&amp;D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58"/>
  <sheetViews>
    <sheetView showGridLines="0" view="pageBreakPreview" zoomScaleNormal="100" zoomScaleSheetLayoutView="100" workbookViewId="0">
      <selection activeCell="U46" sqref="U46"/>
    </sheetView>
  </sheetViews>
  <sheetFormatPr defaultColWidth="9.140625" defaultRowHeight="15" x14ac:dyDescent="0.25"/>
  <cols>
    <col min="1" max="1" width="3.7109375" style="782" customWidth="1"/>
    <col min="2" max="2" width="14.42578125" style="899" customWidth="1"/>
    <col min="3" max="3" width="3.7109375" style="899" customWidth="1"/>
    <col min="4" max="4" width="20.5703125" style="267" customWidth="1"/>
    <col min="5" max="20" width="9.28515625" style="267" customWidth="1"/>
    <col min="21" max="23" width="5.5703125" style="267" customWidth="1"/>
    <col min="24" max="261" width="9.140625" style="267"/>
    <col min="262" max="262" width="3.7109375" style="267" customWidth="1"/>
    <col min="263" max="263" width="14.42578125" style="267" customWidth="1"/>
    <col min="264" max="264" width="3.7109375" style="267" customWidth="1"/>
    <col min="265" max="265" width="20.5703125" style="267" customWidth="1"/>
    <col min="266" max="276" width="9.28515625" style="267" customWidth="1"/>
    <col min="277" max="279" width="5.5703125" style="267" customWidth="1"/>
    <col min="280" max="517" width="9.140625" style="267"/>
    <col min="518" max="518" width="3.7109375" style="267" customWidth="1"/>
    <col min="519" max="519" width="14.42578125" style="267" customWidth="1"/>
    <col min="520" max="520" width="3.7109375" style="267" customWidth="1"/>
    <col min="521" max="521" width="20.5703125" style="267" customWidth="1"/>
    <col min="522" max="532" width="9.28515625" style="267" customWidth="1"/>
    <col min="533" max="535" width="5.5703125" style="267" customWidth="1"/>
    <col min="536" max="773" width="9.140625" style="267"/>
    <col min="774" max="774" width="3.7109375" style="267" customWidth="1"/>
    <col min="775" max="775" width="14.42578125" style="267" customWidth="1"/>
    <col min="776" max="776" width="3.7109375" style="267" customWidth="1"/>
    <col min="777" max="777" width="20.5703125" style="267" customWidth="1"/>
    <col min="778" max="788" width="9.28515625" style="267" customWidth="1"/>
    <col min="789" max="791" width="5.5703125" style="267" customWidth="1"/>
    <col min="792" max="1029" width="9.140625" style="267"/>
    <col min="1030" max="1030" width="3.7109375" style="267" customWidth="1"/>
    <col min="1031" max="1031" width="14.42578125" style="267" customWidth="1"/>
    <col min="1032" max="1032" width="3.7109375" style="267" customWidth="1"/>
    <col min="1033" max="1033" width="20.5703125" style="267" customWidth="1"/>
    <col min="1034" max="1044" width="9.28515625" style="267" customWidth="1"/>
    <col min="1045" max="1047" width="5.5703125" style="267" customWidth="1"/>
    <col min="1048" max="1285" width="9.140625" style="267"/>
    <col min="1286" max="1286" width="3.7109375" style="267" customWidth="1"/>
    <col min="1287" max="1287" width="14.42578125" style="267" customWidth="1"/>
    <col min="1288" max="1288" width="3.7109375" style="267" customWidth="1"/>
    <col min="1289" max="1289" width="20.5703125" style="267" customWidth="1"/>
    <col min="1290" max="1300" width="9.28515625" style="267" customWidth="1"/>
    <col min="1301" max="1303" width="5.5703125" style="267" customWidth="1"/>
    <col min="1304" max="1541" width="9.140625" style="267"/>
    <col min="1542" max="1542" width="3.7109375" style="267" customWidth="1"/>
    <col min="1543" max="1543" width="14.42578125" style="267" customWidth="1"/>
    <col min="1544" max="1544" width="3.7109375" style="267" customWidth="1"/>
    <col min="1545" max="1545" width="20.5703125" style="267" customWidth="1"/>
    <col min="1546" max="1556" width="9.28515625" style="267" customWidth="1"/>
    <col min="1557" max="1559" width="5.5703125" style="267" customWidth="1"/>
    <col min="1560" max="1797" width="9.140625" style="267"/>
    <col min="1798" max="1798" width="3.7109375" style="267" customWidth="1"/>
    <col min="1799" max="1799" width="14.42578125" style="267" customWidth="1"/>
    <col min="1800" max="1800" width="3.7109375" style="267" customWidth="1"/>
    <col min="1801" max="1801" width="20.5703125" style="267" customWidth="1"/>
    <col min="1802" max="1812" width="9.28515625" style="267" customWidth="1"/>
    <col min="1813" max="1815" width="5.5703125" style="267" customWidth="1"/>
    <col min="1816" max="2053" width="9.140625" style="267"/>
    <col min="2054" max="2054" width="3.7109375" style="267" customWidth="1"/>
    <col min="2055" max="2055" width="14.42578125" style="267" customWidth="1"/>
    <col min="2056" max="2056" width="3.7109375" style="267" customWidth="1"/>
    <col min="2057" max="2057" width="20.5703125" style="267" customWidth="1"/>
    <col min="2058" max="2068" width="9.28515625" style="267" customWidth="1"/>
    <col min="2069" max="2071" width="5.5703125" style="267" customWidth="1"/>
    <col min="2072" max="2309" width="9.140625" style="267"/>
    <col min="2310" max="2310" width="3.7109375" style="267" customWidth="1"/>
    <col min="2311" max="2311" width="14.42578125" style="267" customWidth="1"/>
    <col min="2312" max="2312" width="3.7109375" style="267" customWidth="1"/>
    <col min="2313" max="2313" width="20.5703125" style="267" customWidth="1"/>
    <col min="2314" max="2324" width="9.28515625" style="267" customWidth="1"/>
    <col min="2325" max="2327" width="5.5703125" style="267" customWidth="1"/>
    <col min="2328" max="2565" width="9.140625" style="267"/>
    <col min="2566" max="2566" width="3.7109375" style="267" customWidth="1"/>
    <col min="2567" max="2567" width="14.42578125" style="267" customWidth="1"/>
    <col min="2568" max="2568" width="3.7109375" style="267" customWidth="1"/>
    <col min="2569" max="2569" width="20.5703125" style="267" customWidth="1"/>
    <col min="2570" max="2580" width="9.28515625" style="267" customWidth="1"/>
    <col min="2581" max="2583" width="5.5703125" style="267" customWidth="1"/>
    <col min="2584" max="2821" width="9.140625" style="267"/>
    <col min="2822" max="2822" width="3.7109375" style="267" customWidth="1"/>
    <col min="2823" max="2823" width="14.42578125" style="267" customWidth="1"/>
    <col min="2824" max="2824" width="3.7109375" style="267" customWidth="1"/>
    <col min="2825" max="2825" width="20.5703125" style="267" customWidth="1"/>
    <col min="2826" max="2836" width="9.28515625" style="267" customWidth="1"/>
    <col min="2837" max="2839" width="5.5703125" style="267" customWidth="1"/>
    <col min="2840" max="3077" width="9.140625" style="267"/>
    <col min="3078" max="3078" width="3.7109375" style="267" customWidth="1"/>
    <col min="3079" max="3079" width="14.42578125" style="267" customWidth="1"/>
    <col min="3080" max="3080" width="3.7109375" style="267" customWidth="1"/>
    <col min="3081" max="3081" width="20.5703125" style="267" customWidth="1"/>
    <col min="3082" max="3092" width="9.28515625" style="267" customWidth="1"/>
    <col min="3093" max="3095" width="5.5703125" style="267" customWidth="1"/>
    <col min="3096" max="3333" width="9.140625" style="267"/>
    <col min="3334" max="3334" width="3.7109375" style="267" customWidth="1"/>
    <col min="3335" max="3335" width="14.42578125" style="267" customWidth="1"/>
    <col min="3336" max="3336" width="3.7109375" style="267" customWidth="1"/>
    <col min="3337" max="3337" width="20.5703125" style="267" customWidth="1"/>
    <col min="3338" max="3348" width="9.28515625" style="267" customWidth="1"/>
    <col min="3349" max="3351" width="5.5703125" style="267" customWidth="1"/>
    <col min="3352" max="3589" width="9.140625" style="267"/>
    <col min="3590" max="3590" width="3.7109375" style="267" customWidth="1"/>
    <col min="3591" max="3591" width="14.42578125" style="267" customWidth="1"/>
    <col min="3592" max="3592" width="3.7109375" style="267" customWidth="1"/>
    <col min="3593" max="3593" width="20.5703125" style="267" customWidth="1"/>
    <col min="3594" max="3604" width="9.28515625" style="267" customWidth="1"/>
    <col min="3605" max="3607" width="5.5703125" style="267" customWidth="1"/>
    <col min="3608" max="3845" width="9.140625" style="267"/>
    <col min="3846" max="3846" width="3.7109375" style="267" customWidth="1"/>
    <col min="3847" max="3847" width="14.42578125" style="267" customWidth="1"/>
    <col min="3848" max="3848" width="3.7109375" style="267" customWidth="1"/>
    <col min="3849" max="3849" width="20.5703125" style="267" customWidth="1"/>
    <col min="3850" max="3860" width="9.28515625" style="267" customWidth="1"/>
    <col min="3861" max="3863" width="5.5703125" style="267" customWidth="1"/>
    <col min="3864" max="4101" width="9.140625" style="267"/>
    <col min="4102" max="4102" width="3.7109375" style="267" customWidth="1"/>
    <col min="4103" max="4103" width="14.42578125" style="267" customWidth="1"/>
    <col min="4104" max="4104" width="3.7109375" style="267" customWidth="1"/>
    <col min="4105" max="4105" width="20.5703125" style="267" customWidth="1"/>
    <col min="4106" max="4116" width="9.28515625" style="267" customWidth="1"/>
    <col min="4117" max="4119" width="5.5703125" style="267" customWidth="1"/>
    <col min="4120" max="4357" width="9.140625" style="267"/>
    <col min="4358" max="4358" width="3.7109375" style="267" customWidth="1"/>
    <col min="4359" max="4359" width="14.42578125" style="267" customWidth="1"/>
    <col min="4360" max="4360" width="3.7109375" style="267" customWidth="1"/>
    <col min="4361" max="4361" width="20.5703125" style="267" customWidth="1"/>
    <col min="4362" max="4372" width="9.28515625" style="267" customWidth="1"/>
    <col min="4373" max="4375" width="5.5703125" style="267" customWidth="1"/>
    <col min="4376" max="4613" width="9.140625" style="267"/>
    <col min="4614" max="4614" width="3.7109375" style="267" customWidth="1"/>
    <col min="4615" max="4615" width="14.42578125" style="267" customWidth="1"/>
    <col min="4616" max="4616" width="3.7109375" style="267" customWidth="1"/>
    <col min="4617" max="4617" width="20.5703125" style="267" customWidth="1"/>
    <col min="4618" max="4628" width="9.28515625" style="267" customWidth="1"/>
    <col min="4629" max="4631" width="5.5703125" style="267" customWidth="1"/>
    <col min="4632" max="4869" width="9.140625" style="267"/>
    <col min="4870" max="4870" width="3.7109375" style="267" customWidth="1"/>
    <col min="4871" max="4871" width="14.42578125" style="267" customWidth="1"/>
    <col min="4872" max="4872" width="3.7109375" style="267" customWidth="1"/>
    <col min="4873" max="4873" width="20.5703125" style="267" customWidth="1"/>
    <col min="4874" max="4884" width="9.28515625" style="267" customWidth="1"/>
    <col min="4885" max="4887" width="5.5703125" style="267" customWidth="1"/>
    <col min="4888" max="5125" width="9.140625" style="267"/>
    <col min="5126" max="5126" width="3.7109375" style="267" customWidth="1"/>
    <col min="5127" max="5127" width="14.42578125" style="267" customWidth="1"/>
    <col min="5128" max="5128" width="3.7109375" style="267" customWidth="1"/>
    <col min="5129" max="5129" width="20.5703125" style="267" customWidth="1"/>
    <col min="5130" max="5140" width="9.28515625" style="267" customWidth="1"/>
    <col min="5141" max="5143" width="5.5703125" style="267" customWidth="1"/>
    <col min="5144" max="5381" width="9.140625" style="267"/>
    <col min="5382" max="5382" width="3.7109375" style="267" customWidth="1"/>
    <col min="5383" max="5383" width="14.42578125" style="267" customWidth="1"/>
    <col min="5384" max="5384" width="3.7109375" style="267" customWidth="1"/>
    <col min="5385" max="5385" width="20.5703125" style="267" customWidth="1"/>
    <col min="5386" max="5396" width="9.28515625" style="267" customWidth="1"/>
    <col min="5397" max="5399" width="5.5703125" style="267" customWidth="1"/>
    <col min="5400" max="5637" width="9.140625" style="267"/>
    <col min="5638" max="5638" width="3.7109375" style="267" customWidth="1"/>
    <col min="5639" max="5639" width="14.42578125" style="267" customWidth="1"/>
    <col min="5640" max="5640" width="3.7109375" style="267" customWidth="1"/>
    <col min="5641" max="5641" width="20.5703125" style="267" customWidth="1"/>
    <col min="5642" max="5652" width="9.28515625" style="267" customWidth="1"/>
    <col min="5653" max="5655" width="5.5703125" style="267" customWidth="1"/>
    <col min="5656" max="5893" width="9.140625" style="267"/>
    <col min="5894" max="5894" width="3.7109375" style="267" customWidth="1"/>
    <col min="5895" max="5895" width="14.42578125" style="267" customWidth="1"/>
    <col min="5896" max="5896" width="3.7109375" style="267" customWidth="1"/>
    <col min="5897" max="5897" width="20.5703125" style="267" customWidth="1"/>
    <col min="5898" max="5908" width="9.28515625" style="267" customWidth="1"/>
    <col min="5909" max="5911" width="5.5703125" style="267" customWidth="1"/>
    <col min="5912" max="6149" width="9.140625" style="267"/>
    <col min="6150" max="6150" width="3.7109375" style="267" customWidth="1"/>
    <col min="6151" max="6151" width="14.42578125" style="267" customWidth="1"/>
    <col min="6152" max="6152" width="3.7109375" style="267" customWidth="1"/>
    <col min="6153" max="6153" width="20.5703125" style="267" customWidth="1"/>
    <col min="6154" max="6164" width="9.28515625" style="267" customWidth="1"/>
    <col min="6165" max="6167" width="5.5703125" style="267" customWidth="1"/>
    <col min="6168" max="6405" width="9.140625" style="267"/>
    <col min="6406" max="6406" width="3.7109375" style="267" customWidth="1"/>
    <col min="6407" max="6407" width="14.42578125" style="267" customWidth="1"/>
    <col min="6408" max="6408" width="3.7109375" style="267" customWidth="1"/>
    <col min="6409" max="6409" width="20.5703125" style="267" customWidth="1"/>
    <col min="6410" max="6420" width="9.28515625" style="267" customWidth="1"/>
    <col min="6421" max="6423" width="5.5703125" style="267" customWidth="1"/>
    <col min="6424" max="6661" width="9.140625" style="267"/>
    <col min="6662" max="6662" width="3.7109375" style="267" customWidth="1"/>
    <col min="6663" max="6663" width="14.42578125" style="267" customWidth="1"/>
    <col min="6664" max="6664" width="3.7109375" style="267" customWidth="1"/>
    <col min="6665" max="6665" width="20.5703125" style="267" customWidth="1"/>
    <col min="6666" max="6676" width="9.28515625" style="267" customWidth="1"/>
    <col min="6677" max="6679" width="5.5703125" style="267" customWidth="1"/>
    <col min="6680" max="6917" width="9.140625" style="267"/>
    <col min="6918" max="6918" width="3.7109375" style="267" customWidth="1"/>
    <col min="6919" max="6919" width="14.42578125" style="267" customWidth="1"/>
    <col min="6920" max="6920" width="3.7109375" style="267" customWidth="1"/>
    <col min="6921" max="6921" width="20.5703125" style="267" customWidth="1"/>
    <col min="6922" max="6932" width="9.28515625" style="267" customWidth="1"/>
    <col min="6933" max="6935" width="5.5703125" style="267" customWidth="1"/>
    <col min="6936" max="7173" width="9.140625" style="267"/>
    <col min="7174" max="7174" width="3.7109375" style="267" customWidth="1"/>
    <col min="7175" max="7175" width="14.42578125" style="267" customWidth="1"/>
    <col min="7176" max="7176" width="3.7109375" style="267" customWidth="1"/>
    <col min="7177" max="7177" width="20.5703125" style="267" customWidth="1"/>
    <col min="7178" max="7188" width="9.28515625" style="267" customWidth="1"/>
    <col min="7189" max="7191" width="5.5703125" style="267" customWidth="1"/>
    <col min="7192" max="7429" width="9.140625" style="267"/>
    <col min="7430" max="7430" width="3.7109375" style="267" customWidth="1"/>
    <col min="7431" max="7431" width="14.42578125" style="267" customWidth="1"/>
    <col min="7432" max="7432" width="3.7109375" style="267" customWidth="1"/>
    <col min="7433" max="7433" width="20.5703125" style="267" customWidth="1"/>
    <col min="7434" max="7444" width="9.28515625" style="267" customWidth="1"/>
    <col min="7445" max="7447" width="5.5703125" style="267" customWidth="1"/>
    <col min="7448" max="7685" width="9.140625" style="267"/>
    <col min="7686" max="7686" width="3.7109375" style="267" customWidth="1"/>
    <col min="7687" max="7687" width="14.42578125" style="267" customWidth="1"/>
    <col min="7688" max="7688" width="3.7109375" style="267" customWidth="1"/>
    <col min="7689" max="7689" width="20.5703125" style="267" customWidth="1"/>
    <col min="7690" max="7700" width="9.28515625" style="267" customWidth="1"/>
    <col min="7701" max="7703" width="5.5703125" style="267" customWidth="1"/>
    <col min="7704" max="7941" width="9.140625" style="267"/>
    <col min="7942" max="7942" width="3.7109375" style="267" customWidth="1"/>
    <col min="7943" max="7943" width="14.42578125" style="267" customWidth="1"/>
    <col min="7944" max="7944" width="3.7109375" style="267" customWidth="1"/>
    <col min="7945" max="7945" width="20.5703125" style="267" customWidth="1"/>
    <col min="7946" max="7956" width="9.28515625" style="267" customWidth="1"/>
    <col min="7957" max="7959" width="5.5703125" style="267" customWidth="1"/>
    <col min="7960" max="8197" width="9.140625" style="267"/>
    <col min="8198" max="8198" width="3.7109375" style="267" customWidth="1"/>
    <col min="8199" max="8199" width="14.42578125" style="267" customWidth="1"/>
    <col min="8200" max="8200" width="3.7109375" style="267" customWidth="1"/>
    <col min="8201" max="8201" width="20.5703125" style="267" customWidth="1"/>
    <col min="8202" max="8212" width="9.28515625" style="267" customWidth="1"/>
    <col min="8213" max="8215" width="5.5703125" style="267" customWidth="1"/>
    <col min="8216" max="8453" width="9.140625" style="267"/>
    <col min="8454" max="8454" width="3.7109375" style="267" customWidth="1"/>
    <col min="8455" max="8455" width="14.42578125" style="267" customWidth="1"/>
    <col min="8456" max="8456" width="3.7109375" style="267" customWidth="1"/>
    <col min="8457" max="8457" width="20.5703125" style="267" customWidth="1"/>
    <col min="8458" max="8468" width="9.28515625" style="267" customWidth="1"/>
    <col min="8469" max="8471" width="5.5703125" style="267" customWidth="1"/>
    <col min="8472" max="8709" width="9.140625" style="267"/>
    <col min="8710" max="8710" width="3.7109375" style="267" customWidth="1"/>
    <col min="8711" max="8711" width="14.42578125" style="267" customWidth="1"/>
    <col min="8712" max="8712" width="3.7109375" style="267" customWidth="1"/>
    <col min="8713" max="8713" width="20.5703125" style="267" customWidth="1"/>
    <col min="8714" max="8724" width="9.28515625" style="267" customWidth="1"/>
    <col min="8725" max="8727" width="5.5703125" style="267" customWidth="1"/>
    <col min="8728" max="8965" width="9.140625" style="267"/>
    <col min="8966" max="8966" width="3.7109375" style="267" customWidth="1"/>
    <col min="8967" max="8967" width="14.42578125" style="267" customWidth="1"/>
    <col min="8968" max="8968" width="3.7109375" style="267" customWidth="1"/>
    <col min="8969" max="8969" width="20.5703125" style="267" customWidth="1"/>
    <col min="8970" max="8980" width="9.28515625" style="267" customWidth="1"/>
    <col min="8981" max="8983" width="5.5703125" style="267" customWidth="1"/>
    <col min="8984" max="9221" width="9.140625" style="267"/>
    <col min="9222" max="9222" width="3.7109375" style="267" customWidth="1"/>
    <col min="9223" max="9223" width="14.42578125" style="267" customWidth="1"/>
    <col min="9224" max="9224" width="3.7109375" style="267" customWidth="1"/>
    <col min="9225" max="9225" width="20.5703125" style="267" customWidth="1"/>
    <col min="9226" max="9236" width="9.28515625" style="267" customWidth="1"/>
    <col min="9237" max="9239" width="5.5703125" style="267" customWidth="1"/>
    <col min="9240" max="9477" width="9.140625" style="267"/>
    <col min="9478" max="9478" width="3.7109375" style="267" customWidth="1"/>
    <col min="9479" max="9479" width="14.42578125" style="267" customWidth="1"/>
    <col min="9480" max="9480" width="3.7109375" style="267" customWidth="1"/>
    <col min="9481" max="9481" width="20.5703125" style="267" customWidth="1"/>
    <col min="9482" max="9492" width="9.28515625" style="267" customWidth="1"/>
    <col min="9493" max="9495" width="5.5703125" style="267" customWidth="1"/>
    <col min="9496" max="9733" width="9.140625" style="267"/>
    <col min="9734" max="9734" width="3.7109375" style="267" customWidth="1"/>
    <col min="9735" max="9735" width="14.42578125" style="267" customWidth="1"/>
    <col min="9736" max="9736" width="3.7109375" style="267" customWidth="1"/>
    <col min="9737" max="9737" width="20.5703125" style="267" customWidth="1"/>
    <col min="9738" max="9748" width="9.28515625" style="267" customWidth="1"/>
    <col min="9749" max="9751" width="5.5703125" style="267" customWidth="1"/>
    <col min="9752" max="9989" width="9.140625" style="267"/>
    <col min="9990" max="9990" width="3.7109375" style="267" customWidth="1"/>
    <col min="9991" max="9991" width="14.42578125" style="267" customWidth="1"/>
    <col min="9992" max="9992" width="3.7109375" style="267" customWidth="1"/>
    <col min="9993" max="9993" width="20.5703125" style="267" customWidth="1"/>
    <col min="9994" max="10004" width="9.28515625" style="267" customWidth="1"/>
    <col min="10005" max="10007" width="5.5703125" style="267" customWidth="1"/>
    <col min="10008" max="10245" width="9.140625" style="267"/>
    <col min="10246" max="10246" width="3.7109375" style="267" customWidth="1"/>
    <col min="10247" max="10247" width="14.42578125" style="267" customWidth="1"/>
    <col min="10248" max="10248" width="3.7109375" style="267" customWidth="1"/>
    <col min="10249" max="10249" width="20.5703125" style="267" customWidth="1"/>
    <col min="10250" max="10260" width="9.28515625" style="267" customWidth="1"/>
    <col min="10261" max="10263" width="5.5703125" style="267" customWidth="1"/>
    <col min="10264" max="10501" width="9.140625" style="267"/>
    <col min="10502" max="10502" width="3.7109375" style="267" customWidth="1"/>
    <col min="10503" max="10503" width="14.42578125" style="267" customWidth="1"/>
    <col min="10504" max="10504" width="3.7109375" style="267" customWidth="1"/>
    <col min="10505" max="10505" width="20.5703125" style="267" customWidth="1"/>
    <col min="10506" max="10516" width="9.28515625" style="267" customWidth="1"/>
    <col min="10517" max="10519" width="5.5703125" style="267" customWidth="1"/>
    <col min="10520" max="10757" width="9.140625" style="267"/>
    <col min="10758" max="10758" width="3.7109375" style="267" customWidth="1"/>
    <col min="10759" max="10759" width="14.42578125" style="267" customWidth="1"/>
    <col min="10760" max="10760" width="3.7109375" style="267" customWidth="1"/>
    <col min="10761" max="10761" width="20.5703125" style="267" customWidth="1"/>
    <col min="10762" max="10772" width="9.28515625" style="267" customWidth="1"/>
    <col min="10773" max="10775" width="5.5703125" style="267" customWidth="1"/>
    <col min="10776" max="11013" width="9.140625" style="267"/>
    <col min="11014" max="11014" width="3.7109375" style="267" customWidth="1"/>
    <col min="11015" max="11015" width="14.42578125" style="267" customWidth="1"/>
    <col min="11016" max="11016" width="3.7109375" style="267" customWidth="1"/>
    <col min="11017" max="11017" width="20.5703125" style="267" customWidth="1"/>
    <col min="11018" max="11028" width="9.28515625" style="267" customWidth="1"/>
    <col min="11029" max="11031" width="5.5703125" style="267" customWidth="1"/>
    <col min="11032" max="11269" width="9.140625" style="267"/>
    <col min="11270" max="11270" width="3.7109375" style="267" customWidth="1"/>
    <col min="11271" max="11271" width="14.42578125" style="267" customWidth="1"/>
    <col min="11272" max="11272" width="3.7109375" style="267" customWidth="1"/>
    <col min="11273" max="11273" width="20.5703125" style="267" customWidth="1"/>
    <col min="11274" max="11284" width="9.28515625" style="267" customWidth="1"/>
    <col min="11285" max="11287" width="5.5703125" style="267" customWidth="1"/>
    <col min="11288" max="11525" width="9.140625" style="267"/>
    <col min="11526" max="11526" width="3.7109375" style="267" customWidth="1"/>
    <col min="11527" max="11527" width="14.42578125" style="267" customWidth="1"/>
    <col min="11528" max="11528" width="3.7109375" style="267" customWidth="1"/>
    <col min="11529" max="11529" width="20.5703125" style="267" customWidth="1"/>
    <col min="11530" max="11540" width="9.28515625" style="267" customWidth="1"/>
    <col min="11541" max="11543" width="5.5703125" style="267" customWidth="1"/>
    <col min="11544" max="11781" width="9.140625" style="267"/>
    <col min="11782" max="11782" width="3.7109375" style="267" customWidth="1"/>
    <col min="11783" max="11783" width="14.42578125" style="267" customWidth="1"/>
    <col min="11784" max="11784" width="3.7109375" style="267" customWidth="1"/>
    <col min="11785" max="11785" width="20.5703125" style="267" customWidth="1"/>
    <col min="11786" max="11796" width="9.28515625" style="267" customWidth="1"/>
    <col min="11797" max="11799" width="5.5703125" style="267" customWidth="1"/>
    <col min="11800" max="12037" width="9.140625" style="267"/>
    <col min="12038" max="12038" width="3.7109375" style="267" customWidth="1"/>
    <col min="12039" max="12039" width="14.42578125" style="267" customWidth="1"/>
    <col min="12040" max="12040" width="3.7109375" style="267" customWidth="1"/>
    <col min="12041" max="12041" width="20.5703125" style="267" customWidth="1"/>
    <col min="12042" max="12052" width="9.28515625" style="267" customWidth="1"/>
    <col min="12053" max="12055" width="5.5703125" style="267" customWidth="1"/>
    <col min="12056" max="12293" width="9.140625" style="267"/>
    <col min="12294" max="12294" width="3.7109375" style="267" customWidth="1"/>
    <col min="12295" max="12295" width="14.42578125" style="267" customWidth="1"/>
    <col min="12296" max="12296" width="3.7109375" style="267" customWidth="1"/>
    <col min="12297" max="12297" width="20.5703125" style="267" customWidth="1"/>
    <col min="12298" max="12308" width="9.28515625" style="267" customWidth="1"/>
    <col min="12309" max="12311" width="5.5703125" style="267" customWidth="1"/>
    <col min="12312" max="12549" width="9.140625" style="267"/>
    <col min="12550" max="12550" width="3.7109375" style="267" customWidth="1"/>
    <col min="12551" max="12551" width="14.42578125" style="267" customWidth="1"/>
    <col min="12552" max="12552" width="3.7109375" style="267" customWidth="1"/>
    <col min="12553" max="12553" width="20.5703125" style="267" customWidth="1"/>
    <col min="12554" max="12564" width="9.28515625" style="267" customWidth="1"/>
    <col min="12565" max="12567" width="5.5703125" style="267" customWidth="1"/>
    <col min="12568" max="12805" width="9.140625" style="267"/>
    <col min="12806" max="12806" width="3.7109375" style="267" customWidth="1"/>
    <col min="12807" max="12807" width="14.42578125" style="267" customWidth="1"/>
    <col min="12808" max="12808" width="3.7109375" style="267" customWidth="1"/>
    <col min="12809" max="12809" width="20.5703125" style="267" customWidth="1"/>
    <col min="12810" max="12820" width="9.28515625" style="267" customWidth="1"/>
    <col min="12821" max="12823" width="5.5703125" style="267" customWidth="1"/>
    <col min="12824" max="13061" width="9.140625" style="267"/>
    <col min="13062" max="13062" width="3.7109375" style="267" customWidth="1"/>
    <col min="13063" max="13063" width="14.42578125" style="267" customWidth="1"/>
    <col min="13064" max="13064" width="3.7109375" style="267" customWidth="1"/>
    <col min="13065" max="13065" width="20.5703125" style="267" customWidth="1"/>
    <col min="13066" max="13076" width="9.28515625" style="267" customWidth="1"/>
    <col min="13077" max="13079" width="5.5703125" style="267" customWidth="1"/>
    <col min="13080" max="13317" width="9.140625" style="267"/>
    <col min="13318" max="13318" width="3.7109375" style="267" customWidth="1"/>
    <col min="13319" max="13319" width="14.42578125" style="267" customWidth="1"/>
    <col min="13320" max="13320" width="3.7109375" style="267" customWidth="1"/>
    <col min="13321" max="13321" width="20.5703125" style="267" customWidth="1"/>
    <col min="13322" max="13332" width="9.28515625" style="267" customWidth="1"/>
    <col min="13333" max="13335" width="5.5703125" style="267" customWidth="1"/>
    <col min="13336" max="13573" width="9.140625" style="267"/>
    <col min="13574" max="13574" width="3.7109375" style="267" customWidth="1"/>
    <col min="13575" max="13575" width="14.42578125" style="267" customWidth="1"/>
    <col min="13576" max="13576" width="3.7109375" style="267" customWidth="1"/>
    <col min="13577" max="13577" width="20.5703125" style="267" customWidth="1"/>
    <col min="13578" max="13588" width="9.28515625" style="267" customWidth="1"/>
    <col min="13589" max="13591" width="5.5703125" style="267" customWidth="1"/>
    <col min="13592" max="13829" width="9.140625" style="267"/>
    <col min="13830" max="13830" width="3.7109375" style="267" customWidth="1"/>
    <col min="13831" max="13831" width="14.42578125" style="267" customWidth="1"/>
    <col min="13832" max="13832" width="3.7109375" style="267" customWidth="1"/>
    <col min="13833" max="13833" width="20.5703125" style="267" customWidth="1"/>
    <col min="13834" max="13844" width="9.28515625" style="267" customWidth="1"/>
    <col min="13845" max="13847" width="5.5703125" style="267" customWidth="1"/>
    <col min="13848" max="14085" width="9.140625" style="267"/>
    <col min="14086" max="14086" width="3.7109375" style="267" customWidth="1"/>
    <col min="14087" max="14087" width="14.42578125" style="267" customWidth="1"/>
    <col min="14088" max="14088" width="3.7109375" style="267" customWidth="1"/>
    <col min="14089" max="14089" width="20.5703125" style="267" customWidth="1"/>
    <col min="14090" max="14100" width="9.28515625" style="267" customWidth="1"/>
    <col min="14101" max="14103" width="5.5703125" style="267" customWidth="1"/>
    <col min="14104" max="14341" width="9.140625" style="267"/>
    <col min="14342" max="14342" width="3.7109375" style="267" customWidth="1"/>
    <col min="14343" max="14343" width="14.42578125" style="267" customWidth="1"/>
    <col min="14344" max="14344" width="3.7109375" style="267" customWidth="1"/>
    <col min="14345" max="14345" width="20.5703125" style="267" customWidth="1"/>
    <col min="14346" max="14356" width="9.28515625" style="267" customWidth="1"/>
    <col min="14357" max="14359" width="5.5703125" style="267" customWidth="1"/>
    <col min="14360" max="14597" width="9.140625" style="267"/>
    <col min="14598" max="14598" width="3.7109375" style="267" customWidth="1"/>
    <col min="14599" max="14599" width="14.42578125" style="267" customWidth="1"/>
    <col min="14600" max="14600" width="3.7109375" style="267" customWidth="1"/>
    <col min="14601" max="14601" width="20.5703125" style="267" customWidth="1"/>
    <col min="14602" max="14612" width="9.28515625" style="267" customWidth="1"/>
    <col min="14613" max="14615" width="5.5703125" style="267" customWidth="1"/>
    <col min="14616" max="14853" width="9.140625" style="267"/>
    <col min="14854" max="14854" width="3.7109375" style="267" customWidth="1"/>
    <col min="14855" max="14855" width="14.42578125" style="267" customWidth="1"/>
    <col min="14856" max="14856" width="3.7109375" style="267" customWidth="1"/>
    <col min="14857" max="14857" width="20.5703125" style="267" customWidth="1"/>
    <col min="14858" max="14868" width="9.28515625" style="267" customWidth="1"/>
    <col min="14869" max="14871" width="5.5703125" style="267" customWidth="1"/>
    <col min="14872" max="15109" width="9.140625" style="267"/>
    <col min="15110" max="15110" width="3.7109375" style="267" customWidth="1"/>
    <col min="15111" max="15111" width="14.42578125" style="267" customWidth="1"/>
    <col min="15112" max="15112" width="3.7109375" style="267" customWidth="1"/>
    <col min="15113" max="15113" width="20.5703125" style="267" customWidth="1"/>
    <col min="15114" max="15124" width="9.28515625" style="267" customWidth="1"/>
    <col min="15125" max="15127" width="5.5703125" style="267" customWidth="1"/>
    <col min="15128" max="15365" width="9.140625" style="267"/>
    <col min="15366" max="15366" width="3.7109375" style="267" customWidth="1"/>
    <col min="15367" max="15367" width="14.42578125" style="267" customWidth="1"/>
    <col min="15368" max="15368" width="3.7109375" style="267" customWidth="1"/>
    <col min="15369" max="15369" width="20.5703125" style="267" customWidth="1"/>
    <col min="15370" max="15380" width="9.28515625" style="267" customWidth="1"/>
    <col min="15381" max="15383" width="5.5703125" style="267" customWidth="1"/>
    <col min="15384" max="15621" width="9.140625" style="267"/>
    <col min="15622" max="15622" width="3.7109375" style="267" customWidth="1"/>
    <col min="15623" max="15623" width="14.42578125" style="267" customWidth="1"/>
    <col min="15624" max="15624" width="3.7109375" style="267" customWidth="1"/>
    <col min="15625" max="15625" width="20.5703125" style="267" customWidth="1"/>
    <col min="15626" max="15636" width="9.28515625" style="267" customWidth="1"/>
    <col min="15637" max="15639" width="5.5703125" style="267" customWidth="1"/>
    <col min="15640" max="15877" width="9.140625" style="267"/>
    <col min="15878" max="15878" width="3.7109375" style="267" customWidth="1"/>
    <col min="15879" max="15879" width="14.42578125" style="267" customWidth="1"/>
    <col min="15880" max="15880" width="3.7109375" style="267" customWidth="1"/>
    <col min="15881" max="15881" width="20.5703125" style="267" customWidth="1"/>
    <col min="15882" max="15892" width="9.28515625" style="267" customWidth="1"/>
    <col min="15893" max="15895" width="5.5703125" style="267" customWidth="1"/>
    <col min="15896" max="16133" width="9.140625" style="267"/>
    <col min="16134" max="16134" width="3.7109375" style="267" customWidth="1"/>
    <col min="16135" max="16135" width="14.42578125" style="267" customWidth="1"/>
    <col min="16136" max="16136" width="3.7109375" style="267" customWidth="1"/>
    <col min="16137" max="16137" width="20.5703125" style="267" customWidth="1"/>
    <col min="16138" max="16148" width="9.28515625" style="267" customWidth="1"/>
    <col min="16149" max="16151" width="5.5703125" style="267" customWidth="1"/>
    <col min="16152" max="16384" width="9.140625" style="267"/>
  </cols>
  <sheetData>
    <row r="1" spans="1:28" x14ac:dyDescent="0.25">
      <c r="D1" s="900"/>
      <c r="E1" s="900"/>
      <c r="F1" s="900"/>
      <c r="G1" s="900"/>
      <c r="H1" s="900"/>
      <c r="I1" s="900"/>
      <c r="J1" s="900"/>
      <c r="K1" s="900"/>
      <c r="L1" s="900"/>
      <c r="M1" s="900"/>
      <c r="N1" s="900"/>
      <c r="O1" s="900"/>
      <c r="P1" s="900"/>
      <c r="Q1" s="900"/>
      <c r="R1" s="900"/>
      <c r="S1" s="900"/>
      <c r="T1" s="900"/>
      <c r="U1" s="900"/>
    </row>
    <row r="2" spans="1:28" x14ac:dyDescent="0.25">
      <c r="A2" s="782">
        <v>1</v>
      </c>
      <c r="B2" s="782" t="s">
        <v>0</v>
      </c>
      <c r="C2" s="782">
        <v>32</v>
      </c>
      <c r="D2" s="4057" t="s">
        <v>801</v>
      </c>
      <c r="E2" s="4058"/>
      <c r="F2" s="4058"/>
      <c r="G2" s="4058"/>
      <c r="H2" s="4058"/>
      <c r="I2" s="4058"/>
      <c r="J2" s="4058"/>
      <c r="K2" s="4058"/>
      <c r="L2" s="4058"/>
      <c r="M2" s="4058"/>
      <c r="N2" s="4058"/>
      <c r="O2" s="4058"/>
      <c r="P2" s="4058"/>
      <c r="Q2" s="4058"/>
      <c r="R2" s="4058"/>
      <c r="S2" s="4058"/>
      <c r="T2" s="4058"/>
      <c r="U2" s="4058"/>
      <c r="V2" s="4059"/>
    </row>
    <row r="3" spans="1:28" x14ac:dyDescent="0.25">
      <c r="A3" s="782">
        <v>2</v>
      </c>
      <c r="B3" s="782" t="s">
        <v>2</v>
      </c>
      <c r="C3" s="782"/>
      <c r="D3" s="4057" t="s">
        <v>802</v>
      </c>
      <c r="E3" s="4058"/>
      <c r="F3" s="4058"/>
      <c r="G3" s="4058"/>
      <c r="H3" s="4058"/>
      <c r="I3" s="4058"/>
      <c r="J3" s="4058"/>
      <c r="K3" s="4058"/>
      <c r="L3" s="4058"/>
      <c r="M3" s="4058"/>
      <c r="N3" s="4058"/>
      <c r="O3" s="4058"/>
      <c r="P3" s="4058"/>
      <c r="Q3" s="4058"/>
      <c r="R3" s="4058"/>
      <c r="S3" s="4058"/>
      <c r="T3" s="4058"/>
      <c r="U3" s="4058"/>
      <c r="V3" s="4059"/>
    </row>
    <row r="4" spans="1:28" ht="14.45" customHeight="1" x14ac:dyDescent="0.25">
      <c r="A4" s="782">
        <v>3</v>
      </c>
      <c r="B4" s="782" t="s">
        <v>4</v>
      </c>
      <c r="C4" s="782"/>
      <c r="D4" s="4057" t="s">
        <v>803</v>
      </c>
      <c r="E4" s="4058"/>
      <c r="F4" s="4058"/>
      <c r="G4" s="4058"/>
      <c r="H4" s="4058"/>
      <c r="I4" s="4058"/>
      <c r="J4" s="4058"/>
      <c r="K4" s="4058"/>
      <c r="L4" s="4058"/>
      <c r="M4" s="4058"/>
      <c r="N4" s="4058"/>
      <c r="O4" s="4058"/>
      <c r="P4" s="4058"/>
      <c r="Q4" s="4058"/>
      <c r="R4" s="4058"/>
      <c r="S4" s="4058"/>
      <c r="T4" s="4058"/>
      <c r="U4" s="4058"/>
      <c r="V4" s="4059"/>
    </row>
    <row r="5" spans="1:28" x14ac:dyDescent="0.25">
      <c r="A5" s="782">
        <v>4</v>
      </c>
      <c r="B5" s="782" t="s">
        <v>804</v>
      </c>
      <c r="C5" s="902"/>
      <c r="D5" s="4057" t="s">
        <v>805</v>
      </c>
      <c r="E5" s="4058"/>
      <c r="F5" s="4058"/>
      <c r="G5" s="4058"/>
      <c r="H5" s="4058"/>
      <c r="I5" s="4058"/>
      <c r="J5" s="4058"/>
      <c r="K5" s="4058"/>
      <c r="L5" s="4058"/>
      <c r="M5" s="4058"/>
      <c r="N5" s="4058"/>
      <c r="O5" s="4058"/>
      <c r="P5" s="4058"/>
      <c r="Q5" s="4058"/>
      <c r="R5" s="4058"/>
      <c r="S5" s="4058"/>
      <c r="T5" s="4058"/>
      <c r="U5" s="4058"/>
      <c r="V5" s="4059"/>
    </row>
    <row r="6" spans="1:28" x14ac:dyDescent="0.25">
      <c r="A6" s="267"/>
      <c r="B6" s="267"/>
      <c r="C6" s="902"/>
      <c r="V6" s="74"/>
    </row>
    <row r="7" spans="1:28" x14ac:dyDescent="0.25">
      <c r="A7" s="782">
        <v>5</v>
      </c>
      <c r="B7" s="902" t="s">
        <v>5</v>
      </c>
      <c r="D7" s="123" t="s">
        <v>40</v>
      </c>
      <c r="E7" s="123" t="s">
        <v>806</v>
      </c>
      <c r="F7" s="123"/>
      <c r="G7" s="123"/>
      <c r="H7" s="123"/>
      <c r="I7" s="123"/>
      <c r="J7" s="123"/>
      <c r="K7" s="123"/>
      <c r="L7" s="123"/>
      <c r="M7" s="123"/>
      <c r="N7" s="123"/>
      <c r="O7" s="123"/>
      <c r="P7" s="123"/>
      <c r="Q7" s="122"/>
      <c r="R7" s="945"/>
      <c r="S7" s="945"/>
      <c r="T7" s="945"/>
      <c r="U7" s="945"/>
      <c r="V7" s="945"/>
      <c r="W7" s="903"/>
    </row>
    <row r="8" spans="1:28" x14ac:dyDescent="0.25">
      <c r="D8" s="19"/>
      <c r="E8" s="2000">
        <v>2002</v>
      </c>
      <c r="F8" s="2000">
        <v>2003</v>
      </c>
      <c r="G8" s="2000">
        <v>2004</v>
      </c>
      <c r="H8" s="2000">
        <v>2005</v>
      </c>
      <c r="I8" s="2000">
        <v>2006</v>
      </c>
      <c r="J8" s="2000">
        <v>2007</v>
      </c>
      <c r="K8" s="2000">
        <v>2008</v>
      </c>
      <c r="L8" s="2000">
        <v>2009</v>
      </c>
      <c r="M8" s="2000">
        <v>2010</v>
      </c>
      <c r="N8" s="2000">
        <v>2011</v>
      </c>
      <c r="O8" s="2000">
        <v>2012</v>
      </c>
      <c r="P8" s="2000">
        <v>2013</v>
      </c>
      <c r="Q8" s="2000">
        <v>2014</v>
      </c>
      <c r="R8" s="2000">
        <v>2015</v>
      </c>
      <c r="S8" s="2000">
        <v>2016</v>
      </c>
      <c r="T8" s="2000">
        <v>2017</v>
      </c>
      <c r="U8" s="2000">
        <v>2018</v>
      </c>
      <c r="V8" s="900"/>
    </row>
    <row r="9" spans="1:28" x14ac:dyDescent="0.25">
      <c r="B9" s="4234"/>
      <c r="C9" s="918">
        <v>1</v>
      </c>
      <c r="D9" s="2001" t="s">
        <v>807</v>
      </c>
      <c r="E9" s="2002">
        <v>53.8</v>
      </c>
      <c r="F9" s="2002">
        <v>53.3</v>
      </c>
      <c r="G9" s="2002">
        <v>52.8</v>
      </c>
      <c r="H9" s="2002">
        <v>52.4</v>
      </c>
      <c r="I9" s="2002">
        <v>52.2</v>
      </c>
      <c r="J9" s="2002">
        <v>53.1</v>
      </c>
      <c r="K9" s="2002">
        <v>53.8</v>
      </c>
      <c r="L9" s="2002">
        <v>55.1</v>
      </c>
      <c r="M9" s="2002">
        <v>56.5</v>
      </c>
      <c r="N9" s="2002">
        <v>57.4</v>
      </c>
      <c r="O9" s="2002">
        <v>58.1</v>
      </c>
      <c r="P9" s="2002">
        <v>58.7</v>
      </c>
      <c r="Q9" s="2002">
        <v>59.4</v>
      </c>
      <c r="R9" s="2002">
        <v>59.7</v>
      </c>
      <c r="S9" s="2002">
        <v>60.1</v>
      </c>
      <c r="T9" s="2003">
        <v>60.7</v>
      </c>
      <c r="U9" s="2003">
        <v>61.1</v>
      </c>
      <c r="V9" s="900"/>
      <c r="X9" s="927"/>
      <c r="Y9" s="928"/>
      <c r="Z9" s="1998"/>
      <c r="AA9" s="1998"/>
      <c r="AB9" s="1999"/>
    </row>
    <row r="10" spans="1:28" ht="13.5" customHeight="1" x14ac:dyDescent="0.25">
      <c r="B10" s="4234"/>
      <c r="C10" s="918">
        <v>2</v>
      </c>
      <c r="D10" s="2001" t="s">
        <v>808</v>
      </c>
      <c r="E10" s="2002">
        <v>57.6</v>
      </c>
      <c r="F10" s="2002">
        <v>56.6</v>
      </c>
      <c r="G10" s="2002">
        <v>55.9</v>
      </c>
      <c r="H10" s="2002">
        <v>55.5</v>
      </c>
      <c r="I10" s="2002">
        <v>55.8</v>
      </c>
      <c r="J10" s="2002">
        <v>56.6</v>
      </c>
      <c r="K10" s="2002">
        <v>58.1</v>
      </c>
      <c r="L10" s="2002">
        <v>59.6</v>
      </c>
      <c r="M10" s="2002">
        <v>61.2</v>
      </c>
      <c r="N10" s="2002">
        <v>62.3</v>
      </c>
      <c r="O10" s="2002">
        <v>64.099999999999994</v>
      </c>
      <c r="P10" s="2002">
        <v>64.8</v>
      </c>
      <c r="Q10" s="2002">
        <v>65.5</v>
      </c>
      <c r="R10" s="2002">
        <v>65.900000000000006</v>
      </c>
      <c r="S10" s="2002">
        <v>66.2</v>
      </c>
      <c r="T10" s="2003">
        <v>67.099999999999994</v>
      </c>
      <c r="U10" s="2003">
        <v>67.3</v>
      </c>
      <c r="V10" s="900"/>
      <c r="X10" s="927"/>
      <c r="Y10" s="928"/>
      <c r="Z10" s="1998"/>
      <c r="AA10" s="1998"/>
      <c r="AB10" s="1999"/>
    </row>
    <row r="11" spans="1:28" x14ac:dyDescent="0.25">
      <c r="B11" s="4234"/>
      <c r="C11" s="918">
        <v>3</v>
      </c>
      <c r="D11" s="2001" t="s">
        <v>809</v>
      </c>
      <c r="E11" s="2004">
        <v>55.8</v>
      </c>
      <c r="F11" s="2004">
        <v>55</v>
      </c>
      <c r="G11" s="2004">
        <v>54.4</v>
      </c>
      <c r="H11" s="2004">
        <v>54</v>
      </c>
      <c r="I11" s="2004">
        <v>54.1</v>
      </c>
      <c r="J11" s="2004">
        <v>54.9</v>
      </c>
      <c r="K11" s="2004">
        <v>56</v>
      </c>
      <c r="L11" s="2004">
        <v>57.4</v>
      </c>
      <c r="M11" s="2004">
        <v>58.9</v>
      </c>
      <c r="N11" s="2004">
        <v>59.9</v>
      </c>
      <c r="O11" s="2004">
        <v>61.2</v>
      </c>
      <c r="P11" s="2004">
        <v>61.8</v>
      </c>
      <c r="Q11" s="2004">
        <v>62.5</v>
      </c>
      <c r="R11" s="2004">
        <v>62.8</v>
      </c>
      <c r="S11" s="2004">
        <v>63.2</v>
      </c>
      <c r="T11" s="2005">
        <v>63.9</v>
      </c>
      <c r="U11" s="3664">
        <v>64.2</v>
      </c>
      <c r="V11" s="900"/>
      <c r="X11" s="927"/>
      <c r="Y11" s="928"/>
      <c r="Z11" s="1998"/>
      <c r="AA11" s="1998"/>
      <c r="AB11" s="1999"/>
    </row>
    <row r="12" spans="1:28" x14ac:dyDescent="0.25">
      <c r="B12" s="920"/>
      <c r="C12" s="918">
        <v>4</v>
      </c>
      <c r="D12" s="2006" t="s">
        <v>810</v>
      </c>
      <c r="E12" s="2007"/>
      <c r="F12" s="2007"/>
      <c r="G12" s="2007"/>
      <c r="H12" s="2007"/>
      <c r="I12" s="2007"/>
      <c r="J12" s="2007"/>
      <c r="K12" s="2007"/>
      <c r="L12" s="2007"/>
      <c r="M12" s="2008">
        <v>54.6</v>
      </c>
      <c r="N12" s="2008">
        <v>56</v>
      </c>
      <c r="O12" s="2008">
        <v>57.8</v>
      </c>
      <c r="P12" s="2008">
        <v>58.5</v>
      </c>
      <c r="Q12" s="2008">
        <v>59.4</v>
      </c>
      <c r="R12" s="2008">
        <v>60</v>
      </c>
      <c r="S12" s="2009">
        <v>60.3</v>
      </c>
      <c r="T12" s="2010"/>
      <c r="U12" s="2010"/>
      <c r="V12" s="900"/>
      <c r="X12" s="927"/>
      <c r="Y12" s="928"/>
      <c r="Z12" s="1998"/>
      <c r="AA12" s="1998"/>
      <c r="AB12" s="1999"/>
    </row>
    <row r="13" spans="1:28" x14ac:dyDescent="0.25">
      <c r="B13" s="920"/>
      <c r="C13" s="918">
        <v>5</v>
      </c>
      <c r="D13" s="2001" t="s">
        <v>811</v>
      </c>
      <c r="E13" s="772"/>
      <c r="F13" s="772"/>
      <c r="G13" s="772"/>
      <c r="H13" s="772"/>
      <c r="I13" s="772"/>
      <c r="J13" s="772"/>
      <c r="K13" s="772"/>
      <c r="L13" s="772"/>
      <c r="M13" s="2011">
        <v>59.7</v>
      </c>
      <c r="N13" s="2011">
        <v>61.2</v>
      </c>
      <c r="O13" s="2011">
        <v>63.2</v>
      </c>
      <c r="P13" s="2011">
        <v>64</v>
      </c>
      <c r="Q13" s="2011">
        <v>65.099999999999994</v>
      </c>
      <c r="R13" s="2011">
        <v>65.8</v>
      </c>
      <c r="S13" s="2002">
        <v>66.400000000000006</v>
      </c>
      <c r="T13" s="2012"/>
      <c r="U13" s="2012"/>
      <c r="V13" s="900"/>
      <c r="X13" s="927"/>
      <c r="Y13" s="928"/>
      <c r="Z13" s="1998"/>
      <c r="AA13" s="1998"/>
      <c r="AB13" s="1999"/>
    </row>
    <row r="14" spans="1:28" x14ac:dyDescent="0.25">
      <c r="B14" s="920"/>
      <c r="C14" s="918">
        <v>6</v>
      </c>
      <c r="D14" s="2013" t="s">
        <v>812</v>
      </c>
      <c r="E14" s="2014"/>
      <c r="F14" s="2014"/>
      <c r="G14" s="2014"/>
      <c r="H14" s="2014"/>
      <c r="I14" s="2014"/>
      <c r="J14" s="2014"/>
      <c r="K14" s="2014"/>
      <c r="L14" s="2014"/>
      <c r="M14" s="2015">
        <v>57.1</v>
      </c>
      <c r="N14" s="2015">
        <v>58.5</v>
      </c>
      <c r="O14" s="2015">
        <v>60.5</v>
      </c>
      <c r="P14" s="2015">
        <v>61.3</v>
      </c>
      <c r="Q14" s="2015">
        <v>62.2</v>
      </c>
      <c r="R14" s="2015">
        <v>62.9</v>
      </c>
      <c r="S14" s="2016">
        <v>63.3</v>
      </c>
      <c r="T14" s="2017"/>
      <c r="U14" s="2017"/>
      <c r="V14" s="900"/>
      <c r="X14" s="927"/>
      <c r="Y14" s="928"/>
      <c r="Z14" s="1998"/>
      <c r="AA14" s="1998"/>
      <c r="AB14" s="1999"/>
    </row>
    <row r="15" spans="1:28" x14ac:dyDescent="0.25">
      <c r="B15" s="920"/>
      <c r="C15" s="918"/>
      <c r="D15" s="2018"/>
      <c r="E15" s="621"/>
      <c r="F15" s="621"/>
      <c r="G15" s="621"/>
      <c r="H15" s="621"/>
      <c r="I15" s="621"/>
      <c r="J15" s="621"/>
      <c r="K15" s="621"/>
      <c r="L15" s="621"/>
      <c r="M15" s="621"/>
      <c r="N15" s="621"/>
      <c r="O15" s="621"/>
      <c r="P15" s="621"/>
      <c r="Q15" s="621"/>
      <c r="R15" s="621"/>
      <c r="S15" s="2019"/>
      <c r="T15" s="1248"/>
      <c r="U15" s="1248"/>
      <c r="V15" s="900"/>
      <c r="X15" s="927"/>
      <c r="Y15" s="928"/>
      <c r="Z15" s="1998"/>
      <c r="AA15" s="1998"/>
      <c r="AB15" s="1999"/>
    </row>
    <row r="16" spans="1:28" ht="15" customHeight="1" x14ac:dyDescent="0.25">
      <c r="B16" s="920"/>
      <c r="C16" s="922"/>
      <c r="D16" s="123" t="s">
        <v>67</v>
      </c>
      <c r="E16" s="123" t="s">
        <v>813</v>
      </c>
      <c r="F16" s="929"/>
      <c r="G16" s="929"/>
      <c r="H16" s="123"/>
      <c r="I16" s="122"/>
      <c r="J16" s="122"/>
      <c r="K16" s="122"/>
      <c r="L16" s="122"/>
      <c r="M16" s="122"/>
      <c r="N16" s="122"/>
      <c r="O16" s="122"/>
      <c r="P16" s="122"/>
      <c r="Q16" s="122"/>
      <c r="R16" s="900"/>
      <c r="S16" s="900"/>
      <c r="T16" s="900"/>
      <c r="U16" s="900"/>
      <c r="V16" s="900"/>
      <c r="X16" s="1998"/>
      <c r="Y16" s="1998"/>
      <c r="Z16" s="1999"/>
    </row>
    <row r="17" spans="1:27" ht="15" customHeight="1" x14ac:dyDescent="0.25">
      <c r="B17" s="920"/>
      <c r="C17" s="922"/>
      <c r="D17" s="19"/>
      <c r="E17" s="4230" t="s">
        <v>467</v>
      </c>
      <c r="F17" s="4230" t="s">
        <v>814</v>
      </c>
      <c r="G17" s="4230"/>
      <c r="H17" s="4230"/>
      <c r="I17" s="4231" t="s">
        <v>468</v>
      </c>
      <c r="J17" s="4231" t="s">
        <v>815</v>
      </c>
      <c r="K17" s="4231"/>
      <c r="L17" s="4231"/>
      <c r="M17" s="4232"/>
      <c r="N17" s="4232"/>
      <c r="O17" s="4232"/>
      <c r="P17" s="4232"/>
      <c r="Q17" s="4233"/>
      <c r="R17" s="4233"/>
      <c r="S17" s="4233"/>
      <c r="T17" s="4233"/>
      <c r="U17" s="900"/>
      <c r="V17" s="900"/>
      <c r="W17" s="900"/>
      <c r="Y17" s="1998"/>
      <c r="Z17" s="1998"/>
      <c r="AA17" s="1999"/>
    </row>
    <row r="18" spans="1:27" ht="14.45" customHeight="1" x14ac:dyDescent="0.25">
      <c r="B18" s="920"/>
      <c r="C18" s="922"/>
      <c r="D18" s="30"/>
      <c r="E18" s="2020" t="s">
        <v>816</v>
      </c>
      <c r="F18" s="2020" t="s">
        <v>817</v>
      </c>
      <c r="G18" s="2020" t="s">
        <v>818</v>
      </c>
      <c r="H18" s="2020" t="s">
        <v>819</v>
      </c>
      <c r="I18" s="2020" t="s">
        <v>816</v>
      </c>
      <c r="J18" s="2020" t="s">
        <v>817</v>
      </c>
      <c r="K18" s="2020" t="s">
        <v>818</v>
      </c>
      <c r="L18" s="2020" t="s">
        <v>819</v>
      </c>
      <c r="M18" s="718"/>
      <c r="N18" s="718"/>
      <c r="O18" s="718"/>
      <c r="P18" s="718"/>
      <c r="Q18" s="718"/>
      <c r="R18" s="718"/>
      <c r="S18" s="718"/>
      <c r="T18" s="718"/>
      <c r="U18" s="900"/>
      <c r="V18" s="900"/>
      <c r="W18" s="900"/>
      <c r="Y18" s="1998"/>
      <c r="Z18" s="1998"/>
      <c r="AA18" s="1999"/>
    </row>
    <row r="19" spans="1:27" x14ac:dyDescent="0.25">
      <c r="B19" s="920"/>
      <c r="C19" s="922"/>
      <c r="D19" s="2021" t="s">
        <v>19</v>
      </c>
      <c r="E19" s="2022">
        <v>51.706295879901965</v>
      </c>
      <c r="F19" s="621">
        <v>52.267994217094333</v>
      </c>
      <c r="G19" s="621">
        <v>56.146501533486479</v>
      </c>
      <c r="H19" s="2023">
        <v>58.546086396242373</v>
      </c>
      <c r="I19" s="2024">
        <v>54.764432500197543</v>
      </c>
      <c r="J19" s="2025">
        <v>56.104650731650445</v>
      </c>
      <c r="K19" s="2025">
        <v>62.863892797478286</v>
      </c>
      <c r="L19" s="2026">
        <v>65.905129967996288</v>
      </c>
      <c r="M19" s="2027"/>
      <c r="N19" s="621"/>
      <c r="O19" s="621"/>
      <c r="P19" s="621"/>
      <c r="Q19" s="2025"/>
      <c r="R19" s="2025"/>
      <c r="S19" s="2025"/>
      <c r="T19" s="2025"/>
      <c r="U19" s="900"/>
      <c r="V19" s="900"/>
      <c r="W19" s="900"/>
      <c r="Y19" s="1998"/>
      <c r="Z19" s="1998"/>
      <c r="AA19" s="1999"/>
    </row>
    <row r="20" spans="1:27" x14ac:dyDescent="0.25">
      <c r="B20" s="920"/>
      <c r="C20" s="922"/>
      <c r="D20" s="2021" t="s">
        <v>20</v>
      </c>
      <c r="E20" s="2022">
        <v>46.547766469617805</v>
      </c>
      <c r="F20" s="621">
        <v>46.875699770593776</v>
      </c>
      <c r="G20" s="621">
        <v>53.076362362527206</v>
      </c>
      <c r="H20" s="2023">
        <v>55.003038252310049</v>
      </c>
      <c r="I20" s="2024">
        <v>49.21493816995914</v>
      </c>
      <c r="J20" s="2025">
        <v>50.991430586947047</v>
      </c>
      <c r="K20" s="2025">
        <v>58.836609368098053</v>
      </c>
      <c r="L20" s="2026">
        <v>61.528154862287586</v>
      </c>
      <c r="M20" s="2027"/>
      <c r="N20" s="621"/>
      <c r="O20" s="621"/>
      <c r="P20" s="621"/>
      <c r="Q20" s="2025"/>
      <c r="R20" s="2025"/>
      <c r="S20" s="2025"/>
      <c r="T20" s="2025"/>
      <c r="U20" s="900"/>
      <c r="V20" s="900"/>
      <c r="W20" s="900"/>
      <c r="Y20" s="1998"/>
      <c r="Z20" s="1998"/>
      <c r="AA20" s="1999"/>
    </row>
    <row r="21" spans="1:27" x14ac:dyDescent="0.25">
      <c r="B21" s="920"/>
      <c r="C21" s="922"/>
      <c r="D21" s="2021" t="s">
        <v>21</v>
      </c>
      <c r="E21" s="2022">
        <v>55.824827831004669</v>
      </c>
      <c r="F21" s="261">
        <v>56.158249612007012</v>
      </c>
      <c r="G21" s="621">
        <v>61.970676025497298</v>
      </c>
      <c r="H21" s="2023">
        <v>64.047415136035212</v>
      </c>
      <c r="I21" s="2024">
        <v>58.554470703155559</v>
      </c>
      <c r="J21" s="2025">
        <v>59.669725468737987</v>
      </c>
      <c r="K21" s="2025">
        <v>67.166320643632304</v>
      </c>
      <c r="L21" s="2026">
        <v>69.847614454865663</v>
      </c>
      <c r="M21" s="2027"/>
      <c r="N21" s="261"/>
      <c r="O21" s="621"/>
      <c r="P21" s="621"/>
      <c r="Q21" s="2025"/>
      <c r="R21" s="2025"/>
      <c r="S21" s="2025"/>
      <c r="T21" s="2025"/>
      <c r="U21" s="900"/>
      <c r="V21" s="900"/>
      <c r="W21" s="900"/>
      <c r="Y21" s="1998"/>
      <c r="Z21" s="1998"/>
      <c r="AA21" s="1999"/>
    </row>
    <row r="22" spans="1:27" x14ac:dyDescent="0.25">
      <c r="D22" s="2021" t="s">
        <v>22</v>
      </c>
      <c r="E22" s="2022">
        <v>48.840621209822238</v>
      </c>
      <c r="F22" s="261">
        <v>48.941109797034848</v>
      </c>
      <c r="G22" s="261">
        <v>55.300831973003895</v>
      </c>
      <c r="H22" s="2028">
        <v>57.748897769832425</v>
      </c>
      <c r="I22" s="2029">
        <v>53.995520294500942</v>
      </c>
      <c r="J22" s="2030">
        <v>54.380024313743739</v>
      </c>
      <c r="K22" s="2030">
        <v>61.37920622725197</v>
      </c>
      <c r="L22" s="2031">
        <v>64.052628197505655</v>
      </c>
      <c r="M22" s="2027"/>
      <c r="N22" s="261"/>
      <c r="O22" s="261"/>
      <c r="P22" s="261"/>
      <c r="Q22" s="2030"/>
      <c r="R22" s="2030"/>
      <c r="S22" s="2030"/>
      <c r="T22" s="2030"/>
      <c r="U22" s="120"/>
      <c r="V22" s="120"/>
      <c r="W22" s="120"/>
      <c r="Y22" s="927"/>
      <c r="Z22" s="928"/>
    </row>
    <row r="23" spans="1:27" x14ac:dyDescent="0.25">
      <c r="D23" s="2021" t="s">
        <v>23</v>
      </c>
      <c r="E23" s="2022">
        <v>52.013123312778248</v>
      </c>
      <c r="F23" s="261">
        <v>52.585272486089572</v>
      </c>
      <c r="G23" s="261">
        <v>56.4151582089996</v>
      </c>
      <c r="H23" s="2028">
        <v>58.58448589320821</v>
      </c>
      <c r="I23" s="2029">
        <v>55.372911279555431</v>
      </c>
      <c r="J23" s="2030">
        <v>55.8327307101248</v>
      </c>
      <c r="K23" s="2030">
        <v>62.830881101166199</v>
      </c>
      <c r="L23" s="2031">
        <v>65.432407632441809</v>
      </c>
      <c r="M23" s="2027"/>
      <c r="N23" s="261"/>
      <c r="O23" s="261"/>
      <c r="P23" s="261"/>
      <c r="Q23" s="2030"/>
      <c r="R23" s="2030"/>
      <c r="S23" s="2030"/>
      <c r="T23" s="2030"/>
      <c r="U23" s="120"/>
      <c r="V23" s="120"/>
      <c r="W23" s="120"/>
      <c r="Y23" s="927"/>
      <c r="Z23" s="928"/>
    </row>
    <row r="24" spans="1:27" x14ac:dyDescent="0.25">
      <c r="D24" s="2021" t="s">
        <v>24</v>
      </c>
      <c r="E24" s="2022">
        <v>51.986526317989231</v>
      </c>
      <c r="F24" s="261">
        <v>52.824049903845861</v>
      </c>
      <c r="G24" s="261">
        <v>57.590459158650475</v>
      </c>
      <c r="H24" s="2028">
        <v>60.592240945454229</v>
      </c>
      <c r="I24" s="2029">
        <v>55.594951601053531</v>
      </c>
      <c r="J24" s="2030">
        <v>57.079064345558379</v>
      </c>
      <c r="K24" s="2030">
        <v>63.249464501628736</v>
      </c>
      <c r="L24" s="2031">
        <v>66.096963276660205</v>
      </c>
      <c r="M24" s="2027"/>
      <c r="N24" s="261"/>
      <c r="O24" s="261"/>
      <c r="P24" s="261"/>
      <c r="Q24" s="2030"/>
      <c r="R24" s="2030"/>
      <c r="S24" s="2030"/>
      <c r="T24" s="2030"/>
      <c r="U24" s="120"/>
      <c r="V24" s="120"/>
      <c r="W24" s="120"/>
      <c r="Y24" s="927"/>
      <c r="Z24" s="928"/>
    </row>
    <row r="25" spans="1:27" ht="14.45" customHeight="1" x14ac:dyDescent="0.25">
      <c r="D25" s="2021" t="s">
        <v>26</v>
      </c>
      <c r="E25" s="2022">
        <v>52.243562639979011</v>
      </c>
      <c r="F25" s="261">
        <v>52.777359452770327</v>
      </c>
      <c r="G25" s="261">
        <v>57.190779798866359</v>
      </c>
      <c r="H25" s="2028">
        <v>60.024430310223444</v>
      </c>
      <c r="I25" s="2029">
        <v>57.404712587346125</v>
      </c>
      <c r="J25" s="2030">
        <v>58.095989224200302</v>
      </c>
      <c r="K25" s="2030">
        <v>63.535126876829032</v>
      </c>
      <c r="L25" s="2031">
        <v>66.31492350562705</v>
      </c>
      <c r="M25" s="2027"/>
      <c r="N25" s="261"/>
      <c r="O25" s="261"/>
      <c r="P25" s="261"/>
      <c r="Q25" s="2030"/>
      <c r="R25" s="2030"/>
      <c r="S25" s="2030"/>
      <c r="T25" s="2030"/>
      <c r="U25" s="120"/>
      <c r="V25" s="120"/>
      <c r="W25" s="120"/>
      <c r="Y25" s="927"/>
      <c r="Z25" s="928"/>
    </row>
    <row r="26" spans="1:27" x14ac:dyDescent="0.25">
      <c r="D26" s="2021" t="s">
        <v>25</v>
      </c>
      <c r="E26" s="2022">
        <v>49.899893599401608</v>
      </c>
      <c r="F26" s="261">
        <v>50.722266367677435</v>
      </c>
      <c r="G26" s="261">
        <v>55.318906359882803</v>
      </c>
      <c r="H26" s="2028">
        <v>58.441296413935007</v>
      </c>
      <c r="I26" s="2029">
        <v>54.046041042006706</v>
      </c>
      <c r="J26" s="2030">
        <v>55.65356464251466</v>
      </c>
      <c r="K26" s="2030">
        <v>62.771516530488825</v>
      </c>
      <c r="L26" s="2031">
        <v>64.611968498554148</v>
      </c>
      <c r="M26" s="2027"/>
      <c r="N26" s="261"/>
      <c r="O26" s="261"/>
      <c r="P26" s="261"/>
      <c r="Q26" s="2030"/>
      <c r="R26" s="2030"/>
      <c r="S26" s="2030"/>
      <c r="T26" s="2030"/>
      <c r="U26" s="120"/>
      <c r="V26" s="120"/>
      <c r="W26" s="120"/>
      <c r="Y26" s="927"/>
      <c r="Z26" s="928"/>
    </row>
    <row r="27" spans="1:27" x14ac:dyDescent="0.25">
      <c r="D27" s="2021" t="s">
        <v>27</v>
      </c>
      <c r="E27" s="2022">
        <v>59.195049948431731</v>
      </c>
      <c r="F27" s="261">
        <v>60.454857987936514</v>
      </c>
      <c r="G27" s="261">
        <v>63.887296254636411</v>
      </c>
      <c r="H27" s="2028">
        <v>66.176079896430608</v>
      </c>
      <c r="I27" s="2029">
        <v>64.118472177856461</v>
      </c>
      <c r="J27" s="2030">
        <v>66.150159648308858</v>
      </c>
      <c r="K27" s="2030">
        <v>70.294979891901562</v>
      </c>
      <c r="L27" s="2031">
        <v>72.108249433178628</v>
      </c>
      <c r="M27" s="2027"/>
      <c r="N27" s="261"/>
      <c r="O27" s="261"/>
      <c r="P27" s="261"/>
      <c r="Q27" s="2030"/>
      <c r="R27" s="2030"/>
      <c r="S27" s="2030"/>
      <c r="T27" s="2030"/>
      <c r="U27" s="120"/>
      <c r="V27" s="120"/>
      <c r="W27" s="120"/>
      <c r="Y27" s="927"/>
      <c r="Z27" s="928"/>
    </row>
    <row r="28" spans="1:27" x14ac:dyDescent="0.25">
      <c r="C28" s="922">
        <v>10</v>
      </c>
      <c r="D28" s="2032"/>
      <c r="E28" s="2033"/>
      <c r="F28" s="2034"/>
      <c r="G28" s="941"/>
      <c r="H28" s="941"/>
      <c r="I28" s="940"/>
      <c r="J28" s="941"/>
      <c r="K28" s="941"/>
      <c r="L28" s="941"/>
      <c r="M28" s="2027"/>
      <c r="N28" s="604"/>
      <c r="O28" s="604"/>
      <c r="P28" s="604"/>
      <c r="Q28" s="604"/>
      <c r="R28" s="604"/>
      <c r="S28" s="604"/>
      <c r="T28" s="604"/>
      <c r="U28" s="120"/>
      <c r="V28" s="120"/>
      <c r="W28" s="120"/>
      <c r="Y28" s="927"/>
      <c r="Z28" s="928"/>
    </row>
    <row r="29" spans="1:27" x14ac:dyDescent="0.25">
      <c r="H29" s="1405"/>
      <c r="I29" s="1405"/>
      <c r="J29" s="1405"/>
    </row>
    <row r="30" spans="1:27" x14ac:dyDescent="0.25">
      <c r="A30" s="782">
        <v>6</v>
      </c>
      <c r="B30" s="782" t="s">
        <v>90</v>
      </c>
      <c r="C30" s="782"/>
      <c r="D30" s="900"/>
      <c r="E30" s="120"/>
      <c r="F30" s="120"/>
      <c r="G30" s="120"/>
      <c r="H30" s="120"/>
      <c r="I30" s="120"/>
      <c r="J30" s="120"/>
      <c r="K30" s="120"/>
      <c r="L30" s="120"/>
      <c r="M30" s="120"/>
      <c r="N30" s="120"/>
      <c r="O30" s="120"/>
      <c r="P30" s="120"/>
      <c r="Q30" s="120"/>
      <c r="R30" s="120"/>
      <c r="S30" s="120"/>
      <c r="T30" s="120"/>
      <c r="U30" s="120"/>
      <c r="V30" s="120"/>
    </row>
    <row r="31" spans="1:27" x14ac:dyDescent="0.25">
      <c r="B31" s="4234"/>
      <c r="D31" s="900"/>
      <c r="E31" s="120"/>
      <c r="F31" s="120"/>
      <c r="G31" s="120"/>
      <c r="H31" s="120"/>
      <c r="I31" s="120"/>
      <c r="J31" s="120"/>
      <c r="K31" s="120"/>
      <c r="L31" s="120"/>
      <c r="M31" s="120"/>
      <c r="N31" s="120"/>
      <c r="O31" s="120"/>
      <c r="P31" s="120"/>
      <c r="Q31" s="120"/>
      <c r="R31" s="120"/>
      <c r="S31" s="120"/>
      <c r="T31" s="120"/>
      <c r="U31" s="120"/>
      <c r="V31" s="120"/>
    </row>
    <row r="32" spans="1:27" x14ac:dyDescent="0.25">
      <c r="B32" s="4234"/>
      <c r="D32" s="900"/>
      <c r="E32" s="120"/>
      <c r="F32" s="120"/>
      <c r="G32" s="120"/>
      <c r="H32" s="120"/>
      <c r="I32" s="120"/>
      <c r="J32" s="120"/>
      <c r="K32" s="120"/>
      <c r="L32" s="120"/>
      <c r="M32" s="120"/>
      <c r="N32" s="120"/>
      <c r="O32" s="120"/>
      <c r="P32" s="120"/>
      <c r="Q32" s="120"/>
      <c r="R32" s="120"/>
      <c r="S32" s="120"/>
      <c r="T32" s="120"/>
      <c r="U32" s="120"/>
      <c r="V32" s="120"/>
    </row>
    <row r="33" spans="2:22" x14ac:dyDescent="0.25">
      <c r="B33" s="4234"/>
      <c r="D33" s="900"/>
      <c r="E33" s="120"/>
      <c r="F33" s="120"/>
      <c r="G33" s="120"/>
      <c r="H33" s="120"/>
      <c r="I33" s="120"/>
      <c r="J33" s="120"/>
      <c r="K33" s="120"/>
      <c r="L33" s="120"/>
      <c r="M33" s="120"/>
      <c r="N33" s="120"/>
      <c r="O33" s="120"/>
      <c r="P33" s="120"/>
      <c r="Q33" s="120"/>
      <c r="R33" s="120"/>
      <c r="S33" s="120"/>
      <c r="T33" s="120"/>
      <c r="U33" s="120"/>
      <c r="V33" s="120"/>
    </row>
    <row r="34" spans="2:22" x14ac:dyDescent="0.25">
      <c r="B34" s="4234"/>
      <c r="D34" s="900"/>
      <c r="E34" s="120"/>
      <c r="F34" s="120"/>
      <c r="G34" s="120"/>
      <c r="H34" s="120"/>
      <c r="I34" s="120"/>
      <c r="J34" s="120"/>
      <c r="K34" s="120"/>
      <c r="L34" s="120"/>
      <c r="M34" s="120"/>
      <c r="N34" s="120"/>
      <c r="O34" s="120"/>
      <c r="P34" s="120"/>
      <c r="Q34" s="120"/>
      <c r="R34" s="120"/>
      <c r="S34" s="120"/>
      <c r="T34" s="120"/>
      <c r="U34" s="120"/>
      <c r="V34" s="120"/>
    </row>
    <row r="35" spans="2:22" x14ac:dyDescent="0.25">
      <c r="B35" s="4234"/>
      <c r="D35" s="900"/>
      <c r="E35" s="120"/>
      <c r="F35" s="120"/>
      <c r="G35" s="120"/>
      <c r="H35" s="120"/>
      <c r="I35" s="120"/>
      <c r="J35" s="120"/>
      <c r="K35" s="120"/>
      <c r="L35" s="120"/>
      <c r="M35" s="120"/>
      <c r="N35" s="120"/>
      <c r="O35" s="120"/>
      <c r="P35" s="120"/>
      <c r="Q35" s="120"/>
      <c r="R35" s="120"/>
      <c r="S35" s="120"/>
      <c r="T35" s="120"/>
      <c r="U35" s="120"/>
      <c r="V35" s="120"/>
    </row>
    <row r="36" spans="2:22" x14ac:dyDescent="0.25">
      <c r="B36" s="4234"/>
      <c r="D36" s="900"/>
      <c r="E36" s="120"/>
      <c r="F36" s="120"/>
      <c r="G36" s="120"/>
      <c r="H36" s="120"/>
      <c r="I36" s="120"/>
      <c r="J36" s="120"/>
      <c r="K36" s="120"/>
      <c r="L36" s="120"/>
      <c r="M36" s="120"/>
      <c r="N36" s="120"/>
      <c r="O36" s="120"/>
      <c r="P36" s="120"/>
      <c r="Q36" s="120"/>
      <c r="R36" s="120"/>
      <c r="S36" s="120"/>
      <c r="T36" s="120"/>
      <c r="U36" s="120"/>
      <c r="V36" s="120"/>
    </row>
    <row r="37" spans="2:22" x14ac:dyDescent="0.25">
      <c r="B37" s="4234"/>
      <c r="D37" s="900"/>
      <c r="E37" s="120"/>
      <c r="F37" s="120"/>
      <c r="G37" s="120"/>
      <c r="H37" s="120"/>
      <c r="I37" s="120"/>
      <c r="J37" s="120"/>
      <c r="K37" s="120"/>
      <c r="L37" s="120"/>
      <c r="M37" s="120"/>
      <c r="N37" s="120"/>
      <c r="O37" s="120"/>
      <c r="P37" s="120"/>
      <c r="Q37" s="120"/>
      <c r="R37" s="120"/>
      <c r="S37" s="120"/>
      <c r="T37" s="120"/>
      <c r="U37" s="120"/>
      <c r="V37" s="120"/>
    </row>
    <row r="38" spans="2:22" x14ac:dyDescent="0.25">
      <c r="B38" s="4234"/>
      <c r="D38" s="900"/>
      <c r="E38" s="120"/>
      <c r="F38" s="120"/>
      <c r="G38" s="120"/>
      <c r="H38" s="120"/>
      <c r="I38" s="120"/>
      <c r="J38" s="120"/>
      <c r="K38" s="120"/>
      <c r="L38" s="120"/>
      <c r="M38" s="120"/>
      <c r="N38" s="120"/>
      <c r="O38" s="120"/>
      <c r="P38" s="120"/>
      <c r="Q38" s="120"/>
      <c r="R38" s="120"/>
      <c r="S38" s="120"/>
      <c r="T38" s="120"/>
      <c r="U38" s="120"/>
      <c r="V38" s="120"/>
    </row>
    <row r="39" spans="2:22" x14ac:dyDescent="0.25">
      <c r="B39" s="4234"/>
      <c r="D39" s="900"/>
      <c r="E39" s="120"/>
      <c r="F39" s="120"/>
      <c r="G39" s="120"/>
      <c r="H39" s="120"/>
      <c r="I39" s="120"/>
      <c r="J39" s="120"/>
      <c r="K39" s="120"/>
      <c r="L39" s="120"/>
      <c r="M39" s="120"/>
      <c r="N39" s="120"/>
      <c r="O39" s="120"/>
      <c r="P39" s="120"/>
      <c r="Q39" s="120"/>
      <c r="R39" s="120"/>
      <c r="S39" s="120"/>
      <c r="T39" s="120"/>
      <c r="U39" s="120"/>
      <c r="V39" s="120"/>
    </row>
    <row r="40" spans="2:22" x14ac:dyDescent="0.25">
      <c r="B40" s="4234"/>
      <c r="D40" s="900"/>
      <c r="E40" s="120"/>
      <c r="F40" s="120"/>
      <c r="G40" s="120"/>
      <c r="H40" s="120"/>
      <c r="I40" s="120"/>
      <c r="J40" s="120"/>
      <c r="K40" s="120"/>
      <c r="L40" s="120"/>
      <c r="M40" s="120"/>
      <c r="N40" s="120"/>
      <c r="O40" s="120"/>
      <c r="P40" s="120"/>
      <c r="Q40" s="120"/>
      <c r="R40" s="120"/>
      <c r="S40" s="120"/>
      <c r="T40" s="120"/>
      <c r="U40" s="120"/>
      <c r="V40" s="120"/>
    </row>
    <row r="41" spans="2:22" x14ac:dyDescent="0.25">
      <c r="D41" s="900"/>
      <c r="E41" s="120"/>
      <c r="F41" s="120"/>
      <c r="G41" s="120"/>
      <c r="H41" s="120"/>
      <c r="I41" s="120"/>
      <c r="J41" s="120"/>
      <c r="K41" s="120"/>
      <c r="L41" s="120"/>
      <c r="M41" s="120"/>
      <c r="N41" s="120"/>
      <c r="O41" s="120"/>
      <c r="P41" s="120"/>
      <c r="Q41" s="120"/>
      <c r="R41" s="120"/>
      <c r="S41" s="120"/>
      <c r="T41" s="120"/>
      <c r="U41" s="120"/>
      <c r="V41" s="120"/>
    </row>
    <row r="42" spans="2:22" x14ac:dyDescent="0.25">
      <c r="D42" s="900"/>
      <c r="E42" s="120"/>
      <c r="F42" s="120"/>
      <c r="G42" s="120"/>
      <c r="H42" s="120"/>
      <c r="I42" s="120"/>
      <c r="J42" s="120"/>
      <c r="K42" s="120"/>
      <c r="L42" s="120"/>
      <c r="M42" s="120"/>
      <c r="N42" s="120"/>
      <c r="O42" s="120"/>
      <c r="P42" s="120"/>
      <c r="Q42" s="120"/>
      <c r="R42" s="120"/>
      <c r="S42" s="120"/>
      <c r="T42" s="120"/>
      <c r="U42" s="120"/>
      <c r="V42" s="120"/>
    </row>
    <row r="43" spans="2:22" x14ac:dyDescent="0.25">
      <c r="B43" s="942"/>
      <c r="C43" s="942"/>
      <c r="D43" s="900"/>
      <c r="E43" s="120"/>
      <c r="F43" s="120"/>
      <c r="G43" s="120"/>
      <c r="H43" s="120"/>
      <c r="I43" s="120"/>
      <c r="J43" s="120"/>
      <c r="K43" s="120"/>
      <c r="L43" s="120"/>
      <c r="M43" s="120"/>
      <c r="N43" s="120"/>
      <c r="O43" s="120"/>
      <c r="P43" s="120"/>
      <c r="Q43" s="120"/>
      <c r="R43" s="120"/>
      <c r="S43" s="120"/>
      <c r="T43" s="120"/>
      <c r="U43" s="120"/>
      <c r="V43" s="120"/>
    </row>
    <row r="44" spans="2:22" x14ac:dyDescent="0.25">
      <c r="D44" s="900"/>
      <c r="E44" s="120"/>
      <c r="F44" s="120"/>
      <c r="G44" s="120"/>
      <c r="H44" s="120"/>
      <c r="I44" s="120"/>
      <c r="J44" s="120"/>
      <c r="K44" s="120"/>
      <c r="L44" s="120"/>
      <c r="M44" s="120"/>
      <c r="N44" s="120"/>
      <c r="O44" s="120"/>
      <c r="P44" s="120"/>
      <c r="Q44" s="120"/>
      <c r="R44" s="120"/>
      <c r="S44" s="120"/>
      <c r="T44" s="120"/>
      <c r="U44" s="120"/>
      <c r="V44" s="120"/>
    </row>
    <row r="45" spans="2:22" x14ac:dyDescent="0.25">
      <c r="D45" s="900"/>
      <c r="E45" s="120"/>
      <c r="F45" s="120"/>
      <c r="G45" s="120"/>
      <c r="H45" s="120"/>
      <c r="I45" s="120"/>
      <c r="J45" s="120"/>
      <c r="K45" s="120"/>
      <c r="L45" s="120"/>
      <c r="M45" s="120"/>
      <c r="N45" s="120"/>
      <c r="O45" s="900"/>
      <c r="P45" s="120"/>
      <c r="Q45" s="120"/>
      <c r="R45" s="120"/>
      <c r="S45" s="120"/>
      <c r="T45" s="120"/>
      <c r="U45" s="120"/>
      <c r="V45" s="119"/>
    </row>
    <row r="46" spans="2:22" x14ac:dyDescent="0.25">
      <c r="D46" s="900"/>
      <c r="E46" s="900"/>
      <c r="F46" s="900"/>
      <c r="G46" s="900"/>
      <c r="H46" s="900"/>
      <c r="I46" s="900"/>
      <c r="J46" s="900"/>
      <c r="K46" s="900"/>
      <c r="L46" s="900"/>
      <c r="M46" s="900"/>
      <c r="N46" s="900"/>
      <c r="O46" s="900"/>
      <c r="P46" s="900"/>
      <c r="Q46" s="900"/>
      <c r="R46" s="900"/>
      <c r="S46" s="900"/>
      <c r="T46" s="900"/>
      <c r="U46" s="900"/>
      <c r="V46" s="900"/>
    </row>
    <row r="47" spans="2:22" x14ac:dyDescent="0.25">
      <c r="D47" s="900"/>
      <c r="E47" s="900"/>
      <c r="F47" s="900"/>
      <c r="G47" s="900"/>
      <c r="H47" s="900"/>
      <c r="I47" s="900"/>
      <c r="J47" s="900"/>
      <c r="K47" s="900"/>
      <c r="L47" s="900"/>
      <c r="M47" s="900"/>
      <c r="N47" s="900"/>
      <c r="O47" s="900"/>
      <c r="P47" s="900"/>
      <c r="Q47" s="900"/>
      <c r="R47" s="900"/>
      <c r="S47" s="900"/>
      <c r="T47" s="900"/>
      <c r="U47" s="900"/>
      <c r="V47" s="900"/>
    </row>
    <row r="48" spans="2:22" x14ac:dyDescent="0.25">
      <c r="D48" s="900"/>
      <c r="E48" s="900"/>
      <c r="F48" s="900"/>
      <c r="G48" s="900"/>
      <c r="H48" s="900"/>
      <c r="I48" s="900"/>
      <c r="J48" s="900"/>
      <c r="K48" s="900"/>
      <c r="L48" s="900"/>
      <c r="M48" s="900"/>
      <c r="N48" s="900"/>
      <c r="O48" s="900"/>
      <c r="P48" s="900"/>
      <c r="Q48" s="900"/>
      <c r="R48" s="900"/>
      <c r="S48" s="900"/>
      <c r="T48" s="900"/>
      <c r="U48" s="900"/>
      <c r="V48" s="900"/>
    </row>
    <row r="49" spans="1:23" x14ac:dyDescent="0.25">
      <c r="A49" s="782">
        <v>7</v>
      </c>
      <c r="B49" s="782" t="s">
        <v>29</v>
      </c>
      <c r="C49" s="782"/>
      <c r="D49" s="4048" t="s">
        <v>456</v>
      </c>
      <c r="E49" s="4049"/>
      <c r="F49" s="4049"/>
      <c r="G49" s="4049"/>
      <c r="H49" s="4049"/>
      <c r="I49" s="4049"/>
      <c r="J49" s="4049"/>
      <c r="K49" s="4049"/>
      <c r="L49" s="4049"/>
      <c r="M49" s="4049"/>
      <c r="N49" s="4049"/>
      <c r="O49" s="4049"/>
      <c r="P49" s="4049"/>
      <c r="Q49" s="4049"/>
      <c r="R49" s="4049"/>
      <c r="S49" s="4049"/>
      <c r="T49" s="4049"/>
      <c r="U49" s="4049"/>
      <c r="V49" s="4050"/>
    </row>
    <row r="50" spans="1:23" ht="16.5" customHeight="1" x14ac:dyDescent="0.25">
      <c r="A50" s="818">
        <v>8</v>
      </c>
      <c r="B50" s="818" t="s">
        <v>32</v>
      </c>
      <c r="C50" s="818"/>
      <c r="D50" s="4078" t="s">
        <v>820</v>
      </c>
      <c r="E50" s="4079"/>
      <c r="F50" s="4079"/>
      <c r="G50" s="4079"/>
      <c r="H50" s="4079"/>
      <c r="I50" s="4079"/>
      <c r="J50" s="4079"/>
      <c r="K50" s="4079"/>
      <c r="L50" s="4079"/>
      <c r="M50" s="4079"/>
      <c r="N50" s="4079"/>
      <c r="O50" s="4079"/>
      <c r="P50" s="4079"/>
      <c r="Q50" s="4079"/>
      <c r="R50" s="4079"/>
      <c r="S50" s="4079"/>
      <c r="T50" s="4079"/>
      <c r="U50" s="4079"/>
      <c r="V50" s="4080"/>
    </row>
    <row r="51" spans="1:23" ht="13.5" customHeight="1" x14ac:dyDescent="0.25">
      <c r="A51" s="782">
        <v>9</v>
      </c>
      <c r="B51" s="782" t="s">
        <v>31</v>
      </c>
      <c r="C51" s="782"/>
      <c r="D51" s="4221" t="s">
        <v>821</v>
      </c>
      <c r="E51" s="4222"/>
      <c r="F51" s="4222"/>
      <c r="G51" s="4222"/>
      <c r="H51" s="4222"/>
      <c r="I51" s="4222"/>
      <c r="J51" s="4222"/>
      <c r="K51" s="4222"/>
      <c r="L51" s="4222"/>
      <c r="M51" s="4222"/>
      <c r="N51" s="4222"/>
      <c r="O51" s="4222"/>
      <c r="P51" s="4222"/>
      <c r="Q51" s="4222"/>
      <c r="R51" s="4222"/>
      <c r="S51" s="4222"/>
      <c r="T51" s="4222"/>
      <c r="U51" s="4222"/>
      <c r="V51" s="4223"/>
    </row>
    <row r="52" spans="1:23" x14ac:dyDescent="0.25">
      <c r="B52" s="782"/>
      <c r="C52" s="782"/>
      <c r="D52" s="4224" t="s">
        <v>822</v>
      </c>
      <c r="E52" s="4225"/>
      <c r="F52" s="4225"/>
      <c r="G52" s="4225"/>
      <c r="H52" s="4225"/>
      <c r="I52" s="4225"/>
      <c r="J52" s="4225"/>
      <c r="K52" s="4225"/>
      <c r="L52" s="4225"/>
      <c r="M52" s="4225"/>
      <c r="N52" s="4225"/>
      <c r="O52" s="4225"/>
      <c r="P52" s="4225"/>
      <c r="Q52" s="4225"/>
      <c r="R52" s="4225"/>
      <c r="S52" s="4225"/>
      <c r="T52" s="4225"/>
      <c r="U52" s="4225"/>
      <c r="V52" s="4226"/>
    </row>
    <row r="53" spans="1:23" s="943" customFormat="1" ht="14.25" x14ac:dyDescent="0.2">
      <c r="A53" s="1">
        <v>10</v>
      </c>
      <c r="B53" s="1" t="s">
        <v>95</v>
      </c>
      <c r="C53" s="2"/>
      <c r="D53" s="4227"/>
      <c r="E53" s="4228"/>
      <c r="F53" s="4228"/>
      <c r="G53" s="4228"/>
      <c r="H53" s="4228"/>
      <c r="I53" s="4228"/>
      <c r="J53" s="4228"/>
      <c r="K53" s="4228"/>
      <c r="L53" s="4228"/>
      <c r="M53" s="4228"/>
      <c r="N53" s="4228"/>
      <c r="O53" s="4228"/>
      <c r="P53" s="4228"/>
      <c r="Q53" s="4228"/>
      <c r="R53" s="4228"/>
      <c r="S53" s="4228"/>
      <c r="T53" s="4228"/>
      <c r="U53" s="4228"/>
      <c r="V53" s="4229"/>
    </row>
    <row r="54" spans="1:23" x14ac:dyDescent="0.25">
      <c r="B54" s="782"/>
      <c r="D54" s="51"/>
      <c r="E54" s="51"/>
      <c r="F54" s="51"/>
      <c r="G54" s="51"/>
      <c r="H54" s="51"/>
      <c r="I54" s="51"/>
      <c r="J54" s="51"/>
      <c r="K54" s="51"/>
      <c r="L54" s="51"/>
      <c r="M54" s="51"/>
      <c r="N54" s="51"/>
      <c r="O54" s="903"/>
      <c r="P54" s="903"/>
      <c r="Q54" s="903"/>
      <c r="R54" s="903"/>
      <c r="S54" s="903"/>
      <c r="T54" s="903"/>
      <c r="U54" s="903"/>
      <c r="V54" s="903"/>
      <c r="W54" s="903"/>
    </row>
    <row r="55" spans="1:23" x14ac:dyDescent="0.25">
      <c r="B55" s="782"/>
      <c r="D55" s="51"/>
      <c r="E55" s="51"/>
      <c r="F55" s="51"/>
      <c r="G55" s="51"/>
      <c r="H55" s="51"/>
      <c r="I55" s="51"/>
      <c r="J55" s="51"/>
      <c r="K55" s="51"/>
      <c r="L55" s="51"/>
      <c r="M55" s="51"/>
      <c r="N55" s="51"/>
      <c r="O55" s="903"/>
      <c r="P55" s="903"/>
      <c r="Q55" s="903"/>
      <c r="R55" s="903"/>
      <c r="S55" s="903"/>
      <c r="T55" s="903"/>
      <c r="U55" s="903"/>
      <c r="V55" s="903"/>
      <c r="W55" s="903"/>
    </row>
    <row r="56" spans="1:23" x14ac:dyDescent="0.25">
      <c r="B56" s="782"/>
      <c r="D56" s="51"/>
      <c r="E56" s="51"/>
      <c r="F56" s="51"/>
      <c r="G56" s="51"/>
      <c r="H56" s="51"/>
      <c r="I56" s="51"/>
      <c r="J56" s="51"/>
      <c r="K56" s="51"/>
      <c r="L56" s="51"/>
      <c r="M56" s="51"/>
      <c r="N56" s="51"/>
      <c r="O56" s="903"/>
      <c r="P56" s="903"/>
      <c r="Q56" s="903"/>
      <c r="R56" s="903"/>
      <c r="S56" s="903"/>
      <c r="T56" s="903"/>
      <c r="U56" s="903"/>
      <c r="V56" s="903"/>
      <c r="W56" s="903"/>
    </row>
    <row r="57" spans="1:23" x14ac:dyDescent="0.25">
      <c r="B57" s="782"/>
      <c r="D57" s="51"/>
      <c r="E57" s="51"/>
      <c r="F57" s="51"/>
      <c r="G57" s="51"/>
      <c r="H57" s="51"/>
      <c r="I57" s="51"/>
      <c r="J57" s="51"/>
      <c r="K57" s="51"/>
      <c r="L57" s="51"/>
      <c r="M57" s="51"/>
      <c r="N57" s="51"/>
      <c r="O57" s="903"/>
      <c r="P57" s="903"/>
      <c r="Q57" s="903"/>
      <c r="R57" s="903"/>
      <c r="S57" s="903"/>
      <c r="T57" s="903"/>
      <c r="U57" s="903"/>
      <c r="V57" s="903"/>
      <c r="W57" s="903"/>
    </row>
    <row r="58" spans="1:23" x14ac:dyDescent="0.25">
      <c r="B58" s="782"/>
      <c r="D58" s="51"/>
      <c r="E58" s="51"/>
      <c r="F58" s="51"/>
      <c r="G58" s="51"/>
      <c r="H58" s="51"/>
      <c r="I58" s="51"/>
      <c r="J58" s="51"/>
      <c r="K58" s="51"/>
      <c r="L58" s="51"/>
      <c r="M58" s="51"/>
      <c r="N58" s="51"/>
      <c r="O58" s="903"/>
      <c r="P58" s="903"/>
      <c r="Q58" s="903"/>
      <c r="R58" s="903"/>
      <c r="S58" s="903"/>
      <c r="T58" s="903"/>
      <c r="U58" s="903"/>
      <c r="V58" s="903"/>
      <c r="W58" s="903"/>
    </row>
  </sheetData>
  <mergeCells count="15">
    <mergeCell ref="B31:B40"/>
    <mergeCell ref="D49:V49"/>
    <mergeCell ref="D2:V2"/>
    <mergeCell ref="D3:V3"/>
    <mergeCell ref="D4:V4"/>
    <mergeCell ref="D5:V5"/>
    <mergeCell ref="B9:B11"/>
    <mergeCell ref="D50:V50"/>
    <mergeCell ref="D51:V51"/>
    <mergeCell ref="D52:V52"/>
    <mergeCell ref="D53:V53"/>
    <mergeCell ref="E17:H17"/>
    <mergeCell ref="I17:L17"/>
    <mergeCell ref="M17:P17"/>
    <mergeCell ref="Q17:T17"/>
  </mergeCells>
  <pageMargins left="0.74803149606299202" right="0.74803149606299202" top="0.98425196850393704" bottom="0.98425196850393704" header="0.511811023622047" footer="0.511811023622047"/>
  <pageSetup paperSize="9" scale="5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59"/>
  <sheetViews>
    <sheetView showGridLines="0" view="pageBreakPreview" zoomScaleNormal="100" zoomScaleSheetLayoutView="100" workbookViewId="0">
      <selection activeCell="Q49" sqref="Q49"/>
    </sheetView>
  </sheetViews>
  <sheetFormatPr defaultColWidth="9.140625" defaultRowHeight="15" x14ac:dyDescent="0.2"/>
  <cols>
    <col min="1" max="1" width="3.7109375" style="2035" customWidth="1"/>
    <col min="2" max="2" width="14.42578125" style="2036" customWidth="1"/>
    <col min="3" max="3" width="3.7109375" style="2036" customWidth="1"/>
    <col min="4" max="4" width="25.5703125" style="943" customWidth="1"/>
    <col min="5" max="15" width="7.42578125" style="943" customWidth="1"/>
    <col min="16" max="19" width="6.5703125" style="943" customWidth="1"/>
    <col min="20" max="20" width="6.42578125" style="943" customWidth="1"/>
    <col min="21" max="21" width="5.5703125" style="943" customWidth="1"/>
    <col min="22" max="22" width="7.85546875" style="943" customWidth="1"/>
    <col min="23" max="23" width="6.140625" style="943" customWidth="1"/>
    <col min="24" max="24" width="7" style="943" customWidth="1"/>
    <col min="25" max="25" width="6.5703125" style="943" customWidth="1"/>
    <col min="26" max="258" width="9.140625" style="943"/>
    <col min="259" max="259" width="3.7109375" style="943" customWidth="1"/>
    <col min="260" max="260" width="14.42578125" style="943" customWidth="1"/>
    <col min="261" max="261" width="3.7109375" style="943" customWidth="1"/>
    <col min="262" max="262" width="25.5703125" style="943" customWidth="1"/>
    <col min="263" max="273" width="7.42578125" style="943" customWidth="1"/>
    <col min="274" max="276" width="6.5703125" style="943" customWidth="1"/>
    <col min="277" max="278" width="9.140625" style="943"/>
    <col min="279" max="279" width="7.85546875" style="943" customWidth="1"/>
    <col min="280" max="514" width="9.140625" style="943"/>
    <col min="515" max="515" width="3.7109375" style="943" customWidth="1"/>
    <col min="516" max="516" width="14.42578125" style="943" customWidth="1"/>
    <col min="517" max="517" width="3.7109375" style="943" customWidth="1"/>
    <col min="518" max="518" width="25.5703125" style="943" customWidth="1"/>
    <col min="519" max="529" width="7.42578125" style="943" customWidth="1"/>
    <col min="530" max="532" width="6.5703125" style="943" customWidth="1"/>
    <col min="533" max="534" width="9.140625" style="943"/>
    <col min="535" max="535" width="7.85546875" style="943" customWidth="1"/>
    <col min="536" max="770" width="9.140625" style="943"/>
    <col min="771" max="771" width="3.7109375" style="943" customWidth="1"/>
    <col min="772" max="772" width="14.42578125" style="943" customWidth="1"/>
    <col min="773" max="773" width="3.7109375" style="943" customWidth="1"/>
    <col min="774" max="774" width="25.5703125" style="943" customWidth="1"/>
    <col min="775" max="785" width="7.42578125" style="943" customWidth="1"/>
    <col min="786" max="788" width="6.5703125" style="943" customWidth="1"/>
    <col min="789" max="790" width="9.140625" style="943"/>
    <col min="791" max="791" width="7.85546875" style="943" customWidth="1"/>
    <col min="792" max="1026" width="9.140625" style="943"/>
    <col min="1027" max="1027" width="3.7109375" style="943" customWidth="1"/>
    <col min="1028" max="1028" width="14.42578125" style="943" customWidth="1"/>
    <col min="1029" max="1029" width="3.7109375" style="943" customWidth="1"/>
    <col min="1030" max="1030" width="25.5703125" style="943" customWidth="1"/>
    <col min="1031" max="1041" width="7.42578125" style="943" customWidth="1"/>
    <col min="1042" max="1044" width="6.5703125" style="943" customWidth="1"/>
    <col min="1045" max="1046" width="9.140625" style="943"/>
    <col min="1047" max="1047" width="7.85546875" style="943" customWidth="1"/>
    <col min="1048" max="1282" width="9.140625" style="943"/>
    <col min="1283" max="1283" width="3.7109375" style="943" customWidth="1"/>
    <col min="1284" max="1284" width="14.42578125" style="943" customWidth="1"/>
    <col min="1285" max="1285" width="3.7109375" style="943" customWidth="1"/>
    <col min="1286" max="1286" width="25.5703125" style="943" customWidth="1"/>
    <col min="1287" max="1297" width="7.42578125" style="943" customWidth="1"/>
    <col min="1298" max="1300" width="6.5703125" style="943" customWidth="1"/>
    <col min="1301" max="1302" width="9.140625" style="943"/>
    <col min="1303" max="1303" width="7.85546875" style="943" customWidth="1"/>
    <col min="1304" max="1538" width="9.140625" style="943"/>
    <col min="1539" max="1539" width="3.7109375" style="943" customWidth="1"/>
    <col min="1540" max="1540" width="14.42578125" style="943" customWidth="1"/>
    <col min="1541" max="1541" width="3.7109375" style="943" customWidth="1"/>
    <col min="1542" max="1542" width="25.5703125" style="943" customWidth="1"/>
    <col min="1543" max="1553" width="7.42578125" style="943" customWidth="1"/>
    <col min="1554" max="1556" width="6.5703125" style="943" customWidth="1"/>
    <col min="1557" max="1558" width="9.140625" style="943"/>
    <col min="1559" max="1559" width="7.85546875" style="943" customWidth="1"/>
    <col min="1560" max="1794" width="9.140625" style="943"/>
    <col min="1795" max="1795" width="3.7109375" style="943" customWidth="1"/>
    <col min="1796" max="1796" width="14.42578125" style="943" customWidth="1"/>
    <col min="1797" max="1797" width="3.7109375" style="943" customWidth="1"/>
    <col min="1798" max="1798" width="25.5703125" style="943" customWidth="1"/>
    <col min="1799" max="1809" width="7.42578125" style="943" customWidth="1"/>
    <col min="1810" max="1812" width="6.5703125" style="943" customWidth="1"/>
    <col min="1813" max="1814" width="9.140625" style="943"/>
    <col min="1815" max="1815" width="7.85546875" style="943" customWidth="1"/>
    <col min="1816" max="2050" width="9.140625" style="943"/>
    <col min="2051" max="2051" width="3.7109375" style="943" customWidth="1"/>
    <col min="2052" max="2052" width="14.42578125" style="943" customWidth="1"/>
    <col min="2053" max="2053" width="3.7109375" style="943" customWidth="1"/>
    <col min="2054" max="2054" width="25.5703125" style="943" customWidth="1"/>
    <col min="2055" max="2065" width="7.42578125" style="943" customWidth="1"/>
    <col min="2066" max="2068" width="6.5703125" style="943" customWidth="1"/>
    <col min="2069" max="2070" width="9.140625" style="943"/>
    <col min="2071" max="2071" width="7.85546875" style="943" customWidth="1"/>
    <col min="2072" max="2306" width="9.140625" style="943"/>
    <col min="2307" max="2307" width="3.7109375" style="943" customWidth="1"/>
    <col min="2308" max="2308" width="14.42578125" style="943" customWidth="1"/>
    <col min="2309" max="2309" width="3.7109375" style="943" customWidth="1"/>
    <col min="2310" max="2310" width="25.5703125" style="943" customWidth="1"/>
    <col min="2311" max="2321" width="7.42578125" style="943" customWidth="1"/>
    <col min="2322" max="2324" width="6.5703125" style="943" customWidth="1"/>
    <col min="2325" max="2326" width="9.140625" style="943"/>
    <col min="2327" max="2327" width="7.85546875" style="943" customWidth="1"/>
    <col min="2328" max="2562" width="9.140625" style="943"/>
    <col min="2563" max="2563" width="3.7109375" style="943" customWidth="1"/>
    <col min="2564" max="2564" width="14.42578125" style="943" customWidth="1"/>
    <col min="2565" max="2565" width="3.7109375" style="943" customWidth="1"/>
    <col min="2566" max="2566" width="25.5703125" style="943" customWidth="1"/>
    <col min="2567" max="2577" width="7.42578125" style="943" customWidth="1"/>
    <col min="2578" max="2580" width="6.5703125" style="943" customWidth="1"/>
    <col min="2581" max="2582" width="9.140625" style="943"/>
    <col min="2583" max="2583" width="7.85546875" style="943" customWidth="1"/>
    <col min="2584" max="2818" width="9.140625" style="943"/>
    <col min="2819" max="2819" width="3.7109375" style="943" customWidth="1"/>
    <col min="2820" max="2820" width="14.42578125" style="943" customWidth="1"/>
    <col min="2821" max="2821" width="3.7109375" style="943" customWidth="1"/>
    <col min="2822" max="2822" width="25.5703125" style="943" customWidth="1"/>
    <col min="2823" max="2833" width="7.42578125" style="943" customWidth="1"/>
    <col min="2834" max="2836" width="6.5703125" style="943" customWidth="1"/>
    <col min="2837" max="2838" width="9.140625" style="943"/>
    <col min="2839" max="2839" width="7.85546875" style="943" customWidth="1"/>
    <col min="2840" max="3074" width="9.140625" style="943"/>
    <col min="3075" max="3075" width="3.7109375" style="943" customWidth="1"/>
    <col min="3076" max="3076" width="14.42578125" style="943" customWidth="1"/>
    <col min="3077" max="3077" width="3.7109375" style="943" customWidth="1"/>
    <col min="3078" max="3078" width="25.5703125" style="943" customWidth="1"/>
    <col min="3079" max="3089" width="7.42578125" style="943" customWidth="1"/>
    <col min="3090" max="3092" width="6.5703125" style="943" customWidth="1"/>
    <col min="3093" max="3094" width="9.140625" style="943"/>
    <col min="3095" max="3095" width="7.85546875" style="943" customWidth="1"/>
    <col min="3096" max="3330" width="9.140625" style="943"/>
    <col min="3331" max="3331" width="3.7109375" style="943" customWidth="1"/>
    <col min="3332" max="3332" width="14.42578125" style="943" customWidth="1"/>
    <col min="3333" max="3333" width="3.7109375" style="943" customWidth="1"/>
    <col min="3334" max="3334" width="25.5703125" style="943" customWidth="1"/>
    <col min="3335" max="3345" width="7.42578125" style="943" customWidth="1"/>
    <col min="3346" max="3348" width="6.5703125" style="943" customWidth="1"/>
    <col min="3349" max="3350" width="9.140625" style="943"/>
    <col min="3351" max="3351" width="7.85546875" style="943" customWidth="1"/>
    <col min="3352" max="3586" width="9.140625" style="943"/>
    <col min="3587" max="3587" width="3.7109375" style="943" customWidth="1"/>
    <col min="3588" max="3588" width="14.42578125" style="943" customWidth="1"/>
    <col min="3589" max="3589" width="3.7109375" style="943" customWidth="1"/>
    <col min="3590" max="3590" width="25.5703125" style="943" customWidth="1"/>
    <col min="3591" max="3601" width="7.42578125" style="943" customWidth="1"/>
    <col min="3602" max="3604" width="6.5703125" style="943" customWidth="1"/>
    <col min="3605" max="3606" width="9.140625" style="943"/>
    <col min="3607" max="3607" width="7.85546875" style="943" customWidth="1"/>
    <col min="3608" max="3842" width="9.140625" style="943"/>
    <col min="3843" max="3843" width="3.7109375" style="943" customWidth="1"/>
    <col min="3844" max="3844" width="14.42578125" style="943" customWidth="1"/>
    <col min="3845" max="3845" width="3.7109375" style="943" customWidth="1"/>
    <col min="3846" max="3846" width="25.5703125" style="943" customWidth="1"/>
    <col min="3847" max="3857" width="7.42578125" style="943" customWidth="1"/>
    <col min="3858" max="3860" width="6.5703125" style="943" customWidth="1"/>
    <col min="3861" max="3862" width="9.140625" style="943"/>
    <col min="3863" max="3863" width="7.85546875" style="943" customWidth="1"/>
    <col min="3864" max="4098" width="9.140625" style="943"/>
    <col min="4099" max="4099" width="3.7109375" style="943" customWidth="1"/>
    <col min="4100" max="4100" width="14.42578125" style="943" customWidth="1"/>
    <col min="4101" max="4101" width="3.7109375" style="943" customWidth="1"/>
    <col min="4102" max="4102" width="25.5703125" style="943" customWidth="1"/>
    <col min="4103" max="4113" width="7.42578125" style="943" customWidth="1"/>
    <col min="4114" max="4116" width="6.5703125" style="943" customWidth="1"/>
    <col min="4117" max="4118" width="9.140625" style="943"/>
    <col min="4119" max="4119" width="7.85546875" style="943" customWidth="1"/>
    <col min="4120" max="4354" width="9.140625" style="943"/>
    <col min="4355" max="4355" width="3.7109375" style="943" customWidth="1"/>
    <col min="4356" max="4356" width="14.42578125" style="943" customWidth="1"/>
    <col min="4357" max="4357" width="3.7109375" style="943" customWidth="1"/>
    <col min="4358" max="4358" width="25.5703125" style="943" customWidth="1"/>
    <col min="4359" max="4369" width="7.42578125" style="943" customWidth="1"/>
    <col min="4370" max="4372" width="6.5703125" style="943" customWidth="1"/>
    <col min="4373" max="4374" width="9.140625" style="943"/>
    <col min="4375" max="4375" width="7.85546875" style="943" customWidth="1"/>
    <col min="4376" max="4610" width="9.140625" style="943"/>
    <col min="4611" max="4611" width="3.7109375" style="943" customWidth="1"/>
    <col min="4612" max="4612" width="14.42578125" style="943" customWidth="1"/>
    <col min="4613" max="4613" width="3.7109375" style="943" customWidth="1"/>
    <col min="4614" max="4614" width="25.5703125" style="943" customWidth="1"/>
    <col min="4615" max="4625" width="7.42578125" style="943" customWidth="1"/>
    <col min="4626" max="4628" width="6.5703125" style="943" customWidth="1"/>
    <col min="4629" max="4630" width="9.140625" style="943"/>
    <col min="4631" max="4631" width="7.85546875" style="943" customWidth="1"/>
    <col min="4632" max="4866" width="9.140625" style="943"/>
    <col min="4867" max="4867" width="3.7109375" style="943" customWidth="1"/>
    <col min="4868" max="4868" width="14.42578125" style="943" customWidth="1"/>
    <col min="4869" max="4869" width="3.7109375" style="943" customWidth="1"/>
    <col min="4870" max="4870" width="25.5703125" style="943" customWidth="1"/>
    <col min="4871" max="4881" width="7.42578125" style="943" customWidth="1"/>
    <col min="4882" max="4884" width="6.5703125" style="943" customWidth="1"/>
    <col min="4885" max="4886" width="9.140625" style="943"/>
    <col min="4887" max="4887" width="7.85546875" style="943" customWidth="1"/>
    <col min="4888" max="5122" width="9.140625" style="943"/>
    <col min="5123" max="5123" width="3.7109375" style="943" customWidth="1"/>
    <col min="5124" max="5124" width="14.42578125" style="943" customWidth="1"/>
    <col min="5125" max="5125" width="3.7109375" style="943" customWidth="1"/>
    <col min="5126" max="5126" width="25.5703125" style="943" customWidth="1"/>
    <col min="5127" max="5137" width="7.42578125" style="943" customWidth="1"/>
    <col min="5138" max="5140" width="6.5703125" style="943" customWidth="1"/>
    <col min="5141" max="5142" width="9.140625" style="943"/>
    <col min="5143" max="5143" width="7.85546875" style="943" customWidth="1"/>
    <col min="5144" max="5378" width="9.140625" style="943"/>
    <col min="5379" max="5379" width="3.7109375" style="943" customWidth="1"/>
    <col min="5380" max="5380" width="14.42578125" style="943" customWidth="1"/>
    <col min="5381" max="5381" width="3.7109375" style="943" customWidth="1"/>
    <col min="5382" max="5382" width="25.5703125" style="943" customWidth="1"/>
    <col min="5383" max="5393" width="7.42578125" style="943" customWidth="1"/>
    <col min="5394" max="5396" width="6.5703125" style="943" customWidth="1"/>
    <col min="5397" max="5398" width="9.140625" style="943"/>
    <col min="5399" max="5399" width="7.85546875" style="943" customWidth="1"/>
    <col min="5400" max="5634" width="9.140625" style="943"/>
    <col min="5635" max="5635" width="3.7109375" style="943" customWidth="1"/>
    <col min="5636" max="5636" width="14.42578125" style="943" customWidth="1"/>
    <col min="5637" max="5637" width="3.7109375" style="943" customWidth="1"/>
    <col min="5638" max="5638" width="25.5703125" style="943" customWidth="1"/>
    <col min="5639" max="5649" width="7.42578125" style="943" customWidth="1"/>
    <col min="5650" max="5652" width="6.5703125" style="943" customWidth="1"/>
    <col min="5653" max="5654" width="9.140625" style="943"/>
    <col min="5655" max="5655" width="7.85546875" style="943" customWidth="1"/>
    <col min="5656" max="5890" width="9.140625" style="943"/>
    <col min="5891" max="5891" width="3.7109375" style="943" customWidth="1"/>
    <col min="5892" max="5892" width="14.42578125" style="943" customWidth="1"/>
    <col min="5893" max="5893" width="3.7109375" style="943" customWidth="1"/>
    <col min="5894" max="5894" width="25.5703125" style="943" customWidth="1"/>
    <col min="5895" max="5905" width="7.42578125" style="943" customWidth="1"/>
    <col min="5906" max="5908" width="6.5703125" style="943" customWidth="1"/>
    <col min="5909" max="5910" width="9.140625" style="943"/>
    <col min="5911" max="5911" width="7.85546875" style="943" customWidth="1"/>
    <col min="5912" max="6146" width="9.140625" style="943"/>
    <col min="6147" max="6147" width="3.7109375" style="943" customWidth="1"/>
    <col min="6148" max="6148" width="14.42578125" style="943" customWidth="1"/>
    <col min="6149" max="6149" width="3.7109375" style="943" customWidth="1"/>
    <col min="6150" max="6150" width="25.5703125" style="943" customWidth="1"/>
    <col min="6151" max="6161" width="7.42578125" style="943" customWidth="1"/>
    <col min="6162" max="6164" width="6.5703125" style="943" customWidth="1"/>
    <col min="6165" max="6166" width="9.140625" style="943"/>
    <col min="6167" max="6167" width="7.85546875" style="943" customWidth="1"/>
    <col min="6168" max="6402" width="9.140625" style="943"/>
    <col min="6403" max="6403" width="3.7109375" style="943" customWidth="1"/>
    <col min="6404" max="6404" width="14.42578125" style="943" customWidth="1"/>
    <col min="6405" max="6405" width="3.7109375" style="943" customWidth="1"/>
    <col min="6406" max="6406" width="25.5703125" style="943" customWidth="1"/>
    <col min="6407" max="6417" width="7.42578125" style="943" customWidth="1"/>
    <col min="6418" max="6420" width="6.5703125" style="943" customWidth="1"/>
    <col min="6421" max="6422" width="9.140625" style="943"/>
    <col min="6423" max="6423" width="7.85546875" style="943" customWidth="1"/>
    <col min="6424" max="6658" width="9.140625" style="943"/>
    <col min="6659" max="6659" width="3.7109375" style="943" customWidth="1"/>
    <col min="6660" max="6660" width="14.42578125" style="943" customWidth="1"/>
    <col min="6661" max="6661" width="3.7109375" style="943" customWidth="1"/>
    <col min="6662" max="6662" width="25.5703125" style="943" customWidth="1"/>
    <col min="6663" max="6673" width="7.42578125" style="943" customWidth="1"/>
    <col min="6674" max="6676" width="6.5703125" style="943" customWidth="1"/>
    <col min="6677" max="6678" width="9.140625" style="943"/>
    <col min="6679" max="6679" width="7.85546875" style="943" customWidth="1"/>
    <col min="6680" max="6914" width="9.140625" style="943"/>
    <col min="6915" max="6915" width="3.7109375" style="943" customWidth="1"/>
    <col min="6916" max="6916" width="14.42578125" style="943" customWidth="1"/>
    <col min="6917" max="6917" width="3.7109375" style="943" customWidth="1"/>
    <col min="6918" max="6918" width="25.5703125" style="943" customWidth="1"/>
    <col min="6919" max="6929" width="7.42578125" style="943" customWidth="1"/>
    <col min="6930" max="6932" width="6.5703125" style="943" customWidth="1"/>
    <col min="6933" max="6934" width="9.140625" style="943"/>
    <col min="6935" max="6935" width="7.85546875" style="943" customWidth="1"/>
    <col min="6936" max="7170" width="9.140625" style="943"/>
    <col min="7171" max="7171" width="3.7109375" style="943" customWidth="1"/>
    <col min="7172" max="7172" width="14.42578125" style="943" customWidth="1"/>
    <col min="7173" max="7173" width="3.7109375" style="943" customWidth="1"/>
    <col min="7174" max="7174" width="25.5703125" style="943" customWidth="1"/>
    <col min="7175" max="7185" width="7.42578125" style="943" customWidth="1"/>
    <col min="7186" max="7188" width="6.5703125" style="943" customWidth="1"/>
    <col min="7189" max="7190" width="9.140625" style="943"/>
    <col min="7191" max="7191" width="7.85546875" style="943" customWidth="1"/>
    <col min="7192" max="7426" width="9.140625" style="943"/>
    <col min="7427" max="7427" width="3.7109375" style="943" customWidth="1"/>
    <col min="7428" max="7428" width="14.42578125" style="943" customWidth="1"/>
    <col min="7429" max="7429" width="3.7109375" style="943" customWidth="1"/>
    <col min="7430" max="7430" width="25.5703125" style="943" customWidth="1"/>
    <col min="7431" max="7441" width="7.42578125" style="943" customWidth="1"/>
    <col min="7442" max="7444" width="6.5703125" style="943" customWidth="1"/>
    <col min="7445" max="7446" width="9.140625" style="943"/>
    <col min="7447" max="7447" width="7.85546875" style="943" customWidth="1"/>
    <col min="7448" max="7682" width="9.140625" style="943"/>
    <col min="7683" max="7683" width="3.7109375" style="943" customWidth="1"/>
    <col min="7684" max="7684" width="14.42578125" style="943" customWidth="1"/>
    <col min="7685" max="7685" width="3.7109375" style="943" customWidth="1"/>
    <col min="7686" max="7686" width="25.5703125" style="943" customWidth="1"/>
    <col min="7687" max="7697" width="7.42578125" style="943" customWidth="1"/>
    <col min="7698" max="7700" width="6.5703125" style="943" customWidth="1"/>
    <col min="7701" max="7702" width="9.140625" style="943"/>
    <col min="7703" max="7703" width="7.85546875" style="943" customWidth="1"/>
    <col min="7704" max="7938" width="9.140625" style="943"/>
    <col min="7939" max="7939" width="3.7109375" style="943" customWidth="1"/>
    <col min="7940" max="7940" width="14.42578125" style="943" customWidth="1"/>
    <col min="7941" max="7941" width="3.7109375" style="943" customWidth="1"/>
    <col min="7942" max="7942" width="25.5703125" style="943" customWidth="1"/>
    <col min="7943" max="7953" width="7.42578125" style="943" customWidth="1"/>
    <col min="7954" max="7956" width="6.5703125" style="943" customWidth="1"/>
    <col min="7957" max="7958" width="9.140625" style="943"/>
    <col min="7959" max="7959" width="7.85546875" style="943" customWidth="1"/>
    <col min="7960" max="8194" width="9.140625" style="943"/>
    <col min="8195" max="8195" width="3.7109375" style="943" customWidth="1"/>
    <col min="8196" max="8196" width="14.42578125" style="943" customWidth="1"/>
    <col min="8197" max="8197" width="3.7109375" style="943" customWidth="1"/>
    <col min="8198" max="8198" width="25.5703125" style="943" customWidth="1"/>
    <col min="8199" max="8209" width="7.42578125" style="943" customWidth="1"/>
    <col min="8210" max="8212" width="6.5703125" style="943" customWidth="1"/>
    <col min="8213" max="8214" width="9.140625" style="943"/>
    <col min="8215" max="8215" width="7.85546875" style="943" customWidth="1"/>
    <col min="8216" max="8450" width="9.140625" style="943"/>
    <col min="8451" max="8451" width="3.7109375" style="943" customWidth="1"/>
    <col min="8452" max="8452" width="14.42578125" style="943" customWidth="1"/>
    <col min="8453" max="8453" width="3.7109375" style="943" customWidth="1"/>
    <col min="8454" max="8454" width="25.5703125" style="943" customWidth="1"/>
    <col min="8455" max="8465" width="7.42578125" style="943" customWidth="1"/>
    <col min="8466" max="8468" width="6.5703125" style="943" customWidth="1"/>
    <col min="8469" max="8470" width="9.140625" style="943"/>
    <col min="8471" max="8471" width="7.85546875" style="943" customWidth="1"/>
    <col min="8472" max="8706" width="9.140625" style="943"/>
    <col min="8707" max="8707" width="3.7109375" style="943" customWidth="1"/>
    <col min="8708" max="8708" width="14.42578125" style="943" customWidth="1"/>
    <col min="8709" max="8709" width="3.7109375" style="943" customWidth="1"/>
    <col min="8710" max="8710" width="25.5703125" style="943" customWidth="1"/>
    <col min="8711" max="8721" width="7.42578125" style="943" customWidth="1"/>
    <col min="8722" max="8724" width="6.5703125" style="943" customWidth="1"/>
    <col min="8725" max="8726" width="9.140625" style="943"/>
    <col min="8727" max="8727" width="7.85546875" style="943" customWidth="1"/>
    <col min="8728" max="8962" width="9.140625" style="943"/>
    <col min="8963" max="8963" width="3.7109375" style="943" customWidth="1"/>
    <col min="8964" max="8964" width="14.42578125" style="943" customWidth="1"/>
    <col min="8965" max="8965" width="3.7109375" style="943" customWidth="1"/>
    <col min="8966" max="8966" width="25.5703125" style="943" customWidth="1"/>
    <col min="8967" max="8977" width="7.42578125" style="943" customWidth="1"/>
    <col min="8978" max="8980" width="6.5703125" style="943" customWidth="1"/>
    <col min="8981" max="8982" width="9.140625" style="943"/>
    <col min="8983" max="8983" width="7.85546875" style="943" customWidth="1"/>
    <col min="8984" max="9218" width="9.140625" style="943"/>
    <col min="9219" max="9219" width="3.7109375" style="943" customWidth="1"/>
    <col min="9220" max="9220" width="14.42578125" style="943" customWidth="1"/>
    <col min="9221" max="9221" width="3.7109375" style="943" customWidth="1"/>
    <col min="9222" max="9222" width="25.5703125" style="943" customWidth="1"/>
    <col min="9223" max="9233" width="7.42578125" style="943" customWidth="1"/>
    <col min="9234" max="9236" width="6.5703125" style="943" customWidth="1"/>
    <col min="9237" max="9238" width="9.140625" style="943"/>
    <col min="9239" max="9239" width="7.85546875" style="943" customWidth="1"/>
    <col min="9240" max="9474" width="9.140625" style="943"/>
    <col min="9475" max="9475" width="3.7109375" style="943" customWidth="1"/>
    <col min="9476" max="9476" width="14.42578125" style="943" customWidth="1"/>
    <col min="9477" max="9477" width="3.7109375" style="943" customWidth="1"/>
    <col min="9478" max="9478" width="25.5703125" style="943" customWidth="1"/>
    <col min="9479" max="9489" width="7.42578125" style="943" customWidth="1"/>
    <col min="9490" max="9492" width="6.5703125" style="943" customWidth="1"/>
    <col min="9493" max="9494" width="9.140625" style="943"/>
    <col min="9495" max="9495" width="7.85546875" style="943" customWidth="1"/>
    <col min="9496" max="9730" width="9.140625" style="943"/>
    <col min="9731" max="9731" width="3.7109375" style="943" customWidth="1"/>
    <col min="9732" max="9732" width="14.42578125" style="943" customWidth="1"/>
    <col min="9733" max="9733" width="3.7109375" style="943" customWidth="1"/>
    <col min="9734" max="9734" width="25.5703125" style="943" customWidth="1"/>
    <col min="9735" max="9745" width="7.42578125" style="943" customWidth="1"/>
    <col min="9746" max="9748" width="6.5703125" style="943" customWidth="1"/>
    <col min="9749" max="9750" width="9.140625" style="943"/>
    <col min="9751" max="9751" width="7.85546875" style="943" customWidth="1"/>
    <col min="9752" max="9986" width="9.140625" style="943"/>
    <col min="9987" max="9987" width="3.7109375" style="943" customWidth="1"/>
    <col min="9988" max="9988" width="14.42578125" style="943" customWidth="1"/>
    <col min="9989" max="9989" width="3.7109375" style="943" customWidth="1"/>
    <col min="9990" max="9990" width="25.5703125" style="943" customWidth="1"/>
    <col min="9991" max="10001" width="7.42578125" style="943" customWidth="1"/>
    <col min="10002" max="10004" width="6.5703125" style="943" customWidth="1"/>
    <col min="10005" max="10006" width="9.140625" style="943"/>
    <col min="10007" max="10007" width="7.85546875" style="943" customWidth="1"/>
    <col min="10008" max="10242" width="9.140625" style="943"/>
    <col min="10243" max="10243" width="3.7109375" style="943" customWidth="1"/>
    <col min="10244" max="10244" width="14.42578125" style="943" customWidth="1"/>
    <col min="10245" max="10245" width="3.7109375" style="943" customWidth="1"/>
    <col min="10246" max="10246" width="25.5703125" style="943" customWidth="1"/>
    <col min="10247" max="10257" width="7.42578125" style="943" customWidth="1"/>
    <col min="10258" max="10260" width="6.5703125" style="943" customWidth="1"/>
    <col min="10261" max="10262" width="9.140625" style="943"/>
    <col min="10263" max="10263" width="7.85546875" style="943" customWidth="1"/>
    <col min="10264" max="10498" width="9.140625" style="943"/>
    <col min="10499" max="10499" width="3.7109375" style="943" customWidth="1"/>
    <col min="10500" max="10500" width="14.42578125" style="943" customWidth="1"/>
    <col min="10501" max="10501" width="3.7109375" style="943" customWidth="1"/>
    <col min="10502" max="10502" width="25.5703125" style="943" customWidth="1"/>
    <col min="10503" max="10513" width="7.42578125" style="943" customWidth="1"/>
    <col min="10514" max="10516" width="6.5703125" style="943" customWidth="1"/>
    <col min="10517" max="10518" width="9.140625" style="943"/>
    <col min="10519" max="10519" width="7.85546875" style="943" customWidth="1"/>
    <col min="10520" max="10754" width="9.140625" style="943"/>
    <col min="10755" max="10755" width="3.7109375" style="943" customWidth="1"/>
    <col min="10756" max="10756" width="14.42578125" style="943" customWidth="1"/>
    <col min="10757" max="10757" width="3.7109375" style="943" customWidth="1"/>
    <col min="10758" max="10758" width="25.5703125" style="943" customWidth="1"/>
    <col min="10759" max="10769" width="7.42578125" style="943" customWidth="1"/>
    <col min="10770" max="10772" width="6.5703125" style="943" customWidth="1"/>
    <col min="10773" max="10774" width="9.140625" style="943"/>
    <col min="10775" max="10775" width="7.85546875" style="943" customWidth="1"/>
    <col min="10776" max="11010" width="9.140625" style="943"/>
    <col min="11011" max="11011" width="3.7109375" style="943" customWidth="1"/>
    <col min="11012" max="11012" width="14.42578125" style="943" customWidth="1"/>
    <col min="11013" max="11013" width="3.7109375" style="943" customWidth="1"/>
    <col min="11014" max="11014" width="25.5703125" style="943" customWidth="1"/>
    <col min="11015" max="11025" width="7.42578125" style="943" customWidth="1"/>
    <col min="11026" max="11028" width="6.5703125" style="943" customWidth="1"/>
    <col min="11029" max="11030" width="9.140625" style="943"/>
    <col min="11031" max="11031" width="7.85546875" style="943" customWidth="1"/>
    <col min="11032" max="11266" width="9.140625" style="943"/>
    <col min="11267" max="11267" width="3.7109375" style="943" customWidth="1"/>
    <col min="11268" max="11268" width="14.42578125" style="943" customWidth="1"/>
    <col min="11269" max="11269" width="3.7109375" style="943" customWidth="1"/>
    <col min="11270" max="11270" width="25.5703125" style="943" customWidth="1"/>
    <col min="11271" max="11281" width="7.42578125" style="943" customWidth="1"/>
    <col min="11282" max="11284" width="6.5703125" style="943" customWidth="1"/>
    <col min="11285" max="11286" width="9.140625" style="943"/>
    <col min="11287" max="11287" width="7.85546875" style="943" customWidth="1"/>
    <col min="11288" max="11522" width="9.140625" style="943"/>
    <col min="11523" max="11523" width="3.7109375" style="943" customWidth="1"/>
    <col min="11524" max="11524" width="14.42578125" style="943" customWidth="1"/>
    <col min="11525" max="11525" width="3.7109375" style="943" customWidth="1"/>
    <col min="11526" max="11526" width="25.5703125" style="943" customWidth="1"/>
    <col min="11527" max="11537" width="7.42578125" style="943" customWidth="1"/>
    <col min="11538" max="11540" width="6.5703125" style="943" customWidth="1"/>
    <col min="11541" max="11542" width="9.140625" style="943"/>
    <col min="11543" max="11543" width="7.85546875" style="943" customWidth="1"/>
    <col min="11544" max="11778" width="9.140625" style="943"/>
    <col min="11779" max="11779" width="3.7109375" style="943" customWidth="1"/>
    <col min="11780" max="11780" width="14.42578125" style="943" customWidth="1"/>
    <col min="11781" max="11781" width="3.7109375" style="943" customWidth="1"/>
    <col min="11782" max="11782" width="25.5703125" style="943" customWidth="1"/>
    <col min="11783" max="11793" width="7.42578125" style="943" customWidth="1"/>
    <col min="11794" max="11796" width="6.5703125" style="943" customWidth="1"/>
    <col min="11797" max="11798" width="9.140625" style="943"/>
    <col min="11799" max="11799" width="7.85546875" style="943" customWidth="1"/>
    <col min="11800" max="12034" width="9.140625" style="943"/>
    <col min="12035" max="12035" width="3.7109375" style="943" customWidth="1"/>
    <col min="12036" max="12036" width="14.42578125" style="943" customWidth="1"/>
    <col min="12037" max="12037" width="3.7109375" style="943" customWidth="1"/>
    <col min="12038" max="12038" width="25.5703125" style="943" customWidth="1"/>
    <col min="12039" max="12049" width="7.42578125" style="943" customWidth="1"/>
    <col min="12050" max="12052" width="6.5703125" style="943" customWidth="1"/>
    <col min="12053" max="12054" width="9.140625" style="943"/>
    <col min="12055" max="12055" width="7.85546875" style="943" customWidth="1"/>
    <col min="12056" max="12290" width="9.140625" style="943"/>
    <col min="12291" max="12291" width="3.7109375" style="943" customWidth="1"/>
    <col min="12292" max="12292" width="14.42578125" style="943" customWidth="1"/>
    <col min="12293" max="12293" width="3.7109375" style="943" customWidth="1"/>
    <col min="12294" max="12294" width="25.5703125" style="943" customWidth="1"/>
    <col min="12295" max="12305" width="7.42578125" style="943" customWidth="1"/>
    <col min="12306" max="12308" width="6.5703125" style="943" customWidth="1"/>
    <col min="12309" max="12310" width="9.140625" style="943"/>
    <col min="12311" max="12311" width="7.85546875" style="943" customWidth="1"/>
    <col min="12312" max="12546" width="9.140625" style="943"/>
    <col min="12547" max="12547" width="3.7109375" style="943" customWidth="1"/>
    <col min="12548" max="12548" width="14.42578125" style="943" customWidth="1"/>
    <col min="12549" max="12549" width="3.7109375" style="943" customWidth="1"/>
    <col min="12550" max="12550" width="25.5703125" style="943" customWidth="1"/>
    <col min="12551" max="12561" width="7.42578125" style="943" customWidth="1"/>
    <col min="12562" max="12564" width="6.5703125" style="943" customWidth="1"/>
    <col min="12565" max="12566" width="9.140625" style="943"/>
    <col min="12567" max="12567" width="7.85546875" style="943" customWidth="1"/>
    <col min="12568" max="12802" width="9.140625" style="943"/>
    <col min="12803" max="12803" width="3.7109375" style="943" customWidth="1"/>
    <col min="12804" max="12804" width="14.42578125" style="943" customWidth="1"/>
    <col min="12805" max="12805" width="3.7109375" style="943" customWidth="1"/>
    <col min="12806" max="12806" width="25.5703125" style="943" customWidth="1"/>
    <col min="12807" max="12817" width="7.42578125" style="943" customWidth="1"/>
    <col min="12818" max="12820" width="6.5703125" style="943" customWidth="1"/>
    <col min="12821" max="12822" width="9.140625" style="943"/>
    <col min="12823" max="12823" width="7.85546875" style="943" customWidth="1"/>
    <col min="12824" max="13058" width="9.140625" style="943"/>
    <col min="13059" max="13059" width="3.7109375" style="943" customWidth="1"/>
    <col min="13060" max="13060" width="14.42578125" style="943" customWidth="1"/>
    <col min="13061" max="13061" width="3.7109375" style="943" customWidth="1"/>
    <col min="13062" max="13062" width="25.5703125" style="943" customWidth="1"/>
    <col min="13063" max="13073" width="7.42578125" style="943" customWidth="1"/>
    <col min="13074" max="13076" width="6.5703125" style="943" customWidth="1"/>
    <col min="13077" max="13078" width="9.140625" style="943"/>
    <col min="13079" max="13079" width="7.85546875" style="943" customWidth="1"/>
    <col min="13080" max="13314" width="9.140625" style="943"/>
    <col min="13315" max="13315" width="3.7109375" style="943" customWidth="1"/>
    <col min="13316" max="13316" width="14.42578125" style="943" customWidth="1"/>
    <col min="13317" max="13317" width="3.7109375" style="943" customWidth="1"/>
    <col min="13318" max="13318" width="25.5703125" style="943" customWidth="1"/>
    <col min="13319" max="13329" width="7.42578125" style="943" customWidth="1"/>
    <col min="13330" max="13332" width="6.5703125" style="943" customWidth="1"/>
    <col min="13333" max="13334" width="9.140625" style="943"/>
    <col min="13335" max="13335" width="7.85546875" style="943" customWidth="1"/>
    <col min="13336" max="13570" width="9.140625" style="943"/>
    <col min="13571" max="13571" width="3.7109375" style="943" customWidth="1"/>
    <col min="13572" max="13572" width="14.42578125" style="943" customWidth="1"/>
    <col min="13573" max="13573" width="3.7109375" style="943" customWidth="1"/>
    <col min="13574" max="13574" width="25.5703125" style="943" customWidth="1"/>
    <col min="13575" max="13585" width="7.42578125" style="943" customWidth="1"/>
    <col min="13586" max="13588" width="6.5703125" style="943" customWidth="1"/>
    <col min="13589" max="13590" width="9.140625" style="943"/>
    <col min="13591" max="13591" width="7.85546875" style="943" customWidth="1"/>
    <col min="13592" max="13826" width="9.140625" style="943"/>
    <col min="13827" max="13827" width="3.7109375" style="943" customWidth="1"/>
    <col min="13828" max="13828" width="14.42578125" style="943" customWidth="1"/>
    <col min="13829" max="13829" width="3.7109375" style="943" customWidth="1"/>
    <col min="13830" max="13830" width="25.5703125" style="943" customWidth="1"/>
    <col min="13831" max="13841" width="7.42578125" style="943" customWidth="1"/>
    <col min="13842" max="13844" width="6.5703125" style="943" customWidth="1"/>
    <col min="13845" max="13846" width="9.140625" style="943"/>
    <col min="13847" max="13847" width="7.85546875" style="943" customWidth="1"/>
    <col min="13848" max="14082" width="9.140625" style="943"/>
    <col min="14083" max="14083" width="3.7109375" style="943" customWidth="1"/>
    <col min="14084" max="14084" width="14.42578125" style="943" customWidth="1"/>
    <col min="14085" max="14085" width="3.7109375" style="943" customWidth="1"/>
    <col min="14086" max="14086" width="25.5703125" style="943" customWidth="1"/>
    <col min="14087" max="14097" width="7.42578125" style="943" customWidth="1"/>
    <col min="14098" max="14100" width="6.5703125" style="943" customWidth="1"/>
    <col min="14101" max="14102" width="9.140625" style="943"/>
    <col min="14103" max="14103" width="7.85546875" style="943" customWidth="1"/>
    <col min="14104" max="14338" width="9.140625" style="943"/>
    <col min="14339" max="14339" width="3.7109375" style="943" customWidth="1"/>
    <col min="14340" max="14340" width="14.42578125" style="943" customWidth="1"/>
    <col min="14341" max="14341" width="3.7109375" style="943" customWidth="1"/>
    <col min="14342" max="14342" width="25.5703125" style="943" customWidth="1"/>
    <col min="14343" max="14353" width="7.42578125" style="943" customWidth="1"/>
    <col min="14354" max="14356" width="6.5703125" style="943" customWidth="1"/>
    <col min="14357" max="14358" width="9.140625" style="943"/>
    <col min="14359" max="14359" width="7.85546875" style="943" customWidth="1"/>
    <col min="14360" max="14594" width="9.140625" style="943"/>
    <col min="14595" max="14595" width="3.7109375" style="943" customWidth="1"/>
    <col min="14596" max="14596" width="14.42578125" style="943" customWidth="1"/>
    <col min="14597" max="14597" width="3.7109375" style="943" customWidth="1"/>
    <col min="14598" max="14598" width="25.5703125" style="943" customWidth="1"/>
    <col min="14599" max="14609" width="7.42578125" style="943" customWidth="1"/>
    <col min="14610" max="14612" width="6.5703125" style="943" customWidth="1"/>
    <col min="14613" max="14614" width="9.140625" style="943"/>
    <col min="14615" max="14615" width="7.85546875" style="943" customWidth="1"/>
    <col min="14616" max="14850" width="9.140625" style="943"/>
    <col min="14851" max="14851" width="3.7109375" style="943" customWidth="1"/>
    <col min="14852" max="14852" width="14.42578125" style="943" customWidth="1"/>
    <col min="14853" max="14853" width="3.7109375" style="943" customWidth="1"/>
    <col min="14854" max="14854" width="25.5703125" style="943" customWidth="1"/>
    <col min="14855" max="14865" width="7.42578125" style="943" customWidth="1"/>
    <col min="14866" max="14868" width="6.5703125" style="943" customWidth="1"/>
    <col min="14869" max="14870" width="9.140625" style="943"/>
    <col min="14871" max="14871" width="7.85546875" style="943" customWidth="1"/>
    <col min="14872" max="15106" width="9.140625" style="943"/>
    <col min="15107" max="15107" width="3.7109375" style="943" customWidth="1"/>
    <col min="15108" max="15108" width="14.42578125" style="943" customWidth="1"/>
    <col min="15109" max="15109" width="3.7109375" style="943" customWidth="1"/>
    <col min="15110" max="15110" width="25.5703125" style="943" customWidth="1"/>
    <col min="15111" max="15121" width="7.42578125" style="943" customWidth="1"/>
    <col min="15122" max="15124" width="6.5703125" style="943" customWidth="1"/>
    <col min="15125" max="15126" width="9.140625" style="943"/>
    <col min="15127" max="15127" width="7.85546875" style="943" customWidth="1"/>
    <col min="15128" max="15362" width="9.140625" style="943"/>
    <col min="15363" max="15363" width="3.7109375" style="943" customWidth="1"/>
    <col min="15364" max="15364" width="14.42578125" style="943" customWidth="1"/>
    <col min="15365" max="15365" width="3.7109375" style="943" customWidth="1"/>
    <col min="15366" max="15366" width="25.5703125" style="943" customWidth="1"/>
    <col min="15367" max="15377" width="7.42578125" style="943" customWidth="1"/>
    <col min="15378" max="15380" width="6.5703125" style="943" customWidth="1"/>
    <col min="15381" max="15382" width="9.140625" style="943"/>
    <col min="15383" max="15383" width="7.85546875" style="943" customWidth="1"/>
    <col min="15384" max="15618" width="9.140625" style="943"/>
    <col min="15619" max="15619" width="3.7109375" style="943" customWidth="1"/>
    <col min="15620" max="15620" width="14.42578125" style="943" customWidth="1"/>
    <col min="15621" max="15621" width="3.7109375" style="943" customWidth="1"/>
    <col min="15622" max="15622" width="25.5703125" style="943" customWidth="1"/>
    <col min="15623" max="15633" width="7.42578125" style="943" customWidth="1"/>
    <col min="15634" max="15636" width="6.5703125" style="943" customWidth="1"/>
    <col min="15637" max="15638" width="9.140625" style="943"/>
    <col min="15639" max="15639" width="7.85546875" style="943" customWidth="1"/>
    <col min="15640" max="15874" width="9.140625" style="943"/>
    <col min="15875" max="15875" width="3.7109375" style="943" customWidth="1"/>
    <col min="15876" max="15876" width="14.42578125" style="943" customWidth="1"/>
    <col min="15877" max="15877" width="3.7109375" style="943" customWidth="1"/>
    <col min="15878" max="15878" width="25.5703125" style="943" customWidth="1"/>
    <col min="15879" max="15889" width="7.42578125" style="943" customWidth="1"/>
    <col min="15890" max="15892" width="6.5703125" style="943" customWidth="1"/>
    <col min="15893" max="15894" width="9.140625" style="943"/>
    <col min="15895" max="15895" width="7.85546875" style="943" customWidth="1"/>
    <col min="15896" max="16130" width="9.140625" style="943"/>
    <col min="16131" max="16131" width="3.7109375" style="943" customWidth="1"/>
    <col min="16132" max="16132" width="14.42578125" style="943" customWidth="1"/>
    <col min="16133" max="16133" width="3.7109375" style="943" customWidth="1"/>
    <col min="16134" max="16134" width="25.5703125" style="943" customWidth="1"/>
    <col min="16135" max="16145" width="7.42578125" style="943" customWidth="1"/>
    <col min="16146" max="16148" width="6.5703125" style="943" customWidth="1"/>
    <col min="16149" max="16150" width="9.140625" style="943"/>
    <col min="16151" max="16151" width="7.85546875" style="943" customWidth="1"/>
    <col min="16152" max="16384" width="9.140625" style="943"/>
  </cols>
  <sheetData>
    <row r="1" spans="1:25" x14ac:dyDescent="0.2">
      <c r="R1" s="943" t="s">
        <v>167</v>
      </c>
    </row>
    <row r="2" spans="1:25" ht="14.1" customHeight="1" x14ac:dyDescent="0.2">
      <c r="A2" s="1">
        <v>1</v>
      </c>
      <c r="B2" s="1" t="s">
        <v>0</v>
      </c>
      <c r="C2" s="1">
        <v>33</v>
      </c>
      <c r="D2" s="4148" t="s">
        <v>1796</v>
      </c>
      <c r="E2" s="4149"/>
      <c r="F2" s="4149"/>
      <c r="G2" s="4149"/>
      <c r="H2" s="4149"/>
      <c r="I2" s="4149"/>
      <c r="J2" s="4149"/>
      <c r="K2" s="4149"/>
      <c r="L2" s="4149"/>
      <c r="M2" s="4149"/>
      <c r="N2" s="4149"/>
      <c r="O2" s="4149"/>
      <c r="P2" s="4149"/>
      <c r="Q2" s="4149"/>
      <c r="R2" s="4149"/>
      <c r="S2" s="4149"/>
      <c r="T2" s="4149"/>
      <c r="U2" s="4149"/>
      <c r="V2" s="4149"/>
      <c r="W2" s="4150"/>
      <c r="X2" s="2037"/>
    </row>
    <row r="3" spans="1:25" ht="14.1" customHeight="1" x14ac:dyDescent="0.2">
      <c r="A3" s="1">
        <v>2</v>
      </c>
      <c r="B3" s="1" t="s">
        <v>2</v>
      </c>
      <c r="C3" s="1"/>
      <c r="D3" s="4156" t="s">
        <v>802</v>
      </c>
      <c r="E3" s="4157"/>
      <c r="F3" s="4157"/>
      <c r="G3" s="4157"/>
      <c r="H3" s="4157"/>
      <c r="I3" s="4157"/>
      <c r="J3" s="4157"/>
      <c r="K3" s="4157"/>
      <c r="L3" s="4157"/>
      <c r="M3" s="4157"/>
      <c r="N3" s="4157"/>
      <c r="O3" s="4157"/>
      <c r="P3" s="4157"/>
      <c r="Q3" s="4157"/>
      <c r="R3" s="4157"/>
      <c r="S3" s="4157"/>
      <c r="T3" s="4157"/>
      <c r="U3" s="4157"/>
      <c r="V3" s="4157"/>
      <c r="W3" s="4158"/>
      <c r="X3" s="2038"/>
    </row>
    <row r="4" spans="1:25" ht="14.1" customHeight="1" x14ac:dyDescent="0.2">
      <c r="A4" s="1">
        <v>3</v>
      </c>
      <c r="B4" s="1" t="s">
        <v>4</v>
      </c>
      <c r="C4" s="1"/>
      <c r="D4" s="4156" t="s">
        <v>803</v>
      </c>
      <c r="E4" s="4157"/>
      <c r="F4" s="4157"/>
      <c r="G4" s="4157"/>
      <c r="H4" s="4157"/>
      <c r="I4" s="4157"/>
      <c r="J4" s="4157"/>
      <c r="K4" s="4157"/>
      <c r="L4" s="4157"/>
      <c r="M4" s="4157"/>
      <c r="N4" s="4157"/>
      <c r="O4" s="4157"/>
      <c r="P4" s="4157"/>
      <c r="Q4" s="4157"/>
      <c r="R4" s="4157"/>
      <c r="S4" s="4157"/>
      <c r="T4" s="4157"/>
      <c r="U4" s="4157"/>
      <c r="V4" s="4157"/>
      <c r="W4" s="4158"/>
      <c r="X4" s="2038"/>
    </row>
    <row r="5" spans="1:25" ht="14.1" customHeight="1" x14ac:dyDescent="0.2">
      <c r="A5" s="1">
        <v>4</v>
      </c>
      <c r="B5" s="1" t="s">
        <v>804</v>
      </c>
      <c r="C5" s="1"/>
      <c r="D5" s="4156" t="s">
        <v>823</v>
      </c>
      <c r="E5" s="4157"/>
      <c r="F5" s="4157"/>
      <c r="G5" s="4157"/>
      <c r="H5" s="4157"/>
      <c r="I5" s="4157"/>
      <c r="J5" s="4157"/>
      <c r="K5" s="4157"/>
      <c r="L5" s="4157"/>
      <c r="M5" s="4157"/>
      <c r="N5" s="4157"/>
      <c r="O5" s="4157"/>
      <c r="P5" s="4157"/>
      <c r="Q5" s="4157"/>
      <c r="R5" s="4157"/>
      <c r="S5" s="4157"/>
      <c r="T5" s="4157"/>
      <c r="U5" s="4157"/>
      <c r="V5" s="4157"/>
      <c r="W5" s="4158"/>
      <c r="X5" s="2038"/>
    </row>
    <row r="6" spans="1:25" ht="14.1" customHeight="1" x14ac:dyDescent="0.2">
      <c r="A6" s="1"/>
      <c r="B6" s="1"/>
      <c r="C6" s="1"/>
      <c r="D6" s="2038"/>
      <c r="E6" s="2038"/>
      <c r="F6" s="2038"/>
      <c r="G6" s="2038"/>
      <c r="H6" s="2038"/>
      <c r="I6" s="2038"/>
      <c r="J6" s="2038"/>
      <c r="K6" s="2038"/>
      <c r="L6" s="2038"/>
      <c r="M6" s="2038"/>
      <c r="N6" s="2038"/>
      <c r="O6" s="2038"/>
      <c r="P6" s="2038"/>
      <c r="Q6" s="2038"/>
      <c r="R6" s="2038"/>
      <c r="S6" s="2038"/>
      <c r="T6" s="2038"/>
      <c r="U6" s="2038"/>
      <c r="V6" s="2038"/>
      <c r="W6" s="2038"/>
      <c r="X6" s="2038"/>
    </row>
    <row r="7" spans="1:25" ht="2.25" customHeight="1" x14ac:dyDescent="0.2">
      <c r="A7" s="1"/>
      <c r="B7" s="1"/>
      <c r="C7" s="1"/>
      <c r="D7" s="4241"/>
      <c r="E7" s="4242"/>
      <c r="F7" s="4242"/>
      <c r="G7" s="4242"/>
      <c r="H7" s="4242"/>
      <c r="I7" s="4242"/>
      <c r="J7" s="4242"/>
      <c r="K7" s="4242"/>
      <c r="L7" s="4242"/>
      <c r="M7" s="4242"/>
      <c r="N7" s="4242"/>
      <c r="O7" s="4242"/>
      <c r="P7" s="4242"/>
      <c r="Q7" s="4242"/>
      <c r="R7" s="4242"/>
      <c r="S7" s="4242"/>
      <c r="T7" s="4242"/>
      <c r="U7" s="4242"/>
      <c r="V7" s="4242"/>
      <c r="W7" s="4243"/>
      <c r="X7" s="2038"/>
    </row>
    <row r="8" spans="1:25" ht="13.5" hidden="1" customHeight="1" x14ac:dyDescent="0.2">
      <c r="A8" s="1"/>
      <c r="B8" s="1"/>
      <c r="C8" s="1"/>
      <c r="D8" s="4241"/>
      <c r="E8" s="4242"/>
      <c r="F8" s="4242"/>
      <c r="G8" s="4242"/>
      <c r="H8" s="4242"/>
      <c r="I8" s="4242"/>
      <c r="J8" s="4242"/>
      <c r="K8" s="4242"/>
      <c r="L8" s="4242"/>
      <c r="M8" s="4242"/>
      <c r="N8" s="4242"/>
      <c r="O8" s="4242"/>
      <c r="P8" s="4242"/>
      <c r="Q8" s="4242"/>
      <c r="R8" s="4242"/>
      <c r="S8" s="4242"/>
      <c r="T8" s="4242"/>
      <c r="U8" s="4242"/>
      <c r="V8" s="4242"/>
      <c r="W8" s="4243"/>
      <c r="X8" s="2038"/>
    </row>
    <row r="9" spans="1:25" ht="13.5" hidden="1" customHeight="1" x14ac:dyDescent="0.2">
      <c r="A9" s="1"/>
      <c r="B9" s="1"/>
      <c r="C9" s="1"/>
      <c r="D9" s="4241"/>
      <c r="E9" s="4242"/>
      <c r="F9" s="4242"/>
      <c r="G9" s="4242"/>
      <c r="H9" s="4242"/>
      <c r="I9" s="4242"/>
      <c r="J9" s="4242"/>
      <c r="K9" s="4242"/>
      <c r="L9" s="4242"/>
      <c r="M9" s="4242"/>
      <c r="N9" s="4242"/>
      <c r="O9" s="4242"/>
      <c r="P9" s="4242"/>
      <c r="Q9" s="4242"/>
      <c r="R9" s="4242"/>
      <c r="S9" s="4242"/>
      <c r="T9" s="4242"/>
      <c r="U9" s="4242"/>
      <c r="V9" s="4242"/>
      <c r="W9" s="4243"/>
      <c r="X9" s="2038"/>
    </row>
    <row r="10" spans="1:25" ht="13.5" hidden="1" customHeight="1" x14ac:dyDescent="0.2">
      <c r="A10" s="1"/>
      <c r="B10" s="1"/>
      <c r="C10" s="1"/>
      <c r="D10" s="4241"/>
      <c r="E10" s="4242"/>
      <c r="F10" s="4242"/>
      <c r="G10" s="4242"/>
      <c r="H10" s="4242"/>
      <c r="I10" s="4242"/>
      <c r="J10" s="4242"/>
      <c r="K10" s="4242"/>
      <c r="L10" s="4242"/>
      <c r="M10" s="4242"/>
      <c r="N10" s="4242"/>
      <c r="O10" s="4242"/>
      <c r="P10" s="4242"/>
      <c r="Q10" s="4242"/>
      <c r="R10" s="4242"/>
      <c r="S10" s="4242"/>
      <c r="T10" s="4242"/>
      <c r="U10" s="4242"/>
      <c r="V10" s="4242"/>
      <c r="W10" s="4243"/>
      <c r="X10" s="2038"/>
    </row>
    <row r="11" spans="1:25" ht="13.5" hidden="1" customHeight="1" x14ac:dyDescent="0.2">
      <c r="A11" s="1"/>
      <c r="B11" s="1"/>
      <c r="C11" s="1"/>
      <c r="D11" s="4244"/>
      <c r="E11" s="4245"/>
      <c r="F11" s="4245"/>
      <c r="G11" s="4245"/>
      <c r="H11" s="4245"/>
      <c r="I11" s="4245"/>
      <c r="J11" s="4245"/>
      <c r="K11" s="4245"/>
      <c r="L11" s="4245"/>
      <c r="M11" s="4245"/>
      <c r="N11" s="4245"/>
      <c r="O11" s="4245"/>
      <c r="P11" s="4245"/>
      <c r="Q11" s="4245"/>
      <c r="R11" s="4245"/>
      <c r="S11" s="4245"/>
      <c r="T11" s="4245"/>
      <c r="U11" s="4245"/>
      <c r="V11" s="4245"/>
      <c r="W11" s="4246"/>
      <c r="X11" s="2038"/>
    </row>
    <row r="12" spans="1:25" ht="14.25" x14ac:dyDescent="0.2">
      <c r="A12" s="943"/>
      <c r="B12" s="943"/>
      <c r="C12" s="12"/>
      <c r="D12" s="2039"/>
      <c r="E12" s="3"/>
      <c r="F12" s="3"/>
      <c r="G12" s="3"/>
      <c r="H12" s="3"/>
      <c r="I12" s="3"/>
      <c r="J12" s="3"/>
      <c r="K12" s="3"/>
    </row>
    <row r="13" spans="1:25" ht="14.25" x14ac:dyDescent="0.2">
      <c r="A13" s="1">
        <v>5</v>
      </c>
      <c r="B13" s="12" t="s">
        <v>5</v>
      </c>
      <c r="C13" s="12"/>
      <c r="D13" s="3953" t="s">
        <v>40</v>
      </c>
      <c r="E13" s="3954" t="s">
        <v>824</v>
      </c>
      <c r="F13" s="2041"/>
      <c r="G13" s="749"/>
      <c r="H13" s="749"/>
      <c r="I13" s="3"/>
      <c r="J13" s="3"/>
      <c r="K13" s="3"/>
    </row>
    <row r="14" spans="1:25" ht="14.25" x14ac:dyDescent="0.2">
      <c r="A14" s="1"/>
      <c r="B14" s="12"/>
      <c r="C14" s="12"/>
      <c r="D14" s="2042"/>
      <c r="E14" s="904"/>
      <c r="F14" s="904"/>
      <c r="G14" s="904"/>
      <c r="H14" s="904"/>
      <c r="I14" s="2000">
        <v>2002</v>
      </c>
      <c r="J14" s="2000">
        <v>2003</v>
      </c>
      <c r="K14" s="2000">
        <v>2004</v>
      </c>
      <c r="L14" s="2000">
        <v>2005</v>
      </c>
      <c r="M14" s="2000">
        <v>2006</v>
      </c>
      <c r="N14" s="2000">
        <v>2007</v>
      </c>
      <c r="O14" s="2000">
        <v>2008</v>
      </c>
      <c r="P14" s="2000">
        <v>2009</v>
      </c>
      <c r="Q14" s="2000">
        <v>2010</v>
      </c>
      <c r="R14" s="2000">
        <v>2011</v>
      </c>
      <c r="S14" s="2000">
        <v>2012</v>
      </c>
      <c r="T14" s="2000">
        <v>2013</v>
      </c>
      <c r="U14" s="2000">
        <v>2014</v>
      </c>
      <c r="V14" s="2000">
        <v>2015</v>
      </c>
      <c r="W14" s="2043">
        <v>2016</v>
      </c>
      <c r="X14" s="2043">
        <v>2017</v>
      </c>
      <c r="Y14" s="2020">
        <v>2018</v>
      </c>
    </row>
    <row r="15" spans="1:25" ht="14.25" x14ac:dyDescent="0.2">
      <c r="A15" s="1"/>
      <c r="B15" s="12"/>
      <c r="C15" s="2044"/>
      <c r="D15" s="1924" t="s">
        <v>825</v>
      </c>
      <c r="E15" s="17"/>
      <c r="F15" s="17"/>
      <c r="G15" s="17"/>
      <c r="H15" s="17"/>
      <c r="I15" s="27">
        <v>53.2</v>
      </c>
      <c r="J15" s="27">
        <v>52.8</v>
      </c>
      <c r="K15" s="27">
        <v>52.3</v>
      </c>
      <c r="L15" s="27">
        <v>51.8</v>
      </c>
      <c r="M15" s="27">
        <v>51.2</v>
      </c>
      <c r="N15" s="27">
        <v>50.4</v>
      </c>
      <c r="O15" s="27">
        <v>49.5</v>
      </c>
      <c r="P15" s="27">
        <v>45.8</v>
      </c>
      <c r="Q15" s="27">
        <v>45.4</v>
      </c>
      <c r="R15" s="27">
        <v>44.8</v>
      </c>
      <c r="S15" s="27">
        <v>42.4</v>
      </c>
      <c r="T15" s="27">
        <v>39.799999999999997</v>
      </c>
      <c r="U15" s="2011">
        <v>38.299999999999997</v>
      </c>
      <c r="V15" s="2011">
        <v>38.4</v>
      </c>
      <c r="W15" s="2045">
        <v>37.9</v>
      </c>
      <c r="X15" s="2045">
        <v>37</v>
      </c>
      <c r="Y15" s="2046">
        <v>36.4</v>
      </c>
    </row>
    <row r="16" spans="1:25" ht="14.25" x14ac:dyDescent="0.2">
      <c r="A16" s="1"/>
      <c r="B16" s="12"/>
      <c r="C16" s="2044"/>
      <c r="D16" s="2047" t="s">
        <v>826</v>
      </c>
      <c r="E16" s="18"/>
      <c r="F16" s="18"/>
      <c r="G16" s="18"/>
      <c r="H16" s="2048"/>
      <c r="I16" s="34">
        <v>80.099999999999994</v>
      </c>
      <c r="J16" s="34">
        <v>79.5</v>
      </c>
      <c r="K16" s="34">
        <v>78.599999999999994</v>
      </c>
      <c r="L16" s="2015">
        <v>78</v>
      </c>
      <c r="M16" s="34">
        <v>76.900000000000006</v>
      </c>
      <c r="N16" s="34">
        <v>75.5</v>
      </c>
      <c r="O16" s="34">
        <v>73.599999999999994</v>
      </c>
      <c r="P16" s="34">
        <v>68.900000000000006</v>
      </c>
      <c r="Q16" s="34">
        <v>66.900000000000006</v>
      </c>
      <c r="R16" s="34">
        <v>60.8</v>
      </c>
      <c r="S16" s="34">
        <v>54.7</v>
      </c>
      <c r="T16" s="34">
        <v>50.2</v>
      </c>
      <c r="U16" s="34">
        <v>48.1</v>
      </c>
      <c r="V16" s="2015">
        <v>48</v>
      </c>
      <c r="W16" s="2049">
        <v>47.4</v>
      </c>
      <c r="X16" s="2049">
        <v>46.1</v>
      </c>
      <c r="Y16" s="2050">
        <v>45</v>
      </c>
    </row>
    <row r="17" spans="1:25" hidden="1" x14ac:dyDescent="0.2">
      <c r="B17" s="5"/>
      <c r="C17" s="5"/>
      <c r="D17" s="2051"/>
      <c r="E17" s="1775">
        <v>1998</v>
      </c>
      <c r="F17" s="1775">
        <v>1999</v>
      </c>
      <c r="G17" s="1775">
        <v>2000</v>
      </c>
      <c r="H17" s="1775">
        <v>2001</v>
      </c>
      <c r="I17" s="1775">
        <v>2002</v>
      </c>
      <c r="J17" s="1775">
        <v>2003</v>
      </c>
      <c r="K17" s="1775">
        <v>2004</v>
      </c>
      <c r="L17" s="1775">
        <v>2005</v>
      </c>
      <c r="M17" s="1775">
        <v>2006</v>
      </c>
      <c r="N17" s="1775">
        <v>2007</v>
      </c>
      <c r="O17" s="1775">
        <v>2008</v>
      </c>
      <c r="P17" s="1775">
        <v>2009</v>
      </c>
      <c r="Q17" s="1775">
        <v>2010</v>
      </c>
      <c r="R17" s="1775">
        <v>2011</v>
      </c>
      <c r="S17" s="1775">
        <v>2012</v>
      </c>
      <c r="T17" s="1775">
        <v>2013</v>
      </c>
      <c r="U17" s="1775">
        <v>2014</v>
      </c>
      <c r="V17" s="2052">
        <v>2015</v>
      </c>
      <c r="W17" s="2041"/>
      <c r="X17" s="2041"/>
      <c r="Y17" s="2053"/>
    </row>
    <row r="18" spans="1:25" ht="15.75" hidden="1" customHeight="1" x14ac:dyDescent="0.2">
      <c r="B18" s="5"/>
      <c r="C18" s="2044">
        <v>2</v>
      </c>
      <c r="D18" s="2054" t="s">
        <v>827</v>
      </c>
      <c r="E18" s="2041"/>
      <c r="F18" s="2041"/>
      <c r="G18" s="2041"/>
      <c r="H18" s="2041"/>
      <c r="I18" s="2041"/>
      <c r="J18" s="2041"/>
      <c r="K18" s="2041"/>
      <c r="L18" s="2041"/>
      <c r="M18" s="2041"/>
      <c r="N18" s="2041"/>
      <c r="O18" s="2041"/>
      <c r="P18" s="2041"/>
      <c r="Q18" s="2041"/>
      <c r="R18" s="2041"/>
      <c r="S18" s="2041"/>
      <c r="T18" s="2041"/>
      <c r="U18" s="2041"/>
      <c r="V18" s="2053"/>
      <c r="W18" s="2041"/>
      <c r="X18" s="2041"/>
      <c r="Y18" s="2053"/>
    </row>
    <row r="19" spans="1:25" ht="15.75" hidden="1" customHeight="1" x14ac:dyDescent="0.2">
      <c r="B19" s="2055"/>
      <c r="C19" s="2056"/>
      <c r="D19" s="1863" t="s">
        <v>828</v>
      </c>
      <c r="E19" s="17"/>
      <c r="F19" s="17"/>
      <c r="G19" s="17"/>
      <c r="H19" s="17">
        <v>28.8</v>
      </c>
      <c r="I19" s="17">
        <v>33.1</v>
      </c>
      <c r="J19" s="17">
        <v>36.5</v>
      </c>
      <c r="K19" s="17">
        <v>38.1</v>
      </c>
      <c r="L19" s="2041"/>
      <c r="M19" s="2041"/>
      <c r="N19" s="2041"/>
      <c r="O19" s="2041"/>
      <c r="P19" s="2041"/>
      <c r="Q19" s="2041"/>
      <c r="R19" s="2041"/>
      <c r="S19" s="2041"/>
      <c r="T19" s="2041"/>
      <c r="U19" s="2041"/>
      <c r="V19" s="2053"/>
      <c r="W19" s="2041"/>
      <c r="X19" s="2041"/>
      <c r="Y19" s="2053"/>
    </row>
    <row r="20" spans="1:25" ht="15.75" hidden="1" customHeight="1" x14ac:dyDescent="0.2">
      <c r="B20" s="2055"/>
      <c r="C20" s="2056"/>
      <c r="D20" s="2057" t="s">
        <v>829</v>
      </c>
      <c r="E20" s="17"/>
      <c r="F20" s="17"/>
      <c r="G20" s="17"/>
      <c r="H20" s="17">
        <v>39.6</v>
      </c>
      <c r="I20" s="17">
        <v>44.7</v>
      </c>
      <c r="J20" s="17">
        <v>49.3</v>
      </c>
      <c r="K20" s="17">
        <v>52.8</v>
      </c>
      <c r="L20" s="2041"/>
      <c r="M20" s="2041"/>
      <c r="N20" s="2041"/>
      <c r="O20" s="2041"/>
      <c r="P20" s="2041"/>
      <c r="Q20" s="2041"/>
      <c r="R20" s="2041"/>
      <c r="S20" s="2041"/>
      <c r="T20" s="2041"/>
      <c r="U20" s="2058"/>
      <c r="V20" s="2059"/>
      <c r="W20" s="2041"/>
      <c r="X20" s="2041"/>
      <c r="Y20" s="2053"/>
    </row>
    <row r="21" spans="1:25" ht="15.75" hidden="1" customHeight="1" x14ac:dyDescent="0.2">
      <c r="B21" s="2055"/>
      <c r="C21" s="2056">
        <v>3</v>
      </c>
      <c r="D21" s="2060" t="s">
        <v>830</v>
      </c>
      <c r="E21" s="2061"/>
      <c r="F21" s="2061"/>
      <c r="G21" s="2061"/>
      <c r="H21" s="2061"/>
      <c r="I21" s="2061"/>
      <c r="J21" s="2061"/>
      <c r="K21" s="2061"/>
      <c r="L21" s="2062"/>
      <c r="M21" s="2062"/>
      <c r="N21" s="2062"/>
      <c r="O21" s="2062"/>
      <c r="P21" s="2062"/>
      <c r="Q21" s="2062"/>
      <c r="R21" s="2062"/>
      <c r="S21" s="2062"/>
      <c r="T21" s="2062"/>
      <c r="U21" s="2041"/>
      <c r="V21" s="2053"/>
      <c r="W21" s="2041"/>
      <c r="X21" s="2041"/>
      <c r="Y21" s="2053"/>
    </row>
    <row r="22" spans="1:25" ht="15.75" hidden="1" customHeight="1" x14ac:dyDescent="0.2">
      <c r="B22" s="2055"/>
      <c r="C22" s="2056"/>
      <c r="D22" s="1863" t="s">
        <v>828</v>
      </c>
      <c r="E22" s="17">
        <v>55</v>
      </c>
      <c r="F22" s="17">
        <v>56</v>
      </c>
      <c r="G22" s="17">
        <v>58</v>
      </c>
      <c r="H22" s="17">
        <v>58</v>
      </c>
      <c r="I22" s="17">
        <v>59</v>
      </c>
      <c r="J22" s="17">
        <v>59</v>
      </c>
      <c r="K22" s="17">
        <v>59</v>
      </c>
      <c r="L22" s="2041"/>
      <c r="M22" s="2041"/>
      <c r="N22" s="2041"/>
      <c r="O22" s="2041"/>
      <c r="P22" s="2041"/>
      <c r="Q22" s="2041"/>
      <c r="R22" s="2041"/>
      <c r="S22" s="2041"/>
      <c r="T22" s="2041"/>
      <c r="U22" s="2041"/>
      <c r="V22" s="2053"/>
      <c r="W22" s="2041"/>
      <c r="X22" s="2041"/>
      <c r="Y22" s="2053"/>
    </row>
    <row r="23" spans="1:25" ht="15.75" hidden="1" customHeight="1" x14ac:dyDescent="0.2">
      <c r="B23" s="2055"/>
      <c r="C23" s="2056"/>
      <c r="D23" s="2057" t="s">
        <v>829</v>
      </c>
      <c r="E23" s="2063">
        <v>81</v>
      </c>
      <c r="F23" s="2063">
        <v>86</v>
      </c>
      <c r="G23" s="2063">
        <v>91</v>
      </c>
      <c r="H23" s="2063">
        <v>96</v>
      </c>
      <c r="I23" s="2063">
        <v>100</v>
      </c>
      <c r="J23" s="2063">
        <v>104</v>
      </c>
      <c r="K23" s="2063">
        <v>106</v>
      </c>
      <c r="L23" s="2058"/>
      <c r="M23" s="2058"/>
      <c r="N23" s="2058"/>
      <c r="O23" s="2058"/>
      <c r="P23" s="2058"/>
      <c r="Q23" s="2058"/>
      <c r="R23" s="2058"/>
      <c r="S23" s="2058"/>
      <c r="T23" s="2058"/>
      <c r="U23" s="2058"/>
      <c r="V23" s="2059"/>
      <c r="W23" s="2041"/>
      <c r="X23" s="2041"/>
      <c r="Y23" s="2053"/>
    </row>
    <row r="24" spans="1:25" ht="15.75" hidden="1" customHeight="1" x14ac:dyDescent="0.2">
      <c r="C24" s="2056">
        <v>4</v>
      </c>
      <c r="D24" s="2060" t="s">
        <v>831</v>
      </c>
      <c r="E24" s="2041"/>
      <c r="F24" s="2041"/>
      <c r="G24" s="2041"/>
      <c r="H24" s="2041"/>
      <c r="I24" s="2041"/>
      <c r="J24" s="2041"/>
      <c r="K24" s="2041"/>
      <c r="L24" s="2041"/>
      <c r="M24" s="2041"/>
      <c r="N24" s="2041"/>
      <c r="O24" s="2041"/>
      <c r="P24" s="2041"/>
      <c r="Q24" s="2041"/>
      <c r="R24" s="2041"/>
      <c r="S24" s="2041"/>
      <c r="T24" s="2041"/>
      <c r="U24" s="2041"/>
      <c r="V24" s="2064"/>
      <c r="W24" s="2041"/>
      <c r="X24" s="2041"/>
      <c r="Y24" s="2053"/>
    </row>
    <row r="25" spans="1:25" ht="15.75" hidden="1" customHeight="1" x14ac:dyDescent="0.2">
      <c r="C25" s="2056"/>
      <c r="D25" s="1863" t="s">
        <v>828</v>
      </c>
      <c r="E25" s="17">
        <v>48</v>
      </c>
      <c r="F25" s="2041"/>
      <c r="G25" s="2041"/>
      <c r="H25" s="2041"/>
      <c r="I25" s="2041"/>
      <c r="J25" s="17">
        <v>43</v>
      </c>
      <c r="K25" s="2041"/>
      <c r="L25" s="2041"/>
      <c r="M25" s="2041"/>
      <c r="N25" s="2041"/>
      <c r="O25" s="2041"/>
      <c r="P25" s="2041"/>
      <c r="Q25" s="2041"/>
      <c r="R25" s="2041"/>
      <c r="S25" s="2041"/>
      <c r="T25" s="2041"/>
      <c r="U25" s="2041"/>
      <c r="V25" s="2053"/>
      <c r="W25" s="2041"/>
      <c r="X25" s="2041"/>
      <c r="Y25" s="2053"/>
    </row>
    <row r="26" spans="1:25" ht="15.75" hidden="1" customHeight="1" x14ac:dyDescent="0.2">
      <c r="B26" s="2055"/>
      <c r="C26" s="2056"/>
      <c r="D26" s="1863" t="s">
        <v>829</v>
      </c>
      <c r="E26" s="2065"/>
      <c r="F26" s="2065"/>
      <c r="G26" s="2065"/>
      <c r="H26" s="2065"/>
      <c r="I26" s="2065"/>
      <c r="J26" s="2065">
        <v>58</v>
      </c>
      <c r="K26" s="2065"/>
      <c r="L26" s="2065"/>
      <c r="M26" s="2065"/>
      <c r="N26" s="2065"/>
      <c r="O26" s="2065"/>
      <c r="P26" s="2065"/>
      <c r="Q26" s="2065"/>
      <c r="R26" s="2065"/>
      <c r="S26" s="2065"/>
      <c r="T26" s="2065"/>
      <c r="U26" s="2065"/>
      <c r="V26" s="2053"/>
      <c r="W26" s="2041"/>
      <c r="X26" s="2041"/>
      <c r="Y26" s="2053"/>
    </row>
    <row r="27" spans="1:25" ht="15.75" customHeight="1" x14ac:dyDescent="0.2">
      <c r="B27" s="2055"/>
      <c r="C27" s="2056"/>
      <c r="D27" s="3955" t="s">
        <v>67</v>
      </c>
      <c r="E27" s="3956" t="s">
        <v>832</v>
      </c>
      <c r="F27" s="904"/>
      <c r="G27" s="904"/>
      <c r="H27" s="904"/>
      <c r="I27" s="904"/>
      <c r="J27" s="904"/>
      <c r="K27" s="904"/>
      <c r="L27" s="904"/>
      <c r="M27" s="904"/>
      <c r="N27" s="904"/>
      <c r="O27" s="2067"/>
      <c r="P27" s="2068"/>
      <c r="Q27" s="2068"/>
      <c r="R27" s="2068"/>
      <c r="S27" s="2068"/>
      <c r="T27" s="2068"/>
      <c r="U27" s="2068"/>
      <c r="V27" s="2068"/>
      <c r="W27" s="2068"/>
      <c r="X27" s="3665"/>
      <c r="Y27" s="2053"/>
    </row>
    <row r="28" spans="1:25" x14ac:dyDescent="0.2">
      <c r="B28" s="2055"/>
      <c r="C28" s="2056"/>
      <c r="D28" s="1863" t="s">
        <v>828</v>
      </c>
      <c r="E28" s="2065"/>
      <c r="F28" s="2065"/>
      <c r="G28" s="2065"/>
      <c r="H28" s="2065"/>
      <c r="I28" s="2065"/>
      <c r="J28" s="2065"/>
      <c r="K28" s="2065"/>
      <c r="L28" s="2065"/>
      <c r="M28" s="2065"/>
      <c r="N28" s="2065"/>
      <c r="O28" s="2065"/>
      <c r="P28" s="2069">
        <v>39</v>
      </c>
      <c r="Q28" s="2069">
        <v>35</v>
      </c>
      <c r="R28" s="2069">
        <v>28</v>
      </c>
      <c r="S28" s="2069">
        <v>27</v>
      </c>
      <c r="T28" s="2069">
        <v>29</v>
      </c>
      <c r="U28" s="2069">
        <v>28</v>
      </c>
      <c r="V28" s="2069">
        <v>27</v>
      </c>
      <c r="W28" s="2069">
        <v>25</v>
      </c>
      <c r="X28" s="3666"/>
      <c r="Y28" s="2053"/>
    </row>
    <row r="29" spans="1:25" ht="15.75" customHeight="1" x14ac:dyDescent="0.2">
      <c r="B29" s="2055"/>
      <c r="C29" s="2056"/>
      <c r="D29" s="1866" t="s">
        <v>829</v>
      </c>
      <c r="E29" s="2070"/>
      <c r="F29" s="2070"/>
      <c r="G29" s="2070"/>
      <c r="H29" s="2070"/>
      <c r="I29" s="2070"/>
      <c r="J29" s="2070"/>
      <c r="K29" s="2070"/>
      <c r="L29" s="2070"/>
      <c r="M29" s="2070"/>
      <c r="N29" s="2070"/>
      <c r="O29" s="2070"/>
      <c r="P29" s="2071">
        <v>56</v>
      </c>
      <c r="Q29" s="2071">
        <v>52</v>
      </c>
      <c r="R29" s="2071">
        <v>40</v>
      </c>
      <c r="S29" s="2071">
        <v>41</v>
      </c>
      <c r="T29" s="2071">
        <v>41</v>
      </c>
      <c r="U29" s="2071">
        <v>40</v>
      </c>
      <c r="V29" s="2071">
        <v>37</v>
      </c>
      <c r="W29" s="2071">
        <v>34</v>
      </c>
      <c r="X29" s="3667"/>
      <c r="Y29" s="2072"/>
    </row>
    <row r="30" spans="1:25" s="2076" customFormat="1" ht="15.75" customHeight="1" x14ac:dyDescent="0.2">
      <c r="A30" s="2035"/>
      <c r="B30" s="2073"/>
      <c r="C30" s="2073"/>
      <c r="D30" s="2074"/>
      <c r="E30" s="2075"/>
      <c r="F30" s="2075"/>
      <c r="G30" s="2075"/>
      <c r="H30" s="2075"/>
      <c r="I30" s="698"/>
      <c r="J30" s="698"/>
      <c r="K30" s="698"/>
      <c r="L30" s="698"/>
      <c r="M30" s="698"/>
      <c r="N30" s="698"/>
      <c r="O30" s="695"/>
      <c r="P30" s="695"/>
      <c r="Q30" s="695"/>
      <c r="R30" s="695"/>
      <c r="S30" s="695"/>
      <c r="T30" s="695"/>
      <c r="U30" s="695"/>
      <c r="V30" s="695"/>
      <c r="W30" s="695"/>
      <c r="X30" s="695"/>
      <c r="Y30" s="695"/>
    </row>
    <row r="31" spans="1:25" ht="15" customHeight="1" x14ac:dyDescent="0.2">
      <c r="A31" s="1">
        <v>6</v>
      </c>
      <c r="B31" s="1" t="s">
        <v>29</v>
      </c>
      <c r="C31" s="1"/>
      <c r="D31" s="2078" t="s">
        <v>168</v>
      </c>
      <c r="E31" s="2079"/>
      <c r="F31" s="2079"/>
      <c r="G31" s="2079"/>
      <c r="H31" s="2079"/>
      <c r="I31" s="2079"/>
      <c r="J31" s="2079"/>
      <c r="K31" s="2079"/>
      <c r="L31" s="2079"/>
      <c r="M31" s="2079"/>
      <c r="N31" s="2079"/>
      <c r="O31" s="2079"/>
      <c r="P31" s="2079"/>
      <c r="Q31" s="2079"/>
      <c r="R31" s="2079"/>
      <c r="S31" s="2079"/>
      <c r="T31" s="2079"/>
      <c r="U31" s="2079"/>
      <c r="V31" s="2079"/>
      <c r="W31" s="2080"/>
      <c r="X31" s="2081"/>
      <c r="Y31" s="2077"/>
    </row>
    <row r="32" spans="1:25" ht="26.25" customHeight="1" x14ac:dyDescent="0.2">
      <c r="A32" s="40">
        <v>7</v>
      </c>
      <c r="B32" s="40" t="s">
        <v>32</v>
      </c>
      <c r="C32" s="40"/>
      <c r="D32" s="4235" t="s">
        <v>1797</v>
      </c>
      <c r="E32" s="4236"/>
      <c r="F32" s="4236"/>
      <c r="G32" s="4236"/>
      <c r="H32" s="4236"/>
      <c r="I32" s="4236"/>
      <c r="J32" s="4236"/>
      <c r="K32" s="4236"/>
      <c r="L32" s="4236"/>
      <c r="M32" s="4236"/>
      <c r="N32" s="4236"/>
      <c r="O32" s="4236"/>
      <c r="P32" s="4236"/>
      <c r="Q32" s="4236"/>
      <c r="R32" s="4236"/>
      <c r="S32" s="4236"/>
      <c r="T32" s="4236"/>
      <c r="U32" s="4236"/>
      <c r="V32" s="4236"/>
      <c r="W32" s="4237"/>
      <c r="X32" s="2082"/>
    </row>
    <row r="33" spans="1:24" ht="31.5" customHeight="1" x14ac:dyDescent="0.2">
      <c r="A33" s="1">
        <v>8</v>
      </c>
      <c r="B33" s="1" t="s">
        <v>31</v>
      </c>
      <c r="C33" s="2"/>
      <c r="D33" s="4235" t="s">
        <v>1795</v>
      </c>
      <c r="E33" s="4236"/>
      <c r="F33" s="4236"/>
      <c r="G33" s="4236"/>
      <c r="H33" s="4236"/>
      <c r="I33" s="4236"/>
      <c r="J33" s="4236"/>
      <c r="K33" s="4236"/>
      <c r="L33" s="4236"/>
      <c r="M33" s="4236"/>
      <c r="N33" s="4236"/>
      <c r="O33" s="4236"/>
      <c r="P33" s="4236"/>
      <c r="Q33" s="4236"/>
      <c r="R33" s="4236"/>
      <c r="S33" s="4236"/>
      <c r="T33" s="4236"/>
      <c r="U33" s="4236"/>
      <c r="V33" s="4236"/>
      <c r="W33" s="4237"/>
      <c r="X33" s="2082"/>
    </row>
    <row r="34" spans="1:24" ht="27.75" customHeight="1" x14ac:dyDescent="0.2">
      <c r="A34" s="1">
        <v>9</v>
      </c>
      <c r="B34" s="1" t="s">
        <v>95</v>
      </c>
      <c r="D34" s="4238" t="s">
        <v>833</v>
      </c>
      <c r="E34" s="4239"/>
      <c r="F34" s="4239"/>
      <c r="G34" s="4239"/>
      <c r="H34" s="4239"/>
      <c r="I34" s="4239"/>
      <c r="J34" s="4239"/>
      <c r="K34" s="4239"/>
      <c r="L34" s="4239"/>
      <c r="M34" s="4239"/>
      <c r="N34" s="4239"/>
      <c r="O34" s="4239"/>
      <c r="P34" s="4239"/>
      <c r="Q34" s="4239"/>
      <c r="R34" s="4239"/>
      <c r="S34" s="4239"/>
      <c r="T34" s="4239"/>
      <c r="U34" s="4239"/>
      <c r="V34" s="4239"/>
      <c r="W34" s="4240"/>
      <c r="X34" s="2083"/>
    </row>
    <row r="35" spans="1:24" x14ac:dyDescent="0.2">
      <c r="T35" s="2084"/>
    </row>
    <row r="36" spans="1:24" x14ac:dyDescent="0.2">
      <c r="D36" s="2085"/>
      <c r="E36" s="17"/>
      <c r="F36" s="17"/>
      <c r="G36" s="17"/>
      <c r="H36" s="17"/>
      <c r="I36" s="17"/>
      <c r="J36" s="17"/>
      <c r="K36" s="17"/>
      <c r="L36" s="17"/>
      <c r="M36" s="17"/>
    </row>
    <row r="57" spans="1:24" ht="14.25" x14ac:dyDescent="0.2">
      <c r="A57" s="943"/>
      <c r="B57" s="943"/>
      <c r="C57" s="943"/>
      <c r="D57" s="2086"/>
      <c r="E57" s="904"/>
      <c r="F57" s="904"/>
      <c r="G57" s="904"/>
      <c r="H57" s="2066">
        <v>2002</v>
      </c>
      <c r="I57" s="2066">
        <v>2003</v>
      </c>
      <c r="J57" s="2066">
        <v>2004</v>
      </c>
      <c r="K57" s="2066">
        <v>2005</v>
      </c>
      <c r="L57" s="2066">
        <v>2006</v>
      </c>
      <c r="M57" s="2066">
        <v>2007</v>
      </c>
      <c r="N57" s="2066">
        <v>2008</v>
      </c>
      <c r="O57" s="2066">
        <v>2009</v>
      </c>
      <c r="P57" s="2066">
        <v>2010</v>
      </c>
      <c r="Q57" s="2066">
        <v>2011</v>
      </c>
      <c r="R57" s="2066">
        <v>2012</v>
      </c>
      <c r="S57" s="2066">
        <v>2013</v>
      </c>
      <c r="T57" s="2066">
        <v>2014</v>
      </c>
      <c r="U57" s="2066">
        <v>2015</v>
      </c>
      <c r="V57" s="2066">
        <v>2016</v>
      </c>
      <c r="W57" s="2066">
        <v>2017</v>
      </c>
      <c r="X57" s="2066">
        <v>2018</v>
      </c>
    </row>
    <row r="58" spans="1:24" ht="14.25" x14ac:dyDescent="0.2">
      <c r="A58" s="943"/>
      <c r="B58" s="943"/>
      <c r="C58" s="943"/>
      <c r="E58" s="17"/>
      <c r="F58" s="17"/>
      <c r="G58" s="1147" t="s">
        <v>825</v>
      </c>
      <c r="H58" s="17">
        <f>I15</f>
        <v>53.2</v>
      </c>
      <c r="I58" s="17">
        <f t="shared" ref="I58:X59" si="0">J15</f>
        <v>52.8</v>
      </c>
      <c r="J58" s="17">
        <f t="shared" si="0"/>
        <v>52.3</v>
      </c>
      <c r="K58" s="17">
        <f t="shared" si="0"/>
        <v>51.8</v>
      </c>
      <c r="L58" s="17">
        <f t="shared" si="0"/>
        <v>51.2</v>
      </c>
      <c r="M58" s="17">
        <f t="shared" si="0"/>
        <v>50.4</v>
      </c>
      <c r="N58" s="17">
        <f t="shared" si="0"/>
        <v>49.5</v>
      </c>
      <c r="O58" s="17">
        <f t="shared" si="0"/>
        <v>45.8</v>
      </c>
      <c r="P58" s="17">
        <f t="shared" si="0"/>
        <v>45.4</v>
      </c>
      <c r="Q58" s="17">
        <f t="shared" si="0"/>
        <v>44.8</v>
      </c>
      <c r="R58" s="17">
        <f t="shared" si="0"/>
        <v>42.4</v>
      </c>
      <c r="S58" s="17">
        <f t="shared" si="0"/>
        <v>39.799999999999997</v>
      </c>
      <c r="T58" s="17">
        <f t="shared" si="0"/>
        <v>38.299999999999997</v>
      </c>
      <c r="U58" s="17">
        <f t="shared" si="0"/>
        <v>38.4</v>
      </c>
      <c r="V58" s="17">
        <f t="shared" si="0"/>
        <v>37.9</v>
      </c>
      <c r="W58" s="17">
        <f t="shared" si="0"/>
        <v>37</v>
      </c>
      <c r="X58" s="17">
        <f>Y15</f>
        <v>36.4</v>
      </c>
    </row>
    <row r="59" spans="1:24" ht="14.25" x14ac:dyDescent="0.2">
      <c r="A59" s="943"/>
      <c r="B59" s="943"/>
      <c r="C59" s="943"/>
      <c r="E59" s="2065"/>
      <c r="F59" s="2065"/>
      <c r="G59" s="2087" t="s">
        <v>834</v>
      </c>
      <c r="H59" s="18">
        <f>I16</f>
        <v>80.099999999999994</v>
      </c>
      <c r="I59" s="18">
        <f t="shared" si="0"/>
        <v>79.5</v>
      </c>
      <c r="J59" s="18">
        <f t="shared" si="0"/>
        <v>78.599999999999994</v>
      </c>
      <c r="K59" s="18">
        <f t="shared" si="0"/>
        <v>78</v>
      </c>
      <c r="L59" s="18">
        <f t="shared" si="0"/>
        <v>76.900000000000006</v>
      </c>
      <c r="M59" s="18">
        <f t="shared" si="0"/>
        <v>75.5</v>
      </c>
      <c r="N59" s="18">
        <f t="shared" si="0"/>
        <v>73.599999999999994</v>
      </c>
      <c r="O59" s="18">
        <f t="shared" si="0"/>
        <v>68.900000000000006</v>
      </c>
      <c r="P59" s="18">
        <f t="shared" si="0"/>
        <v>66.900000000000006</v>
      </c>
      <c r="Q59" s="18">
        <f t="shared" si="0"/>
        <v>60.8</v>
      </c>
      <c r="R59" s="18">
        <f t="shared" si="0"/>
        <v>54.7</v>
      </c>
      <c r="S59" s="18">
        <f t="shared" si="0"/>
        <v>50.2</v>
      </c>
      <c r="T59" s="18">
        <f t="shared" si="0"/>
        <v>48.1</v>
      </c>
      <c r="U59" s="18">
        <f t="shared" si="0"/>
        <v>48</v>
      </c>
      <c r="V59" s="18">
        <f t="shared" si="0"/>
        <v>47.4</v>
      </c>
      <c r="W59" s="18">
        <f t="shared" si="0"/>
        <v>46.1</v>
      </c>
      <c r="X59" s="18">
        <f t="shared" si="0"/>
        <v>45</v>
      </c>
    </row>
  </sheetData>
  <mergeCells count="8">
    <mergeCell ref="D33:W33"/>
    <mergeCell ref="D34:W34"/>
    <mergeCell ref="D2:W2"/>
    <mergeCell ref="D3:W3"/>
    <mergeCell ref="D4:W4"/>
    <mergeCell ref="D5:W5"/>
    <mergeCell ref="D7:W11"/>
    <mergeCell ref="D32:W32"/>
  </mergeCells>
  <pageMargins left="0.74803149606299202" right="0.74803149606299202" top="0.98425196850393704" bottom="0.98425196850393704" header="0.511811023622047" footer="0.511811023622047"/>
  <pageSetup paperSize="9" scale="6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Y89"/>
  <sheetViews>
    <sheetView showGridLines="0" view="pageBreakPreview" zoomScaleNormal="100" zoomScaleSheetLayoutView="100" workbookViewId="0">
      <selection activeCell="D92" sqref="D92"/>
    </sheetView>
  </sheetViews>
  <sheetFormatPr defaultColWidth="9.140625" defaultRowHeight="15" x14ac:dyDescent="0.2"/>
  <cols>
    <col min="1" max="1" width="8.42578125" style="2035" customWidth="1"/>
    <col min="2" max="2" width="14.42578125" style="2036" customWidth="1"/>
    <col min="3" max="3" width="3.7109375" style="2036" customWidth="1"/>
    <col min="4" max="4" width="26.140625" style="943" customWidth="1"/>
    <col min="5" max="13" width="8" style="2132" customWidth="1"/>
    <col min="14" max="15" width="10.42578125" style="943" bestFit="1" customWidth="1"/>
    <col min="16" max="16384" width="9.140625" style="943"/>
  </cols>
  <sheetData>
    <row r="2" spans="1:25" ht="14.1" customHeight="1" x14ac:dyDescent="0.2">
      <c r="A2" s="1">
        <v>1</v>
      </c>
      <c r="B2" s="1" t="s">
        <v>0</v>
      </c>
      <c r="C2" s="1">
        <v>34</v>
      </c>
      <c r="D2" s="4193" t="s">
        <v>835</v>
      </c>
      <c r="E2" s="4194"/>
      <c r="F2" s="4194"/>
      <c r="G2" s="4194"/>
      <c r="H2" s="4194"/>
      <c r="I2" s="4194"/>
      <c r="J2" s="4194"/>
      <c r="K2" s="4194"/>
      <c r="L2" s="4194"/>
      <c r="M2" s="4194"/>
      <c r="N2" s="4194"/>
      <c r="O2" s="4194"/>
      <c r="P2" s="4194"/>
      <c r="Q2" s="4194"/>
      <c r="R2" s="4194"/>
      <c r="S2" s="4194"/>
      <c r="T2" s="4194"/>
      <c r="U2" s="4194"/>
      <c r="V2" s="4195"/>
      <c r="W2" s="688"/>
    </row>
    <row r="3" spans="1:25" ht="14.1" customHeight="1" x14ac:dyDescent="0.2">
      <c r="A3" s="1">
        <v>2</v>
      </c>
      <c r="B3" s="1" t="s">
        <v>2</v>
      </c>
      <c r="C3" s="1"/>
      <c r="D3" s="4140" t="s">
        <v>802</v>
      </c>
      <c r="E3" s="4141"/>
      <c r="F3" s="4141"/>
      <c r="G3" s="4141"/>
      <c r="H3" s="4141"/>
      <c r="I3" s="4141"/>
      <c r="J3" s="4141"/>
      <c r="K3" s="4141"/>
      <c r="L3" s="4141"/>
      <c r="M3" s="4141"/>
      <c r="N3" s="4141"/>
      <c r="O3" s="4141"/>
      <c r="P3" s="4141"/>
      <c r="Q3" s="4141"/>
      <c r="R3" s="4141"/>
      <c r="S3" s="4141"/>
      <c r="T3" s="4141"/>
      <c r="U3" s="4141"/>
      <c r="V3" s="4142"/>
      <c r="W3" s="1769"/>
    </row>
    <row r="4" spans="1:25" ht="14.1" customHeight="1" x14ac:dyDescent="0.2">
      <c r="A4" s="1">
        <v>3</v>
      </c>
      <c r="B4" s="1" t="s">
        <v>4</v>
      </c>
      <c r="C4" s="1"/>
      <c r="D4" s="4156" t="s">
        <v>803</v>
      </c>
      <c r="E4" s="4157"/>
      <c r="F4" s="4157"/>
      <c r="G4" s="4157"/>
      <c r="H4" s="4157"/>
      <c r="I4" s="4157"/>
      <c r="J4" s="4157"/>
      <c r="K4" s="4157"/>
      <c r="L4" s="4157"/>
      <c r="M4" s="4157"/>
      <c r="N4" s="4157"/>
      <c r="O4" s="4157"/>
      <c r="P4" s="4157"/>
      <c r="Q4" s="4157"/>
      <c r="R4" s="4157"/>
      <c r="S4" s="4157"/>
      <c r="T4" s="4157"/>
      <c r="U4" s="4157"/>
      <c r="V4" s="4157"/>
      <c r="W4" s="4158"/>
    </row>
    <row r="5" spans="1:25" x14ac:dyDescent="0.2">
      <c r="A5" s="2035">
        <v>4</v>
      </c>
      <c r="B5" s="1" t="s">
        <v>836</v>
      </c>
      <c r="C5" s="12"/>
      <c r="D5" s="4140" t="s">
        <v>837</v>
      </c>
      <c r="E5" s="4141"/>
      <c r="F5" s="4141"/>
      <c r="G5" s="4141"/>
      <c r="H5" s="4141"/>
      <c r="I5" s="4141"/>
      <c r="J5" s="4141"/>
      <c r="K5" s="4141"/>
      <c r="L5" s="4141"/>
      <c r="M5" s="4141"/>
      <c r="N5" s="4141"/>
      <c r="O5" s="4141"/>
      <c r="P5" s="4141"/>
      <c r="Q5" s="4141"/>
      <c r="R5" s="4141"/>
      <c r="S5" s="4141"/>
      <c r="T5" s="4141"/>
      <c r="U5" s="4141"/>
      <c r="V5" s="4142"/>
    </row>
    <row r="6" spans="1:25" x14ac:dyDescent="0.2">
      <c r="B6" s="1"/>
      <c r="C6" s="12"/>
      <c r="D6" s="1769"/>
      <c r="E6" s="1769"/>
      <c r="F6" s="1769"/>
      <c r="G6" s="1769"/>
      <c r="H6" s="1769"/>
      <c r="I6" s="1769"/>
      <c r="J6" s="1769"/>
      <c r="K6" s="1769"/>
      <c r="L6" s="1769"/>
      <c r="M6" s="1769"/>
      <c r="N6" s="1769"/>
      <c r="O6" s="1769"/>
      <c r="P6" s="1769"/>
      <c r="Q6" s="1769"/>
      <c r="R6" s="1769"/>
      <c r="S6" s="1769"/>
      <c r="T6" s="1769"/>
      <c r="U6" s="1769"/>
      <c r="V6" s="1769"/>
    </row>
    <row r="7" spans="1:25" s="11" customFormat="1" ht="12.75" x14ac:dyDescent="0.2">
      <c r="A7" s="1">
        <v>5</v>
      </c>
      <c r="B7" s="12" t="s">
        <v>5</v>
      </c>
      <c r="C7" s="6"/>
      <c r="D7" s="2089" t="s">
        <v>112</v>
      </c>
      <c r="E7" s="2090" t="s">
        <v>838</v>
      </c>
      <c r="F7" s="2091"/>
      <c r="G7" s="2091"/>
      <c r="H7" s="4"/>
      <c r="I7" s="1743"/>
      <c r="J7" s="1743"/>
      <c r="K7" s="1743"/>
      <c r="L7" s="1743"/>
      <c r="M7" s="1743"/>
      <c r="N7" s="1405"/>
      <c r="O7" s="17"/>
      <c r="P7" s="17"/>
      <c r="Q7" s="17"/>
      <c r="R7" s="17"/>
      <c r="S7" s="17"/>
      <c r="T7" s="17"/>
      <c r="U7" s="17"/>
      <c r="V7" s="17"/>
      <c r="W7" s="17"/>
    </row>
    <row r="8" spans="1:25" s="11" customFormat="1" ht="11.25" x14ac:dyDescent="0.2">
      <c r="A8" s="5"/>
      <c r="B8" s="6"/>
      <c r="C8" s="6"/>
      <c r="D8" s="904"/>
      <c r="E8" s="2092"/>
      <c r="F8" s="2092"/>
      <c r="G8" s="2093">
        <v>2001</v>
      </c>
      <c r="H8" s="2093">
        <v>2002</v>
      </c>
      <c r="I8" s="2093">
        <v>2003</v>
      </c>
      <c r="J8" s="2093">
        <v>2004</v>
      </c>
      <c r="K8" s="2093">
        <v>2005</v>
      </c>
      <c r="L8" s="2093">
        <v>2006</v>
      </c>
      <c r="M8" s="2093">
        <v>2007</v>
      </c>
      <c r="N8" s="2093">
        <v>2008</v>
      </c>
      <c r="O8" s="2093">
        <v>2009</v>
      </c>
      <c r="P8" s="2093">
        <v>2010</v>
      </c>
      <c r="Q8" s="2093">
        <v>2011</v>
      </c>
      <c r="R8" s="2093">
        <v>2012</v>
      </c>
      <c r="S8" s="2093">
        <v>2013</v>
      </c>
      <c r="T8" s="2093">
        <v>2014</v>
      </c>
      <c r="U8" s="2094">
        <v>2015</v>
      </c>
      <c r="V8" s="3957">
        <v>2016</v>
      </c>
      <c r="W8" s="3958">
        <v>2017</v>
      </c>
      <c r="X8" s="1743"/>
      <c r="Y8" s="17"/>
    </row>
    <row r="9" spans="1:25" s="11" customFormat="1" ht="22.5" x14ac:dyDescent="0.2">
      <c r="A9" s="2095"/>
      <c r="B9" s="6"/>
      <c r="C9" s="2088"/>
      <c r="D9" s="2096" t="str">
        <f>D2</f>
        <v>Severe acute malnutrition under five years</v>
      </c>
      <c r="E9" s="2097"/>
      <c r="F9" s="2097" t="s">
        <v>839</v>
      </c>
      <c r="G9" s="2098">
        <v>88971</v>
      </c>
      <c r="H9" s="2098">
        <v>83957</v>
      </c>
      <c r="I9" s="2098">
        <v>64718</v>
      </c>
      <c r="J9" s="2098">
        <v>39785</v>
      </c>
      <c r="K9" s="2098">
        <v>30082</v>
      </c>
      <c r="L9" s="2098">
        <v>29176</v>
      </c>
      <c r="M9" s="2098">
        <v>29165</v>
      </c>
      <c r="N9" s="2098">
        <v>27064</v>
      </c>
      <c r="O9" s="2098">
        <v>28029</v>
      </c>
      <c r="P9" s="2098">
        <v>25057</v>
      </c>
      <c r="Q9" s="2098">
        <v>23521</v>
      </c>
      <c r="R9" s="2098">
        <v>20786</v>
      </c>
      <c r="S9" s="2098">
        <v>22313</v>
      </c>
      <c r="T9" s="2098">
        <v>25312</v>
      </c>
      <c r="U9" s="2099">
        <v>23545</v>
      </c>
      <c r="V9" s="3959">
        <v>15336</v>
      </c>
      <c r="W9" s="3960">
        <v>11799</v>
      </c>
      <c r="X9" s="1844"/>
      <c r="Y9" s="17"/>
    </row>
    <row r="10" spans="1:25" s="11" customFormat="1" ht="11.25" customHeight="1" x14ac:dyDescent="0.2">
      <c r="A10" s="2095"/>
      <c r="B10" s="6"/>
      <c r="C10" s="2088">
        <v>2</v>
      </c>
      <c r="D10" s="2040" t="s">
        <v>840</v>
      </c>
      <c r="E10" s="2100"/>
      <c r="F10" s="1336"/>
      <c r="G10" s="1336"/>
      <c r="H10" s="1336"/>
      <c r="I10" s="1336"/>
      <c r="J10" s="1336"/>
      <c r="K10" s="1336"/>
      <c r="L10" s="1336"/>
      <c r="M10" s="1336"/>
      <c r="N10" s="1844"/>
      <c r="O10" s="1844"/>
      <c r="P10" s="17"/>
      <c r="Q10" s="17"/>
      <c r="R10" s="17"/>
      <c r="S10" s="17"/>
      <c r="T10" s="17"/>
      <c r="U10" s="17"/>
      <c r="V10" s="17"/>
      <c r="W10" s="17"/>
    </row>
    <row r="11" spans="1:25" s="11" customFormat="1" ht="11.25" customHeight="1" x14ac:dyDescent="0.2">
      <c r="A11" s="2095"/>
      <c r="B11" s="6"/>
      <c r="C11" s="2088"/>
      <c r="D11" s="2040"/>
      <c r="E11" s="2100"/>
      <c r="F11" s="1336"/>
      <c r="G11" s="1336"/>
      <c r="H11" s="1336"/>
      <c r="I11" s="1336"/>
      <c r="J11" s="1336"/>
      <c r="K11" s="1336"/>
      <c r="L11" s="1336"/>
      <c r="M11" s="1336"/>
      <c r="N11" s="1844"/>
      <c r="O11" s="1844"/>
      <c r="P11" s="17"/>
      <c r="Q11" s="17"/>
      <c r="R11" s="17"/>
      <c r="S11" s="17"/>
      <c r="T11" s="17"/>
      <c r="U11" s="17"/>
      <c r="V11" s="17"/>
      <c r="W11" s="17"/>
    </row>
    <row r="12" spans="1:25" s="11" customFormat="1" ht="14.25" customHeight="1" x14ac:dyDescent="0.2">
      <c r="A12" s="2095"/>
      <c r="B12" s="6"/>
      <c r="C12" s="6"/>
      <c r="D12" s="2101"/>
      <c r="E12" s="2102">
        <v>1994</v>
      </c>
      <c r="F12" s="4251">
        <v>1999</v>
      </c>
      <c r="G12" s="4252"/>
      <c r="H12" s="2103">
        <v>2003</v>
      </c>
      <c r="I12" s="2103">
        <v>2005</v>
      </c>
      <c r="J12" s="4253">
        <v>2008</v>
      </c>
      <c r="K12" s="4251"/>
      <c r="L12" s="4251"/>
      <c r="M12" s="4251"/>
      <c r="N12" s="4251"/>
      <c r="O12" s="4254"/>
      <c r="P12" s="17"/>
      <c r="Q12" s="17"/>
      <c r="R12" s="17"/>
      <c r="S12" s="17"/>
      <c r="T12" s="17"/>
      <c r="U12" s="17"/>
      <c r="V12" s="17"/>
      <c r="W12" s="17"/>
    </row>
    <row r="13" spans="1:25" s="11" customFormat="1" ht="33.75" customHeight="1" x14ac:dyDescent="0.2">
      <c r="A13" s="2095"/>
      <c r="B13" s="6"/>
      <c r="C13" s="6"/>
      <c r="D13" s="2101"/>
      <c r="E13" s="2102" t="s">
        <v>841</v>
      </c>
      <c r="F13" s="2104" t="s">
        <v>842</v>
      </c>
      <c r="G13" s="2102" t="s">
        <v>843</v>
      </c>
      <c r="H13" s="2103" t="s">
        <v>844</v>
      </c>
      <c r="I13" s="2103" t="s">
        <v>845</v>
      </c>
      <c r="J13" s="2105" t="s">
        <v>846</v>
      </c>
      <c r="K13" s="2104" t="s">
        <v>847</v>
      </c>
      <c r="L13" s="2104" t="s">
        <v>848</v>
      </c>
      <c r="M13" s="2104" t="s">
        <v>849</v>
      </c>
      <c r="N13" s="2104" t="s">
        <v>850</v>
      </c>
      <c r="O13" s="2106" t="s">
        <v>851</v>
      </c>
      <c r="P13" s="17"/>
      <c r="Q13" s="17"/>
      <c r="R13" s="17"/>
      <c r="S13" s="17"/>
      <c r="T13" s="17"/>
      <c r="U13" s="17"/>
      <c r="V13" s="17"/>
      <c r="W13" s="17"/>
    </row>
    <row r="14" spans="1:25" s="11" customFormat="1" ht="11.25" customHeight="1" x14ac:dyDescent="0.2">
      <c r="A14" s="2095"/>
      <c r="B14" s="6"/>
      <c r="C14" s="6"/>
      <c r="D14" s="967" t="s">
        <v>19</v>
      </c>
      <c r="E14" s="2107">
        <v>28.8</v>
      </c>
      <c r="F14" s="2108">
        <v>20.5</v>
      </c>
      <c r="G14" s="2109" t="s">
        <v>606</v>
      </c>
      <c r="H14" s="2110">
        <v>28.5</v>
      </c>
      <c r="I14" s="2110">
        <v>18</v>
      </c>
      <c r="J14" s="2111">
        <v>17.5</v>
      </c>
      <c r="K14" s="2112" t="s">
        <v>606</v>
      </c>
      <c r="L14" s="2112" t="s">
        <v>606</v>
      </c>
      <c r="M14" s="2112" t="s">
        <v>606</v>
      </c>
      <c r="N14" s="2113" t="s">
        <v>606</v>
      </c>
      <c r="O14" s="2114" t="s">
        <v>606</v>
      </c>
      <c r="P14" s="17"/>
      <c r="Q14" s="17"/>
      <c r="R14" s="17"/>
      <c r="S14" s="17"/>
      <c r="T14" s="17"/>
      <c r="U14" s="17"/>
      <c r="V14" s="17"/>
      <c r="W14" s="17"/>
    </row>
    <row r="15" spans="1:25" s="11" customFormat="1" ht="11.25" customHeight="1" x14ac:dyDescent="0.2">
      <c r="A15" s="2095"/>
      <c r="B15" s="6"/>
      <c r="C15" s="6"/>
      <c r="D15" s="967" t="s">
        <v>20</v>
      </c>
      <c r="E15" s="2107">
        <v>28.7</v>
      </c>
      <c r="F15" s="2108">
        <v>29.6</v>
      </c>
      <c r="G15" s="2107" t="s">
        <v>606</v>
      </c>
      <c r="H15" s="2115">
        <v>32.9</v>
      </c>
      <c r="I15" s="2115">
        <v>28.2</v>
      </c>
      <c r="J15" s="2116">
        <v>14.7</v>
      </c>
      <c r="K15" s="2108" t="s">
        <v>606</v>
      </c>
      <c r="L15" s="2108" t="s">
        <v>606</v>
      </c>
      <c r="M15" s="2108" t="s">
        <v>606</v>
      </c>
      <c r="N15" s="1844" t="s">
        <v>606</v>
      </c>
      <c r="O15" s="2117" t="s">
        <v>606</v>
      </c>
      <c r="P15" s="17"/>
      <c r="Q15" s="17"/>
      <c r="R15" s="17"/>
      <c r="S15" s="17"/>
      <c r="T15" s="17"/>
      <c r="U15" s="17"/>
      <c r="V15" s="17"/>
      <c r="W15" s="17"/>
    </row>
    <row r="16" spans="1:25" s="11" customFormat="1" ht="11.25" customHeight="1" x14ac:dyDescent="0.2">
      <c r="A16" s="2095"/>
      <c r="B16" s="6"/>
      <c r="C16" s="6"/>
      <c r="D16" s="967" t="s">
        <v>21</v>
      </c>
      <c r="E16" s="2107">
        <v>11.5</v>
      </c>
      <c r="F16" s="2108">
        <v>20.399999999999999</v>
      </c>
      <c r="G16" s="2107" t="s">
        <v>606</v>
      </c>
      <c r="H16" s="2115">
        <v>26.5</v>
      </c>
      <c r="I16" s="2115">
        <v>16.8</v>
      </c>
      <c r="J16" s="2116">
        <v>13.2</v>
      </c>
      <c r="K16" s="2108" t="s">
        <v>606</v>
      </c>
      <c r="L16" s="2108" t="s">
        <v>606</v>
      </c>
      <c r="M16" s="2108" t="s">
        <v>606</v>
      </c>
      <c r="N16" s="1844" t="s">
        <v>606</v>
      </c>
      <c r="O16" s="2117" t="s">
        <v>606</v>
      </c>
      <c r="P16" s="17"/>
      <c r="Q16" s="17"/>
      <c r="R16" s="17"/>
      <c r="S16" s="17"/>
      <c r="T16" s="17"/>
      <c r="U16" s="17"/>
      <c r="V16" s="17"/>
      <c r="W16" s="17"/>
    </row>
    <row r="17" spans="1:23" s="11" customFormat="1" ht="11.25" customHeight="1" x14ac:dyDescent="0.2">
      <c r="A17" s="2095"/>
      <c r="B17" s="6"/>
      <c r="C17" s="6"/>
      <c r="D17" s="967" t="s">
        <v>22</v>
      </c>
      <c r="E17" s="2107">
        <v>15.6</v>
      </c>
      <c r="F17" s="2108">
        <v>18.5</v>
      </c>
      <c r="G17" s="2107" t="s">
        <v>606</v>
      </c>
      <c r="H17" s="2115">
        <v>13.3</v>
      </c>
      <c r="I17" s="2115">
        <v>15.1</v>
      </c>
      <c r="J17" s="2116">
        <v>11.7</v>
      </c>
      <c r="K17" s="2108" t="s">
        <v>606</v>
      </c>
      <c r="L17" s="2108" t="s">
        <v>606</v>
      </c>
      <c r="M17" s="2108" t="s">
        <v>606</v>
      </c>
      <c r="N17" s="1844" t="s">
        <v>606</v>
      </c>
      <c r="O17" s="2117" t="s">
        <v>606</v>
      </c>
      <c r="P17" s="17"/>
      <c r="Q17" s="17"/>
      <c r="R17" s="17"/>
      <c r="S17" s="17"/>
      <c r="T17" s="17"/>
      <c r="U17" s="17"/>
      <c r="V17" s="17"/>
      <c r="W17" s="17"/>
    </row>
    <row r="18" spans="1:23" s="11" customFormat="1" ht="11.25" customHeight="1" x14ac:dyDescent="0.2">
      <c r="A18" s="2095"/>
      <c r="B18" s="6"/>
      <c r="C18" s="6"/>
      <c r="D18" s="967" t="s">
        <v>23</v>
      </c>
      <c r="E18" s="2107">
        <v>34.200000000000003</v>
      </c>
      <c r="F18" s="2108">
        <v>23.1</v>
      </c>
      <c r="G18" s="2107" t="s">
        <v>606</v>
      </c>
      <c r="H18" s="2115">
        <v>26.6</v>
      </c>
      <c r="I18" s="2115">
        <v>23.8</v>
      </c>
      <c r="J18" s="2116">
        <v>12.8</v>
      </c>
      <c r="K18" s="2108" t="s">
        <v>606</v>
      </c>
      <c r="L18" s="2108" t="s">
        <v>606</v>
      </c>
      <c r="M18" s="2108" t="s">
        <v>606</v>
      </c>
      <c r="N18" s="1844" t="s">
        <v>606</v>
      </c>
      <c r="O18" s="2117" t="s">
        <v>606</v>
      </c>
      <c r="P18" s="17"/>
      <c r="Q18" s="17"/>
      <c r="R18" s="17"/>
      <c r="S18" s="17"/>
      <c r="T18" s="17"/>
      <c r="U18" s="17"/>
      <c r="V18" s="17"/>
      <c r="W18" s="17"/>
    </row>
    <row r="19" spans="1:23" s="11" customFormat="1" ht="11.25" customHeight="1" x14ac:dyDescent="0.2">
      <c r="A19" s="2095"/>
      <c r="B19" s="6"/>
      <c r="C19" s="6"/>
      <c r="D19" s="967" t="s">
        <v>24</v>
      </c>
      <c r="E19" s="2107">
        <v>20.399999999999999</v>
      </c>
      <c r="F19" s="2108">
        <v>26.4</v>
      </c>
      <c r="G19" s="2107" t="s">
        <v>606</v>
      </c>
      <c r="H19" s="2115">
        <v>22.2</v>
      </c>
      <c r="I19" s="2115">
        <v>17.8</v>
      </c>
      <c r="J19" s="2116">
        <v>11.3</v>
      </c>
      <c r="K19" s="2108" t="s">
        <v>606</v>
      </c>
      <c r="L19" s="2108" t="s">
        <v>606</v>
      </c>
      <c r="M19" s="2108" t="s">
        <v>606</v>
      </c>
      <c r="N19" s="1844" t="s">
        <v>606</v>
      </c>
      <c r="O19" s="2117" t="s">
        <v>606</v>
      </c>
      <c r="P19" s="17"/>
      <c r="Q19" s="17"/>
      <c r="R19" s="17"/>
      <c r="S19" s="17"/>
      <c r="T19" s="17"/>
      <c r="U19" s="17"/>
      <c r="V19" s="17"/>
      <c r="W19" s="17"/>
    </row>
    <row r="20" spans="1:23" s="11" customFormat="1" ht="11.25" customHeight="1" x14ac:dyDescent="0.2">
      <c r="A20" s="2095"/>
      <c r="B20" s="6"/>
      <c r="C20" s="6"/>
      <c r="D20" s="967" t="s">
        <v>25</v>
      </c>
      <c r="E20" s="2107">
        <v>22.8</v>
      </c>
      <c r="F20" s="2108">
        <v>29.6</v>
      </c>
      <c r="G20" s="2107" t="s">
        <v>606</v>
      </c>
      <c r="H20" s="2115">
        <v>37.1</v>
      </c>
      <c r="I20" s="2115">
        <v>27.7</v>
      </c>
      <c r="J20" s="2116">
        <v>19.399999999999999</v>
      </c>
      <c r="K20" s="2108" t="s">
        <v>606</v>
      </c>
      <c r="L20" s="2108" t="s">
        <v>606</v>
      </c>
      <c r="M20" s="2108" t="s">
        <v>606</v>
      </c>
      <c r="N20" s="1844" t="s">
        <v>606</v>
      </c>
      <c r="O20" s="2117" t="s">
        <v>606</v>
      </c>
      <c r="P20" s="17"/>
      <c r="Q20" s="17"/>
      <c r="R20" s="17"/>
      <c r="S20" s="17"/>
      <c r="T20" s="17"/>
      <c r="U20" s="17"/>
      <c r="V20" s="17"/>
      <c r="W20" s="17"/>
    </row>
    <row r="21" spans="1:23" s="11" customFormat="1" ht="11.25" customHeight="1" x14ac:dyDescent="0.2">
      <c r="A21" s="2095"/>
      <c r="B21" s="6"/>
      <c r="C21" s="6"/>
      <c r="D21" s="967" t="s">
        <v>26</v>
      </c>
      <c r="E21" s="2107">
        <v>24.7</v>
      </c>
      <c r="F21" s="2108">
        <v>24.9</v>
      </c>
      <c r="G21" s="2107" t="s">
        <v>606</v>
      </c>
      <c r="H21" s="2115">
        <v>24</v>
      </c>
      <c r="I21" s="2115">
        <v>15.1</v>
      </c>
      <c r="J21" s="2116">
        <v>12.3</v>
      </c>
      <c r="K21" s="2108" t="s">
        <v>606</v>
      </c>
      <c r="L21" s="2108" t="s">
        <v>606</v>
      </c>
      <c r="M21" s="2108" t="s">
        <v>606</v>
      </c>
      <c r="N21" s="1844" t="s">
        <v>606</v>
      </c>
      <c r="O21" s="2117" t="s">
        <v>606</v>
      </c>
      <c r="P21" s="17"/>
      <c r="Q21" s="17"/>
      <c r="R21" s="17"/>
      <c r="S21" s="17"/>
      <c r="T21" s="17"/>
      <c r="U21" s="17"/>
      <c r="V21" s="17"/>
      <c r="W21" s="17"/>
    </row>
    <row r="22" spans="1:23" s="11" customFormat="1" ht="11.25" customHeight="1" x14ac:dyDescent="0.2">
      <c r="A22" s="2095"/>
      <c r="B22" s="6"/>
      <c r="C22" s="6"/>
      <c r="D22" s="967" t="s">
        <v>27</v>
      </c>
      <c r="E22" s="2107">
        <v>11.6</v>
      </c>
      <c r="F22" s="2108">
        <v>14.5</v>
      </c>
      <c r="G22" s="2118" t="s">
        <v>606</v>
      </c>
      <c r="H22" s="2119">
        <v>34.700000000000003</v>
      </c>
      <c r="I22" s="2119">
        <v>12</v>
      </c>
      <c r="J22" s="2120">
        <v>9.6999999999999993</v>
      </c>
      <c r="K22" s="2121" t="s">
        <v>606</v>
      </c>
      <c r="L22" s="2121" t="s">
        <v>606</v>
      </c>
      <c r="M22" s="2121" t="s">
        <v>606</v>
      </c>
      <c r="N22" s="2122" t="s">
        <v>606</v>
      </c>
      <c r="O22" s="2123" t="s">
        <v>606</v>
      </c>
      <c r="P22" s="17"/>
      <c r="Q22" s="17"/>
      <c r="R22" s="17"/>
      <c r="S22" s="17"/>
      <c r="T22" s="17"/>
      <c r="U22" s="17"/>
      <c r="V22" s="17"/>
      <c r="W22" s="17"/>
    </row>
    <row r="23" spans="1:23" s="11" customFormat="1" ht="11.25" customHeight="1" x14ac:dyDescent="0.2">
      <c r="A23" s="2095"/>
      <c r="B23" s="6"/>
      <c r="C23" s="6"/>
      <c r="D23" s="2124" t="s">
        <v>28</v>
      </c>
      <c r="E23" s="2125">
        <v>22.9</v>
      </c>
      <c r="F23" s="2126">
        <v>21.6</v>
      </c>
      <c r="G23" s="2125">
        <v>23.8</v>
      </c>
      <c r="H23" s="2127">
        <v>27.4</v>
      </c>
      <c r="I23" s="2127">
        <v>18</v>
      </c>
      <c r="J23" s="2128">
        <v>13.1</v>
      </c>
      <c r="K23" s="2126">
        <v>12.6</v>
      </c>
      <c r="L23" s="2126">
        <v>14.4</v>
      </c>
      <c r="M23" s="2126">
        <v>11.1</v>
      </c>
      <c r="N23" s="2126">
        <v>15.2</v>
      </c>
      <c r="O23" s="2129">
        <v>17.100000000000001</v>
      </c>
      <c r="P23" s="17"/>
      <c r="Q23" s="17"/>
      <c r="R23" s="17"/>
      <c r="S23" s="17"/>
      <c r="T23" s="17"/>
      <c r="U23" s="17"/>
      <c r="V23" s="17"/>
      <c r="W23" s="17"/>
    </row>
    <row r="24" spans="1:23" s="11" customFormat="1" ht="11.25" customHeight="1" x14ac:dyDescent="0.2">
      <c r="A24" s="2095"/>
      <c r="B24" s="6"/>
      <c r="C24" s="6"/>
      <c r="D24" s="2085"/>
      <c r="E24" s="2100"/>
      <c r="F24" s="2100"/>
      <c r="G24" s="2100"/>
      <c r="H24" s="2100"/>
      <c r="I24" s="2100"/>
      <c r="J24" s="2100"/>
      <c r="K24" s="2100"/>
      <c r="L24" s="2100"/>
      <c r="M24" s="2100"/>
      <c r="N24" s="2100"/>
      <c r="O24" s="2100"/>
      <c r="P24" s="17"/>
      <c r="Q24" s="17"/>
      <c r="R24" s="17"/>
      <c r="S24" s="17"/>
      <c r="T24" s="17"/>
      <c r="U24" s="17"/>
      <c r="V24" s="17"/>
      <c r="W24" s="17"/>
    </row>
    <row r="25" spans="1:23" s="11" customFormat="1" ht="14.25" customHeight="1" x14ac:dyDescent="0.2">
      <c r="A25" s="2095"/>
      <c r="B25" s="6"/>
      <c r="C25" s="2088"/>
      <c r="D25" s="2130" t="s">
        <v>112</v>
      </c>
      <c r="E25" s="2090" t="s">
        <v>852</v>
      </c>
      <c r="F25" s="2131"/>
      <c r="G25" s="2131"/>
      <c r="H25" s="2132"/>
      <c r="I25" s="2132"/>
      <c r="J25" s="2132"/>
      <c r="K25" s="2132"/>
      <c r="L25" s="2132"/>
      <c r="M25" s="2133"/>
      <c r="O25" s="1844"/>
      <c r="P25" s="17"/>
      <c r="Q25" s="17"/>
      <c r="R25" s="17"/>
      <c r="S25" s="17"/>
      <c r="T25" s="17"/>
      <c r="U25" s="17"/>
      <c r="V25" s="17"/>
      <c r="W25" s="17"/>
    </row>
    <row r="26" spans="1:23" s="11" customFormat="1" ht="14.25" customHeight="1" x14ac:dyDescent="0.2">
      <c r="A26" s="2095"/>
      <c r="B26" s="6"/>
      <c r="C26" s="2088">
        <v>3</v>
      </c>
      <c r="D26" s="2134">
        <v>2005</v>
      </c>
      <c r="E26" s="1743"/>
      <c r="F26" s="2132"/>
      <c r="G26" s="2132"/>
      <c r="H26" s="2132"/>
      <c r="I26" s="15"/>
      <c r="J26" s="2132"/>
      <c r="K26" s="2132"/>
      <c r="L26" s="2132"/>
      <c r="M26" s="2133"/>
      <c r="N26" s="1844"/>
      <c r="O26" s="1844"/>
      <c r="P26" s="17"/>
      <c r="Q26" s="17"/>
      <c r="R26" s="17"/>
      <c r="S26" s="17"/>
      <c r="T26" s="17"/>
      <c r="U26" s="17"/>
      <c r="V26" s="17"/>
      <c r="W26" s="17"/>
    </row>
    <row r="27" spans="1:23" s="11" customFormat="1" ht="14.25" customHeight="1" x14ac:dyDescent="0.2">
      <c r="A27" s="2095"/>
      <c r="B27" s="6"/>
      <c r="C27" s="6"/>
      <c r="D27" s="2101"/>
      <c r="E27" s="2135" t="s">
        <v>853</v>
      </c>
      <c r="F27" s="2135" t="s">
        <v>854</v>
      </c>
      <c r="G27" s="2136" t="s">
        <v>855</v>
      </c>
      <c r="H27" s="2135" t="s">
        <v>856</v>
      </c>
      <c r="I27" s="2135" t="s">
        <v>857</v>
      </c>
      <c r="J27" s="2136" t="s">
        <v>858</v>
      </c>
      <c r="K27" s="2135" t="s">
        <v>859</v>
      </c>
      <c r="L27" s="2135" t="s">
        <v>860</v>
      </c>
      <c r="M27" s="2136" t="s">
        <v>861</v>
      </c>
      <c r="N27" s="1844"/>
      <c r="O27" s="1844"/>
      <c r="P27" s="17"/>
      <c r="Q27" s="17"/>
      <c r="R27" s="17"/>
      <c r="S27" s="17"/>
      <c r="T27" s="17"/>
      <c r="U27" s="17"/>
      <c r="V27" s="17"/>
      <c r="W27" s="17"/>
    </row>
    <row r="28" spans="1:23" s="11" customFormat="1" ht="11.25" customHeight="1" x14ac:dyDescent="0.2">
      <c r="A28" s="2095"/>
      <c r="B28" s="6"/>
      <c r="C28" s="6"/>
      <c r="D28" s="967" t="s">
        <v>19</v>
      </c>
      <c r="E28" s="2108">
        <v>8.82</v>
      </c>
      <c r="F28" s="2108">
        <v>22.35</v>
      </c>
      <c r="G28" s="2137">
        <v>52.35</v>
      </c>
      <c r="H28" s="2108">
        <v>0</v>
      </c>
      <c r="I28" s="2108">
        <v>10</v>
      </c>
      <c r="J28" s="2137">
        <v>29.41</v>
      </c>
      <c r="K28" s="2108">
        <v>1.76</v>
      </c>
      <c r="L28" s="2108">
        <v>6.47</v>
      </c>
      <c r="M28" s="2137">
        <v>15.88</v>
      </c>
      <c r="N28" s="1844"/>
      <c r="O28" s="1844"/>
      <c r="P28" s="17"/>
      <c r="Q28" s="17"/>
      <c r="R28" s="17"/>
      <c r="S28" s="17"/>
      <c r="T28" s="17"/>
      <c r="U28" s="17"/>
      <c r="V28" s="17"/>
      <c r="W28" s="17"/>
    </row>
    <row r="29" spans="1:23" s="11" customFormat="1" ht="11.25" customHeight="1" x14ac:dyDescent="0.2">
      <c r="A29" s="2095"/>
      <c r="B29" s="6"/>
      <c r="C29" s="6"/>
      <c r="D29" s="967" t="s">
        <v>20</v>
      </c>
      <c r="E29" s="2108">
        <v>8.42</v>
      </c>
      <c r="F29" s="2108">
        <v>34.74</v>
      </c>
      <c r="G29" s="2137">
        <v>66.319999999999993</v>
      </c>
      <c r="H29" s="2108">
        <v>1.05</v>
      </c>
      <c r="I29" s="2108">
        <v>16.84</v>
      </c>
      <c r="J29" s="2137">
        <v>49.47</v>
      </c>
      <c r="K29" s="2108">
        <v>0</v>
      </c>
      <c r="L29" s="2108">
        <v>3.16</v>
      </c>
      <c r="M29" s="2137">
        <v>18.95</v>
      </c>
      <c r="N29" s="1844"/>
      <c r="O29" s="1844"/>
      <c r="P29" s="17"/>
      <c r="Q29" s="17"/>
      <c r="R29" s="17"/>
      <c r="S29" s="17"/>
      <c r="T29" s="17"/>
      <c r="U29" s="17"/>
      <c r="V29" s="17"/>
      <c r="W29" s="17"/>
    </row>
    <row r="30" spans="1:23" s="11" customFormat="1" ht="11.25" customHeight="1" x14ac:dyDescent="0.2">
      <c r="A30" s="2095"/>
      <c r="B30" s="6"/>
      <c r="C30" s="6"/>
      <c r="D30" s="967" t="s">
        <v>21</v>
      </c>
      <c r="E30" s="2108">
        <v>7.17</v>
      </c>
      <c r="F30" s="2108">
        <v>21.5</v>
      </c>
      <c r="G30" s="2137">
        <v>47.1</v>
      </c>
      <c r="H30" s="2108">
        <v>0.68</v>
      </c>
      <c r="I30" s="2108">
        <v>8.19</v>
      </c>
      <c r="J30" s="2137">
        <v>36.520000000000003</v>
      </c>
      <c r="K30" s="2108">
        <v>1.02</v>
      </c>
      <c r="L30" s="2108">
        <v>4.4400000000000004</v>
      </c>
      <c r="M30" s="2137">
        <v>19.8</v>
      </c>
      <c r="N30" s="1844"/>
      <c r="O30" s="1844"/>
      <c r="P30" s="17"/>
      <c r="Q30" s="17"/>
      <c r="R30" s="17"/>
      <c r="S30" s="17"/>
      <c r="T30" s="17"/>
      <c r="U30" s="17"/>
      <c r="V30" s="17"/>
      <c r="W30" s="17"/>
    </row>
    <row r="31" spans="1:23" s="11" customFormat="1" ht="11.25" customHeight="1" x14ac:dyDescent="0.2">
      <c r="A31" s="2095"/>
      <c r="B31" s="6"/>
      <c r="C31" s="6"/>
      <c r="D31" s="967" t="s">
        <v>22</v>
      </c>
      <c r="E31" s="2108">
        <v>3.29</v>
      </c>
      <c r="F31" s="2108">
        <v>17.28</v>
      </c>
      <c r="G31" s="2137">
        <v>53.91</v>
      </c>
      <c r="H31" s="2108">
        <v>0.82</v>
      </c>
      <c r="I31" s="2108">
        <v>4.12</v>
      </c>
      <c r="J31" s="2137">
        <v>29.22</v>
      </c>
      <c r="K31" s="2108">
        <v>0</v>
      </c>
      <c r="L31" s="2108">
        <v>1.65</v>
      </c>
      <c r="M31" s="2137">
        <v>4.9400000000000004</v>
      </c>
      <c r="N31" s="1844"/>
      <c r="O31" s="1844"/>
      <c r="P31" s="17"/>
      <c r="Q31" s="17"/>
      <c r="R31" s="17"/>
      <c r="S31" s="17"/>
      <c r="T31" s="17"/>
      <c r="U31" s="17"/>
      <c r="V31" s="17"/>
      <c r="W31" s="17"/>
    </row>
    <row r="32" spans="1:23" s="11" customFormat="1" ht="11.25" customHeight="1" x14ac:dyDescent="0.2">
      <c r="A32" s="2095"/>
      <c r="B32" s="6"/>
      <c r="C32" s="6"/>
      <c r="D32" s="967" t="s">
        <v>23</v>
      </c>
      <c r="E32" s="2108">
        <v>9.14</v>
      </c>
      <c r="F32" s="2108">
        <v>28.49</v>
      </c>
      <c r="G32" s="2137">
        <v>59.14</v>
      </c>
      <c r="H32" s="2108">
        <v>2.15</v>
      </c>
      <c r="I32" s="2108">
        <v>12.9</v>
      </c>
      <c r="J32" s="2137">
        <v>44.62</v>
      </c>
      <c r="K32" s="2108">
        <v>0.54</v>
      </c>
      <c r="L32" s="2108">
        <v>4.3</v>
      </c>
      <c r="M32" s="2137">
        <v>20.43</v>
      </c>
      <c r="N32" s="1844"/>
      <c r="O32" s="1844"/>
      <c r="P32" s="17"/>
      <c r="Q32" s="17"/>
      <c r="R32" s="17"/>
      <c r="S32" s="17"/>
      <c r="T32" s="17"/>
      <c r="U32" s="17"/>
      <c r="V32" s="17"/>
      <c r="W32" s="17"/>
    </row>
    <row r="33" spans="1:23" s="11" customFormat="1" ht="11.25" customHeight="1" x14ac:dyDescent="0.2">
      <c r="A33" s="2095"/>
      <c r="B33" s="6"/>
      <c r="C33" s="6"/>
      <c r="D33" s="967" t="s">
        <v>24</v>
      </c>
      <c r="E33" s="2108">
        <v>5.15</v>
      </c>
      <c r="F33" s="2108">
        <v>14.43</v>
      </c>
      <c r="G33" s="2137">
        <v>39.18</v>
      </c>
      <c r="H33" s="2108">
        <v>1.03</v>
      </c>
      <c r="I33" s="2108">
        <v>8.25</v>
      </c>
      <c r="J33" s="2137">
        <v>42.27</v>
      </c>
      <c r="K33" s="2108">
        <v>3.09</v>
      </c>
      <c r="L33" s="2108">
        <v>10.31</v>
      </c>
      <c r="M33" s="2137">
        <v>20.62</v>
      </c>
      <c r="N33" s="1844"/>
      <c r="O33" s="1844"/>
      <c r="P33" s="17"/>
      <c r="Q33" s="17"/>
      <c r="R33" s="17"/>
      <c r="S33" s="17"/>
      <c r="T33" s="17"/>
      <c r="U33" s="17"/>
      <c r="V33" s="17"/>
      <c r="W33" s="17"/>
    </row>
    <row r="34" spans="1:23" s="11" customFormat="1" ht="11.25" customHeight="1" x14ac:dyDescent="0.2">
      <c r="A34" s="2095"/>
      <c r="B34" s="6"/>
      <c r="C34" s="6"/>
      <c r="D34" s="967" t="s">
        <v>25</v>
      </c>
      <c r="E34" s="2108">
        <v>5.69</v>
      </c>
      <c r="F34" s="2108">
        <v>20.329999999999998</v>
      </c>
      <c r="G34" s="2137">
        <v>43.9</v>
      </c>
      <c r="H34" s="2108">
        <v>2.44</v>
      </c>
      <c r="I34" s="2108">
        <v>13.01</v>
      </c>
      <c r="J34" s="2137">
        <v>44.72</v>
      </c>
      <c r="K34" s="2108">
        <v>0</v>
      </c>
      <c r="L34" s="2108">
        <v>4.07</v>
      </c>
      <c r="M34" s="2137">
        <v>23.58</v>
      </c>
      <c r="N34" s="1844"/>
      <c r="O34" s="1844"/>
      <c r="P34" s="17"/>
      <c r="Q34" s="17"/>
      <c r="R34" s="17"/>
      <c r="S34" s="17"/>
      <c r="T34" s="17"/>
      <c r="U34" s="17"/>
      <c r="V34" s="17"/>
      <c r="W34" s="17"/>
    </row>
    <row r="35" spans="1:23" s="11" customFormat="1" ht="11.25" customHeight="1" x14ac:dyDescent="0.2">
      <c r="A35" s="2095"/>
      <c r="B35" s="6"/>
      <c r="C35" s="6"/>
      <c r="D35" s="967" t="s">
        <v>26</v>
      </c>
      <c r="E35" s="2108">
        <v>6.45</v>
      </c>
      <c r="F35" s="2108">
        <v>29.03</v>
      </c>
      <c r="G35" s="2137">
        <v>70.97</v>
      </c>
      <c r="H35" s="2108">
        <v>3.23</v>
      </c>
      <c r="I35" s="2108">
        <v>45.16</v>
      </c>
      <c r="J35" s="2137">
        <v>80.650000000000006</v>
      </c>
      <c r="K35" s="2108">
        <v>0</v>
      </c>
      <c r="L35" s="2108">
        <v>19.350000000000001</v>
      </c>
      <c r="M35" s="2137">
        <v>54.84</v>
      </c>
      <c r="N35" s="1844"/>
      <c r="O35" s="1844"/>
      <c r="P35" s="17"/>
      <c r="Q35" s="17"/>
      <c r="R35" s="17"/>
      <c r="S35" s="17"/>
      <c r="T35" s="17"/>
      <c r="U35" s="17"/>
      <c r="V35" s="17"/>
      <c r="W35" s="17"/>
    </row>
    <row r="36" spans="1:23" s="11" customFormat="1" ht="11.25" customHeight="1" x14ac:dyDescent="0.2">
      <c r="A36" s="2095"/>
      <c r="B36" s="6"/>
      <c r="C36" s="6"/>
      <c r="D36" s="967" t="s">
        <v>27</v>
      </c>
      <c r="E36" s="2108">
        <v>0</v>
      </c>
      <c r="F36" s="2108">
        <v>10.37</v>
      </c>
      <c r="G36" s="2137">
        <v>27.41</v>
      </c>
      <c r="H36" s="2108">
        <v>0</v>
      </c>
      <c r="I36" s="2108">
        <v>8.15</v>
      </c>
      <c r="J36" s="2137">
        <v>44.44</v>
      </c>
      <c r="K36" s="2108">
        <v>5.19</v>
      </c>
      <c r="L36" s="2108">
        <v>11.85</v>
      </c>
      <c r="M36" s="2137">
        <v>35.56</v>
      </c>
      <c r="N36" s="1844"/>
      <c r="O36" s="1844"/>
      <c r="P36" s="17"/>
      <c r="Q36" s="17"/>
      <c r="R36" s="17"/>
      <c r="S36" s="17"/>
      <c r="T36" s="17"/>
      <c r="U36" s="17"/>
      <c r="V36" s="17"/>
      <c r="W36" s="17"/>
    </row>
    <row r="37" spans="1:23" s="11" customFormat="1" ht="11.25" customHeight="1" x14ac:dyDescent="0.2">
      <c r="A37" s="2095"/>
      <c r="B37" s="6"/>
      <c r="C37" s="6"/>
      <c r="D37" s="2124" t="s">
        <v>28</v>
      </c>
      <c r="E37" s="2126">
        <v>6.25</v>
      </c>
      <c r="F37" s="2138">
        <v>21.19</v>
      </c>
      <c r="G37" s="2139">
        <v>49.67</v>
      </c>
      <c r="H37" s="2138">
        <v>1.02</v>
      </c>
      <c r="I37" s="2138">
        <v>10.199999999999999</v>
      </c>
      <c r="J37" s="2139">
        <v>39.26</v>
      </c>
      <c r="K37" s="2138">
        <v>1.24</v>
      </c>
      <c r="L37" s="2138">
        <v>5.54</v>
      </c>
      <c r="M37" s="2139">
        <v>19.45</v>
      </c>
      <c r="N37" s="1844"/>
      <c r="O37" s="1844"/>
      <c r="P37" s="17"/>
      <c r="Q37" s="17"/>
      <c r="R37" s="17"/>
      <c r="S37" s="17"/>
      <c r="T37" s="17"/>
      <c r="U37" s="17"/>
      <c r="V37" s="17"/>
      <c r="W37" s="17"/>
    </row>
    <row r="38" spans="1:23" s="11" customFormat="1" ht="11.25" customHeight="1" x14ac:dyDescent="0.2">
      <c r="A38" s="2095"/>
      <c r="B38" s="6"/>
      <c r="C38" s="6"/>
      <c r="D38" s="2085"/>
      <c r="E38" s="2100"/>
      <c r="F38" s="1336"/>
      <c r="G38" s="1336"/>
      <c r="H38" s="1336"/>
      <c r="I38" s="1336"/>
      <c r="J38" s="1336"/>
      <c r="K38" s="1336"/>
      <c r="L38" s="1336"/>
      <c r="M38" s="1336"/>
      <c r="N38" s="1844"/>
      <c r="O38" s="1844"/>
      <c r="P38" s="17"/>
      <c r="Q38" s="17"/>
      <c r="R38" s="17"/>
      <c r="S38" s="17"/>
      <c r="T38" s="17"/>
      <c r="U38" s="17"/>
      <c r="V38" s="17"/>
      <c r="W38" s="17"/>
    </row>
    <row r="39" spans="1:23" s="11" customFormat="1" ht="14.25" customHeight="1" x14ac:dyDescent="0.2">
      <c r="A39" s="2095"/>
      <c r="B39" s="6"/>
      <c r="C39" s="2088">
        <v>4</v>
      </c>
      <c r="D39" s="2134">
        <v>1999</v>
      </c>
      <c r="E39" s="1743"/>
      <c r="F39" s="2132"/>
      <c r="G39" s="2132"/>
      <c r="H39" s="2132"/>
      <c r="I39" s="15"/>
      <c r="J39" s="2132"/>
      <c r="K39" s="2132"/>
      <c r="L39" s="2132"/>
      <c r="M39" s="2133"/>
      <c r="O39" s="1844"/>
      <c r="P39" s="17"/>
      <c r="Q39" s="17"/>
      <c r="R39" s="17"/>
      <c r="S39" s="17"/>
      <c r="T39" s="17"/>
      <c r="U39" s="17"/>
      <c r="V39" s="17"/>
      <c r="W39" s="17"/>
    </row>
    <row r="40" spans="1:23" s="11" customFormat="1" ht="14.25" customHeight="1" x14ac:dyDescent="0.2">
      <c r="A40" s="2095"/>
      <c r="B40" s="6"/>
      <c r="C40" s="2088"/>
      <c r="D40" s="2101"/>
      <c r="E40" s="2135" t="s">
        <v>853</v>
      </c>
      <c r="F40" s="2135" t="s">
        <v>854</v>
      </c>
      <c r="G40" s="2136" t="s">
        <v>855</v>
      </c>
      <c r="H40" s="2135" t="s">
        <v>856</v>
      </c>
      <c r="I40" s="2135" t="s">
        <v>857</v>
      </c>
      <c r="J40" s="2136" t="s">
        <v>858</v>
      </c>
      <c r="K40" s="2135" t="s">
        <v>859</v>
      </c>
      <c r="L40" s="2135" t="s">
        <v>860</v>
      </c>
      <c r="M40" s="2135" t="s">
        <v>861</v>
      </c>
      <c r="O40" s="1844"/>
      <c r="P40" s="17"/>
      <c r="Q40" s="17"/>
      <c r="R40" s="17"/>
      <c r="S40" s="17"/>
      <c r="T40" s="17"/>
      <c r="U40" s="17"/>
      <c r="V40" s="17"/>
      <c r="W40" s="17"/>
    </row>
    <row r="41" spans="1:23" s="11" customFormat="1" ht="11.25" customHeight="1" x14ac:dyDescent="0.2">
      <c r="A41" s="2095"/>
      <c r="B41" s="6"/>
      <c r="C41" s="2088"/>
      <c r="D41" s="967" t="s">
        <v>19</v>
      </c>
      <c r="E41" s="2108">
        <v>7.03</v>
      </c>
      <c r="F41" s="2108">
        <v>21.88</v>
      </c>
      <c r="G41" s="2137">
        <v>48.44</v>
      </c>
      <c r="H41" s="2108">
        <v>1.56</v>
      </c>
      <c r="I41" s="2108">
        <v>7.03</v>
      </c>
      <c r="J41" s="2137">
        <v>29.3</v>
      </c>
      <c r="K41" s="2108">
        <v>0.39</v>
      </c>
      <c r="L41" s="2108">
        <v>2.73</v>
      </c>
      <c r="M41" s="2137">
        <v>9.77</v>
      </c>
      <c r="O41" s="1844"/>
      <c r="P41" s="17"/>
      <c r="Q41" s="17"/>
      <c r="R41" s="17"/>
      <c r="S41" s="17"/>
      <c r="T41" s="17"/>
      <c r="U41" s="17"/>
      <c r="V41" s="17"/>
      <c r="W41" s="17"/>
    </row>
    <row r="42" spans="1:23" s="11" customFormat="1" ht="11.25" customHeight="1" x14ac:dyDescent="0.2">
      <c r="A42" s="2095"/>
      <c r="B42" s="6"/>
      <c r="C42" s="2088"/>
      <c r="D42" s="967" t="s">
        <v>20</v>
      </c>
      <c r="E42" s="2108">
        <v>13.51</v>
      </c>
      <c r="F42" s="2108">
        <v>35.81</v>
      </c>
      <c r="G42" s="2137">
        <v>66.22</v>
      </c>
      <c r="H42" s="2108">
        <v>1.35</v>
      </c>
      <c r="I42" s="2108">
        <v>16.89</v>
      </c>
      <c r="J42" s="2137">
        <v>53.38</v>
      </c>
      <c r="K42" s="2108">
        <v>2.0299999999999998</v>
      </c>
      <c r="L42" s="2108">
        <v>2.7</v>
      </c>
      <c r="M42" s="2137">
        <v>17.57</v>
      </c>
      <c r="O42" s="1844"/>
      <c r="P42" s="17"/>
      <c r="Q42" s="17"/>
      <c r="R42" s="17"/>
      <c r="S42" s="17"/>
      <c r="T42" s="17"/>
      <c r="U42" s="17"/>
      <c r="V42" s="17"/>
      <c r="W42" s="17"/>
    </row>
    <row r="43" spans="1:23" s="11" customFormat="1" ht="11.25" customHeight="1" x14ac:dyDescent="0.2">
      <c r="A43" s="2095"/>
      <c r="B43" s="6"/>
      <c r="C43" s="2088"/>
      <c r="D43" s="967" t="s">
        <v>21</v>
      </c>
      <c r="E43" s="2108">
        <v>6.92</v>
      </c>
      <c r="F43" s="2108">
        <v>23.58</v>
      </c>
      <c r="G43" s="2137">
        <v>50.31</v>
      </c>
      <c r="H43" s="2108">
        <v>0.63</v>
      </c>
      <c r="I43" s="2108">
        <v>10.06</v>
      </c>
      <c r="J43" s="2137">
        <v>33.65</v>
      </c>
      <c r="K43" s="2108">
        <v>0</v>
      </c>
      <c r="L43" s="2108">
        <v>1.26</v>
      </c>
      <c r="M43" s="2137">
        <v>14.78</v>
      </c>
      <c r="O43" s="1844"/>
      <c r="P43" s="17"/>
      <c r="Q43" s="17"/>
      <c r="R43" s="17"/>
      <c r="S43" s="17"/>
      <c r="T43" s="17"/>
      <c r="U43" s="17"/>
      <c r="V43" s="17"/>
      <c r="W43" s="17"/>
    </row>
    <row r="44" spans="1:23" s="11" customFormat="1" ht="11.25" customHeight="1" x14ac:dyDescent="0.2">
      <c r="A44" s="2095"/>
      <c r="B44" s="6"/>
      <c r="C44" s="2088"/>
      <c r="D44" s="967" t="s">
        <v>22</v>
      </c>
      <c r="E44" s="2108">
        <v>6.21</v>
      </c>
      <c r="F44" s="2108">
        <v>23.6</v>
      </c>
      <c r="G44" s="2137">
        <v>52.8</v>
      </c>
      <c r="H44" s="2108">
        <v>0.93</v>
      </c>
      <c r="I44" s="2108">
        <v>7.45</v>
      </c>
      <c r="J44" s="2137">
        <v>31.99</v>
      </c>
      <c r="K44" s="2108">
        <v>0.62</v>
      </c>
      <c r="L44" s="2108">
        <v>2.48</v>
      </c>
      <c r="M44" s="2137">
        <v>12.42</v>
      </c>
      <c r="O44" s="1844"/>
      <c r="P44" s="17"/>
      <c r="Q44" s="17"/>
      <c r="R44" s="17"/>
      <c r="S44" s="17"/>
      <c r="T44" s="17"/>
      <c r="U44" s="17"/>
      <c r="V44" s="17"/>
      <c r="W44" s="17"/>
    </row>
    <row r="45" spans="1:23" s="11" customFormat="1" ht="11.25" customHeight="1" x14ac:dyDescent="0.2">
      <c r="A45" s="2095"/>
      <c r="B45" s="6"/>
      <c r="C45" s="2088"/>
      <c r="D45" s="967" t="s">
        <v>23</v>
      </c>
      <c r="E45" s="2108">
        <v>6.47</v>
      </c>
      <c r="F45" s="2108">
        <v>24.14</v>
      </c>
      <c r="G45" s="2137">
        <v>55.17</v>
      </c>
      <c r="H45" s="2108">
        <v>1.72</v>
      </c>
      <c r="I45" s="2108">
        <v>15.09</v>
      </c>
      <c r="J45" s="2137">
        <v>50</v>
      </c>
      <c r="K45" s="2108">
        <v>1.72</v>
      </c>
      <c r="L45" s="2108">
        <v>8.6199999999999992</v>
      </c>
      <c r="M45" s="2137">
        <v>30.6</v>
      </c>
      <c r="O45" s="1844"/>
      <c r="P45" s="17"/>
      <c r="Q45" s="17"/>
      <c r="R45" s="17"/>
      <c r="S45" s="17"/>
      <c r="T45" s="17"/>
      <c r="U45" s="17"/>
      <c r="V45" s="17"/>
      <c r="W45" s="17"/>
    </row>
    <row r="46" spans="1:23" s="11" customFormat="1" ht="11.25" customHeight="1" x14ac:dyDescent="0.2">
      <c r="A46" s="2095"/>
      <c r="B46" s="6"/>
      <c r="C46" s="2088"/>
      <c r="D46" s="967" t="s">
        <v>24</v>
      </c>
      <c r="E46" s="2108">
        <v>8.74</v>
      </c>
      <c r="F46" s="2108">
        <v>25.24</v>
      </c>
      <c r="G46" s="2137">
        <v>58.25</v>
      </c>
      <c r="H46" s="2108">
        <v>2.91</v>
      </c>
      <c r="I46" s="2108">
        <v>5.83</v>
      </c>
      <c r="J46" s="2137">
        <v>29.13</v>
      </c>
      <c r="K46" s="2108">
        <v>0</v>
      </c>
      <c r="L46" s="2108">
        <v>0.97</v>
      </c>
      <c r="M46" s="2137">
        <v>10.68</v>
      </c>
      <c r="O46" s="1844"/>
      <c r="P46" s="17"/>
      <c r="Q46" s="17"/>
      <c r="R46" s="17"/>
      <c r="S46" s="17"/>
      <c r="T46" s="17"/>
      <c r="U46" s="17"/>
      <c r="V46" s="17"/>
      <c r="W46" s="17"/>
    </row>
    <row r="47" spans="1:23" s="11" customFormat="1" ht="11.25" customHeight="1" x14ac:dyDescent="0.2">
      <c r="A47" s="2095"/>
      <c r="B47" s="6"/>
      <c r="C47" s="2088"/>
      <c r="D47" s="967" t="s">
        <v>25</v>
      </c>
      <c r="E47" s="2108">
        <v>6.94</v>
      </c>
      <c r="F47" s="2108">
        <v>26.01</v>
      </c>
      <c r="G47" s="2137">
        <v>57.8</v>
      </c>
      <c r="H47" s="2108">
        <v>2.31</v>
      </c>
      <c r="I47" s="2108">
        <v>16.760000000000002</v>
      </c>
      <c r="J47" s="2137">
        <v>56.07</v>
      </c>
      <c r="K47" s="2108">
        <v>1.1599999999999999</v>
      </c>
      <c r="L47" s="2108">
        <v>6.36</v>
      </c>
      <c r="M47" s="2137">
        <v>27.17</v>
      </c>
      <c r="O47" s="1844"/>
      <c r="P47" s="17"/>
      <c r="Q47" s="17"/>
      <c r="R47" s="17"/>
      <c r="S47" s="17"/>
      <c r="T47" s="17"/>
      <c r="U47" s="17"/>
      <c r="V47" s="17"/>
      <c r="W47" s="17"/>
    </row>
    <row r="48" spans="1:23" s="11" customFormat="1" ht="11.25" customHeight="1" x14ac:dyDescent="0.2">
      <c r="A48" s="2095"/>
      <c r="B48" s="6"/>
      <c r="C48" s="2088"/>
      <c r="D48" s="967" t="s">
        <v>26</v>
      </c>
      <c r="E48" s="2108">
        <v>13.08</v>
      </c>
      <c r="F48" s="2108">
        <v>30.84</v>
      </c>
      <c r="G48" s="2137">
        <v>55.14</v>
      </c>
      <c r="H48" s="2108">
        <v>8.41</v>
      </c>
      <c r="I48" s="2108">
        <v>25.23</v>
      </c>
      <c r="J48" s="2137">
        <v>57.01</v>
      </c>
      <c r="K48" s="2108">
        <v>2.8</v>
      </c>
      <c r="L48" s="2108">
        <v>9.35</v>
      </c>
      <c r="M48" s="2137">
        <v>37.380000000000003</v>
      </c>
      <c r="O48" s="1844"/>
      <c r="P48" s="17"/>
      <c r="Q48" s="17"/>
      <c r="R48" s="17"/>
      <c r="S48" s="17"/>
      <c r="T48" s="17"/>
      <c r="U48" s="17"/>
      <c r="V48" s="17"/>
      <c r="W48" s="17"/>
    </row>
    <row r="49" spans="1:23" s="11" customFormat="1" ht="11.25" customHeight="1" x14ac:dyDescent="0.2">
      <c r="A49" s="2095"/>
      <c r="B49" s="6"/>
      <c r="C49" s="2088"/>
      <c r="D49" s="967" t="s">
        <v>27</v>
      </c>
      <c r="E49" s="2108">
        <v>2.69</v>
      </c>
      <c r="F49" s="2108">
        <v>14.35</v>
      </c>
      <c r="G49" s="2137">
        <v>34.979999999999997</v>
      </c>
      <c r="H49" s="2108">
        <v>0.9</v>
      </c>
      <c r="I49" s="2108">
        <v>8.07</v>
      </c>
      <c r="J49" s="2137">
        <v>33.630000000000003</v>
      </c>
      <c r="K49" s="2108">
        <v>0</v>
      </c>
      <c r="L49" s="2108">
        <v>0.9</v>
      </c>
      <c r="M49" s="2137">
        <v>17.940000000000001</v>
      </c>
      <c r="O49" s="1844"/>
      <c r="P49" s="17"/>
      <c r="Q49" s="17"/>
      <c r="R49" s="17"/>
      <c r="S49" s="17"/>
      <c r="T49" s="17"/>
      <c r="U49" s="17"/>
      <c r="V49" s="17"/>
      <c r="W49" s="17"/>
    </row>
    <row r="50" spans="1:23" s="11" customFormat="1" ht="11.25" customHeight="1" x14ac:dyDescent="0.2">
      <c r="A50" s="2095"/>
      <c r="B50" s="6"/>
      <c r="C50" s="2088"/>
      <c r="D50" s="2124" t="s">
        <v>28</v>
      </c>
      <c r="E50" s="2140">
        <v>7.23</v>
      </c>
      <c r="F50" s="2140">
        <v>24.02</v>
      </c>
      <c r="G50" s="2141">
        <v>51.91</v>
      </c>
      <c r="H50" s="2140">
        <v>1.75</v>
      </c>
      <c r="I50" s="2140">
        <v>11.37</v>
      </c>
      <c r="J50" s="2141">
        <v>39.479999999999997</v>
      </c>
      <c r="K50" s="2140">
        <v>0.8</v>
      </c>
      <c r="L50" s="2140">
        <v>3.56</v>
      </c>
      <c r="M50" s="2141">
        <v>18.440000000000001</v>
      </c>
      <c r="N50" s="1844"/>
      <c r="O50" s="1844"/>
      <c r="P50" s="17"/>
      <c r="Q50" s="17"/>
      <c r="R50" s="17"/>
      <c r="S50" s="17"/>
      <c r="T50" s="17"/>
      <c r="U50" s="17"/>
      <c r="V50" s="17"/>
      <c r="W50" s="17"/>
    </row>
    <row r="51" spans="1:23" s="11" customFormat="1" ht="11.25" customHeight="1" x14ac:dyDescent="0.2">
      <c r="A51" s="2095"/>
      <c r="B51" s="6"/>
      <c r="C51" s="2088"/>
      <c r="D51" s="2085"/>
      <c r="E51" s="2142"/>
      <c r="F51" s="2142"/>
      <c r="G51" s="2142"/>
      <c r="H51" s="1844"/>
      <c r="I51" s="1844"/>
      <c r="J51" s="1844"/>
      <c r="K51" s="1844"/>
      <c r="L51" s="1844"/>
      <c r="M51" s="1844"/>
      <c r="N51" s="1844"/>
      <c r="O51" s="1844"/>
      <c r="P51" s="17"/>
      <c r="Q51" s="17"/>
      <c r="R51" s="17"/>
      <c r="S51" s="17"/>
      <c r="T51" s="17"/>
      <c r="U51" s="17"/>
      <c r="V51" s="17"/>
      <c r="W51" s="17"/>
    </row>
    <row r="52" spans="1:23" s="11" customFormat="1" ht="14.25" customHeight="1" x14ac:dyDescent="0.2">
      <c r="A52" s="2095"/>
      <c r="B52" s="6"/>
      <c r="C52" s="2088">
        <v>5</v>
      </c>
      <c r="D52" s="2134">
        <v>1994</v>
      </c>
      <c r="E52" s="1743"/>
      <c r="F52" s="2132"/>
      <c r="G52" s="2132"/>
      <c r="H52" s="2132"/>
      <c r="I52" s="15"/>
      <c r="J52" s="2132"/>
      <c r="K52" s="2132"/>
      <c r="L52" s="2132"/>
      <c r="M52" s="2133"/>
      <c r="O52" s="1844"/>
      <c r="P52" s="17"/>
      <c r="Q52" s="17"/>
      <c r="R52" s="17"/>
      <c r="S52" s="17"/>
      <c r="T52" s="17"/>
      <c r="U52" s="17"/>
      <c r="V52" s="17"/>
      <c r="W52" s="17"/>
    </row>
    <row r="53" spans="1:23" s="11" customFormat="1" ht="14.25" customHeight="1" x14ac:dyDescent="0.2">
      <c r="A53" s="2095"/>
      <c r="B53" s="6"/>
      <c r="C53" s="2088"/>
      <c r="D53" s="2101"/>
      <c r="E53" s="2135" t="s">
        <v>853</v>
      </c>
      <c r="F53" s="2135" t="s">
        <v>854</v>
      </c>
      <c r="G53" s="2136" t="s">
        <v>855</v>
      </c>
      <c r="H53" s="2135" t="s">
        <v>856</v>
      </c>
      <c r="I53" s="2135" t="s">
        <v>857</v>
      </c>
      <c r="J53" s="2136" t="s">
        <v>858</v>
      </c>
      <c r="K53" s="2135" t="s">
        <v>859</v>
      </c>
      <c r="L53" s="2135" t="s">
        <v>860</v>
      </c>
      <c r="M53" s="2136" t="s">
        <v>861</v>
      </c>
      <c r="O53" s="1844"/>
      <c r="P53" s="17"/>
      <c r="Q53" s="17"/>
      <c r="R53" s="17"/>
      <c r="S53" s="17"/>
      <c r="T53" s="17"/>
      <c r="U53" s="17"/>
      <c r="V53" s="17"/>
      <c r="W53" s="17"/>
    </row>
    <row r="54" spans="1:23" s="11" customFormat="1" ht="11.25" customHeight="1" x14ac:dyDescent="0.2">
      <c r="A54" s="2095"/>
      <c r="B54" s="6"/>
      <c r="C54" s="2088"/>
      <c r="D54" s="967" t="s">
        <v>19</v>
      </c>
      <c r="E54" s="2143">
        <v>8.4</v>
      </c>
      <c r="F54" s="2143">
        <v>28.8</v>
      </c>
      <c r="G54" s="2144" t="s">
        <v>862</v>
      </c>
      <c r="H54" s="2143">
        <v>2.2000000000000002</v>
      </c>
      <c r="I54" s="2143">
        <v>11.4</v>
      </c>
      <c r="J54" s="2144" t="s">
        <v>862</v>
      </c>
      <c r="K54" s="2143">
        <v>0.6</v>
      </c>
      <c r="L54" s="2143">
        <v>3.2</v>
      </c>
      <c r="M54" s="2144" t="s">
        <v>862</v>
      </c>
      <c r="O54" s="1844"/>
      <c r="P54" s="17"/>
      <c r="Q54" s="17"/>
      <c r="R54" s="17"/>
      <c r="S54" s="17"/>
      <c r="T54" s="17"/>
      <c r="U54" s="17"/>
      <c r="V54" s="17"/>
      <c r="W54" s="17"/>
    </row>
    <row r="55" spans="1:23" s="11" customFormat="1" ht="11.25" customHeight="1" x14ac:dyDescent="0.2">
      <c r="A55" s="2095"/>
      <c r="B55" s="6"/>
      <c r="C55" s="2088"/>
      <c r="D55" s="967" t="s">
        <v>20</v>
      </c>
      <c r="E55" s="2142">
        <v>8.6</v>
      </c>
      <c r="F55" s="2142">
        <v>28.7</v>
      </c>
      <c r="G55" s="2145" t="s">
        <v>862</v>
      </c>
      <c r="H55" s="2142">
        <v>2.4</v>
      </c>
      <c r="I55" s="2142">
        <v>13.6</v>
      </c>
      <c r="J55" s="2145" t="s">
        <v>862</v>
      </c>
      <c r="K55" s="2142">
        <v>0.8</v>
      </c>
      <c r="L55" s="2142">
        <v>4.5</v>
      </c>
      <c r="M55" s="2145" t="s">
        <v>862</v>
      </c>
      <c r="O55" s="1844"/>
      <c r="P55" s="17"/>
      <c r="Q55" s="17"/>
      <c r="R55" s="17"/>
      <c r="S55" s="17"/>
      <c r="T55" s="17"/>
      <c r="U55" s="17"/>
      <c r="V55" s="17"/>
      <c r="W55" s="17"/>
    </row>
    <row r="56" spans="1:23" s="11" customFormat="1" ht="11.25" customHeight="1" x14ac:dyDescent="0.2">
      <c r="A56" s="2095"/>
      <c r="B56" s="6"/>
      <c r="C56" s="2088"/>
      <c r="D56" s="967" t="s">
        <v>21</v>
      </c>
      <c r="E56" s="2142">
        <v>2.2000000000000002</v>
      </c>
      <c r="F56" s="2142">
        <v>11.5</v>
      </c>
      <c r="G56" s="2145" t="s">
        <v>862</v>
      </c>
      <c r="H56" s="2142">
        <v>0.6</v>
      </c>
      <c r="I56" s="2142">
        <v>5.6</v>
      </c>
      <c r="J56" s="2145" t="s">
        <v>862</v>
      </c>
      <c r="K56" s="2142">
        <v>0</v>
      </c>
      <c r="L56" s="2142">
        <v>1.2</v>
      </c>
      <c r="M56" s="2145" t="s">
        <v>862</v>
      </c>
      <c r="O56" s="1844"/>
      <c r="P56" s="17"/>
      <c r="Q56" s="17"/>
      <c r="R56" s="17"/>
      <c r="S56" s="17"/>
      <c r="T56" s="17"/>
      <c r="U56" s="17"/>
      <c r="V56" s="17"/>
      <c r="W56" s="17"/>
    </row>
    <row r="57" spans="1:23" s="11" customFormat="1" ht="11.25" customHeight="1" x14ac:dyDescent="0.2">
      <c r="A57" s="2095"/>
      <c r="B57" s="6"/>
      <c r="C57" s="2088"/>
      <c r="D57" s="967" t="s">
        <v>22</v>
      </c>
      <c r="E57" s="2142">
        <v>3.5</v>
      </c>
      <c r="F57" s="2142">
        <v>14.6</v>
      </c>
      <c r="G57" s="2145" t="s">
        <v>862</v>
      </c>
      <c r="H57" s="2142">
        <v>0.2</v>
      </c>
      <c r="I57" s="2142">
        <v>4.2</v>
      </c>
      <c r="J57" s="2145" t="s">
        <v>862</v>
      </c>
      <c r="K57" s="2142">
        <v>0.1</v>
      </c>
      <c r="L57" s="2142">
        <v>0.7</v>
      </c>
      <c r="M57" s="2145" t="s">
        <v>862</v>
      </c>
      <c r="O57" s="1844"/>
      <c r="P57" s="17"/>
      <c r="Q57" s="17"/>
      <c r="R57" s="17"/>
      <c r="S57" s="17"/>
      <c r="T57" s="17"/>
      <c r="U57" s="17"/>
      <c r="V57" s="17"/>
      <c r="W57" s="17"/>
    </row>
    <row r="58" spans="1:23" s="11" customFormat="1" ht="11.25" customHeight="1" x14ac:dyDescent="0.2">
      <c r="A58" s="2095"/>
      <c r="B58" s="6"/>
      <c r="C58" s="2088"/>
      <c r="D58" s="967" t="s">
        <v>23</v>
      </c>
      <c r="E58" s="2142">
        <v>12.6</v>
      </c>
      <c r="F58" s="2142">
        <v>34.200000000000003</v>
      </c>
      <c r="G58" s="2145" t="s">
        <v>862</v>
      </c>
      <c r="H58" s="2142">
        <v>2.6</v>
      </c>
      <c r="I58" s="2142">
        <v>12.6</v>
      </c>
      <c r="J58" s="2145" t="s">
        <v>862</v>
      </c>
      <c r="K58" s="2142">
        <v>0.5</v>
      </c>
      <c r="L58" s="2142">
        <v>3.8</v>
      </c>
      <c r="M58" s="2145" t="s">
        <v>862</v>
      </c>
      <c r="O58" s="1844"/>
      <c r="P58" s="17"/>
      <c r="Q58" s="17"/>
      <c r="R58" s="17"/>
      <c r="S58" s="17"/>
      <c r="T58" s="17"/>
      <c r="U58" s="17"/>
      <c r="V58" s="17"/>
      <c r="W58" s="17"/>
    </row>
    <row r="59" spans="1:23" s="11" customFormat="1" ht="11.25" customHeight="1" x14ac:dyDescent="0.2">
      <c r="A59" s="2095"/>
      <c r="B59" s="6"/>
      <c r="C59" s="2088"/>
      <c r="D59" s="967" t="s">
        <v>24</v>
      </c>
      <c r="E59" s="2142">
        <v>6</v>
      </c>
      <c r="F59" s="2142">
        <v>20.399999999999999</v>
      </c>
      <c r="G59" s="2145" t="s">
        <v>862</v>
      </c>
      <c r="H59" s="2142">
        <v>1</v>
      </c>
      <c r="I59" s="2142">
        <v>7.3</v>
      </c>
      <c r="J59" s="2145" t="s">
        <v>862</v>
      </c>
      <c r="K59" s="2142">
        <v>0.4</v>
      </c>
      <c r="L59" s="2142">
        <v>1.7</v>
      </c>
      <c r="M59" s="2145" t="s">
        <v>862</v>
      </c>
      <c r="O59" s="1844"/>
      <c r="P59" s="17"/>
      <c r="Q59" s="17"/>
      <c r="R59" s="17"/>
      <c r="S59" s="17"/>
      <c r="T59" s="17"/>
      <c r="U59" s="17"/>
      <c r="V59" s="17"/>
      <c r="W59" s="17"/>
    </row>
    <row r="60" spans="1:23" s="11" customFormat="1" ht="11.25" customHeight="1" x14ac:dyDescent="0.2">
      <c r="A60" s="2095"/>
      <c r="B60" s="6"/>
      <c r="C60" s="2088"/>
      <c r="D60" s="967" t="s">
        <v>25</v>
      </c>
      <c r="E60" s="2142">
        <v>7.1</v>
      </c>
      <c r="F60" s="2142">
        <v>24.7</v>
      </c>
      <c r="G60" s="2145" t="s">
        <v>862</v>
      </c>
      <c r="H60" s="2142">
        <v>1.6</v>
      </c>
      <c r="I60" s="2142">
        <v>13.2</v>
      </c>
      <c r="J60" s="2145" t="s">
        <v>862</v>
      </c>
      <c r="K60" s="2142">
        <v>0.6</v>
      </c>
      <c r="L60" s="2142">
        <v>4.5</v>
      </c>
      <c r="M60" s="2145" t="s">
        <v>862</v>
      </c>
      <c r="O60" s="1844"/>
      <c r="P60" s="17"/>
      <c r="Q60" s="17"/>
      <c r="R60" s="17"/>
      <c r="S60" s="17"/>
      <c r="T60" s="17"/>
      <c r="U60" s="17"/>
      <c r="V60" s="17"/>
      <c r="W60" s="17"/>
    </row>
    <row r="61" spans="1:23" s="11" customFormat="1" ht="11.25" customHeight="1" x14ac:dyDescent="0.2">
      <c r="A61" s="2095"/>
      <c r="B61" s="6"/>
      <c r="C61" s="2088"/>
      <c r="D61" s="967" t="s">
        <v>26</v>
      </c>
      <c r="E61" s="2142">
        <v>5.9</v>
      </c>
      <c r="F61" s="2142">
        <v>22.8</v>
      </c>
      <c r="G61" s="2145" t="s">
        <v>862</v>
      </c>
      <c r="H61" s="2142">
        <v>1.1000000000000001</v>
      </c>
      <c r="I61" s="2142">
        <v>15.6</v>
      </c>
      <c r="J61" s="2145" t="s">
        <v>862</v>
      </c>
      <c r="K61" s="2142">
        <v>0.1</v>
      </c>
      <c r="L61" s="2142">
        <v>2.5</v>
      </c>
      <c r="M61" s="2145" t="s">
        <v>862</v>
      </c>
      <c r="O61" s="1844"/>
      <c r="P61" s="17"/>
      <c r="Q61" s="17"/>
      <c r="R61" s="17"/>
      <c r="S61" s="17"/>
      <c r="T61" s="17"/>
      <c r="U61" s="17"/>
      <c r="V61" s="17"/>
      <c r="W61" s="17"/>
    </row>
    <row r="62" spans="1:23" s="11" customFormat="1" ht="11.25" customHeight="1" x14ac:dyDescent="0.2">
      <c r="A62" s="2095"/>
      <c r="B62" s="6"/>
      <c r="C62" s="2088"/>
      <c r="D62" s="967" t="s">
        <v>27</v>
      </c>
      <c r="E62" s="2142">
        <v>2.2999999999999998</v>
      </c>
      <c r="F62" s="2142">
        <v>11.6</v>
      </c>
      <c r="G62" s="2145" t="s">
        <v>862</v>
      </c>
      <c r="H62" s="2142">
        <v>0.7</v>
      </c>
      <c r="I62" s="2142">
        <v>7</v>
      </c>
      <c r="J62" s="2145" t="s">
        <v>862</v>
      </c>
      <c r="K62" s="2142">
        <v>0</v>
      </c>
      <c r="L62" s="2142">
        <v>1.3</v>
      </c>
      <c r="M62" s="2145" t="s">
        <v>862</v>
      </c>
      <c r="O62" s="1844"/>
      <c r="P62" s="17"/>
      <c r="Q62" s="17"/>
      <c r="R62" s="17"/>
      <c r="S62" s="17"/>
      <c r="T62" s="17"/>
      <c r="U62" s="17"/>
      <c r="V62" s="17"/>
      <c r="W62" s="17"/>
    </row>
    <row r="63" spans="1:23" s="11" customFormat="1" ht="11.25" customHeight="1" x14ac:dyDescent="0.2">
      <c r="A63" s="2095"/>
      <c r="B63" s="6"/>
      <c r="C63" s="2088"/>
      <c r="D63" s="2124" t="s">
        <v>28</v>
      </c>
      <c r="E63" s="2140">
        <v>6.6</v>
      </c>
      <c r="F63" s="2140">
        <v>22.9</v>
      </c>
      <c r="G63" s="2141" t="s">
        <v>862</v>
      </c>
      <c r="H63" s="2140">
        <v>1.4</v>
      </c>
      <c r="I63" s="2140">
        <v>9.3000000000000007</v>
      </c>
      <c r="J63" s="2141" t="s">
        <v>862</v>
      </c>
      <c r="K63" s="2140">
        <v>0.4</v>
      </c>
      <c r="L63" s="2140">
        <v>2.6</v>
      </c>
      <c r="M63" s="2141" t="s">
        <v>862</v>
      </c>
      <c r="O63" s="1844"/>
      <c r="P63" s="17"/>
      <c r="Q63" s="17"/>
      <c r="R63" s="17"/>
      <c r="S63" s="17"/>
      <c r="T63" s="17"/>
      <c r="U63" s="17"/>
      <c r="V63" s="17"/>
      <c r="W63" s="17"/>
    </row>
    <row r="64" spans="1:23" s="11" customFormat="1" ht="14.25" customHeight="1" x14ac:dyDescent="0.2">
      <c r="A64" s="2095"/>
      <c r="B64" s="6"/>
      <c r="C64" s="2088"/>
      <c r="D64" s="943"/>
      <c r="E64" s="2146"/>
      <c r="F64" s="2132"/>
      <c r="G64" s="2132"/>
      <c r="H64" s="2132"/>
      <c r="I64" s="2132"/>
      <c r="J64" s="2132"/>
      <c r="K64" s="2132"/>
      <c r="L64" s="2132"/>
      <c r="M64" s="2133"/>
      <c r="N64" s="2147"/>
      <c r="O64" s="1844"/>
      <c r="P64" s="17"/>
      <c r="Q64" s="17"/>
      <c r="R64" s="17"/>
      <c r="S64" s="17"/>
      <c r="T64" s="17"/>
      <c r="U64" s="17"/>
      <c r="V64" s="17"/>
      <c r="W64" s="17"/>
    </row>
    <row r="65" spans="1:23" s="11" customFormat="1" ht="11.25" x14ac:dyDescent="0.2">
      <c r="A65" s="2095"/>
      <c r="B65" s="6"/>
      <c r="C65" s="6"/>
      <c r="D65" s="2085"/>
      <c r="E65" s="2100"/>
      <c r="F65" s="1336"/>
      <c r="G65" s="1336"/>
      <c r="H65" s="1336"/>
      <c r="I65" s="1336"/>
      <c r="J65" s="1336"/>
      <c r="K65" s="1336"/>
      <c r="L65" s="1336"/>
      <c r="M65" s="1336"/>
      <c r="N65" s="1844"/>
      <c r="O65" s="1844"/>
      <c r="P65" s="17"/>
      <c r="Q65" s="17"/>
      <c r="R65" s="17"/>
      <c r="S65" s="17"/>
      <c r="T65" s="17"/>
      <c r="U65" s="17"/>
      <c r="V65" s="17"/>
      <c r="W65" s="17"/>
    </row>
    <row r="66" spans="1:23" s="11" customFormat="1" ht="11.25" x14ac:dyDescent="0.2">
      <c r="A66" s="2095"/>
      <c r="B66" s="6"/>
      <c r="C66" s="6"/>
      <c r="D66" s="2085"/>
      <c r="E66" s="2100"/>
      <c r="F66" s="1336"/>
      <c r="G66" s="1336"/>
      <c r="H66" s="1336"/>
      <c r="I66" s="1336"/>
      <c r="J66" s="1336"/>
      <c r="K66" s="1336"/>
      <c r="L66" s="1336"/>
      <c r="M66" s="1336"/>
      <c r="N66" s="1844"/>
      <c r="O66" s="1844"/>
      <c r="P66" s="17"/>
      <c r="Q66" s="17"/>
      <c r="R66" s="17"/>
      <c r="S66" s="17"/>
      <c r="T66" s="17"/>
      <c r="U66" s="17"/>
      <c r="V66" s="17"/>
      <c r="W66" s="17"/>
    </row>
    <row r="67" spans="1:23" s="11" customFormat="1" ht="11.25" x14ac:dyDescent="0.2">
      <c r="A67" s="2095"/>
      <c r="B67" s="6"/>
      <c r="C67" s="6"/>
      <c r="D67" s="2085"/>
      <c r="E67" s="2100"/>
      <c r="F67" s="1336"/>
      <c r="G67" s="1336"/>
      <c r="H67" s="1336"/>
      <c r="I67" s="1336"/>
      <c r="J67" s="1336"/>
      <c r="K67" s="1336"/>
      <c r="L67" s="1336"/>
      <c r="M67" s="1336"/>
      <c r="N67" s="1844"/>
      <c r="O67" s="1844"/>
      <c r="P67" s="17"/>
      <c r="Q67" s="17"/>
      <c r="R67" s="17"/>
      <c r="S67" s="17"/>
      <c r="T67" s="17"/>
      <c r="U67" s="17"/>
      <c r="V67" s="17"/>
      <c r="W67" s="17"/>
    </row>
    <row r="68" spans="1:23" ht="14.25" x14ac:dyDescent="0.2">
      <c r="A68" s="1">
        <v>6</v>
      </c>
      <c r="B68" s="1" t="s">
        <v>90</v>
      </c>
      <c r="C68" s="1"/>
      <c r="M68" s="2133"/>
      <c r="N68" s="2041"/>
      <c r="O68" s="2041"/>
      <c r="P68" s="2041"/>
      <c r="Q68" s="2041"/>
      <c r="R68" s="2041"/>
      <c r="S68" s="2041"/>
      <c r="T68" s="2041"/>
      <c r="U68" s="2041"/>
      <c r="V68" s="2041"/>
      <c r="W68" s="2041"/>
    </row>
    <row r="85" spans="1:23" ht="15" customHeight="1" x14ac:dyDescent="0.2">
      <c r="A85" s="1">
        <v>7</v>
      </c>
      <c r="B85" s="1" t="s">
        <v>29</v>
      </c>
      <c r="C85" s="1"/>
      <c r="D85" s="4140" t="s">
        <v>294</v>
      </c>
      <c r="E85" s="4141"/>
      <c r="F85" s="4141"/>
      <c r="G85" s="4141"/>
      <c r="H85" s="4141"/>
      <c r="I85" s="4141"/>
      <c r="J85" s="4141"/>
      <c r="K85" s="4141"/>
      <c r="L85" s="4141"/>
      <c r="M85" s="4141"/>
      <c r="N85" s="4141"/>
      <c r="O85" s="4141"/>
      <c r="P85" s="4141"/>
      <c r="Q85" s="4141"/>
      <c r="R85" s="4141"/>
      <c r="S85" s="4141"/>
      <c r="T85" s="4141"/>
      <c r="U85" s="4141"/>
      <c r="V85" s="4142"/>
      <c r="W85" s="1769"/>
    </row>
    <row r="86" spans="1:23" ht="30.75" customHeight="1" x14ac:dyDescent="0.2">
      <c r="A86" s="40">
        <v>8</v>
      </c>
      <c r="B86" s="40" t="s">
        <v>32</v>
      </c>
      <c r="C86" s="40"/>
      <c r="D86" s="4247" t="s">
        <v>863</v>
      </c>
      <c r="E86" s="4248"/>
      <c r="F86" s="4248"/>
      <c r="G86" s="4248"/>
      <c r="H86" s="4248"/>
      <c r="I86" s="4248"/>
      <c r="J86" s="4248"/>
      <c r="K86" s="4248"/>
      <c r="L86" s="4248"/>
      <c r="M86" s="4248"/>
      <c r="N86" s="4248"/>
      <c r="O86" s="4248"/>
      <c r="P86" s="4248"/>
      <c r="Q86" s="4248"/>
      <c r="R86" s="4248"/>
      <c r="S86" s="4248"/>
      <c r="T86" s="4248"/>
      <c r="U86" s="4248"/>
      <c r="V86" s="4249"/>
      <c r="W86" s="2148"/>
    </row>
    <row r="87" spans="1:23" ht="40.5" customHeight="1" x14ac:dyDescent="0.2">
      <c r="A87" s="1">
        <v>9</v>
      </c>
      <c r="B87" s="1" t="s">
        <v>31</v>
      </c>
      <c r="C87" s="1"/>
      <c r="D87" s="4193" t="s">
        <v>864</v>
      </c>
      <c r="E87" s="4194"/>
      <c r="F87" s="4194"/>
      <c r="G87" s="4194"/>
      <c r="H87" s="4194"/>
      <c r="I87" s="4194"/>
      <c r="J87" s="4194"/>
      <c r="K87" s="4194"/>
      <c r="L87" s="4194"/>
      <c r="M87" s="4194"/>
      <c r="N87" s="4194"/>
      <c r="O87" s="4194"/>
      <c r="P87" s="4194"/>
      <c r="Q87" s="4194"/>
      <c r="R87" s="4194"/>
      <c r="S87" s="4194"/>
      <c r="T87" s="4194"/>
      <c r="U87" s="4194"/>
      <c r="V87" s="4195"/>
      <c r="W87" s="688"/>
    </row>
    <row r="89" spans="1:23" ht="99.75" customHeight="1" x14ac:dyDescent="0.2">
      <c r="A89" s="4250" t="s">
        <v>865</v>
      </c>
      <c r="B89" s="4250"/>
      <c r="C89" s="4250"/>
      <c r="D89" s="4250"/>
      <c r="E89" s="4250"/>
      <c r="F89" s="4250"/>
      <c r="G89" s="4250"/>
      <c r="H89" s="4250"/>
      <c r="I89" s="4250"/>
      <c r="J89" s="4250"/>
      <c r="K89" s="4250"/>
      <c r="L89" s="4250"/>
      <c r="M89" s="4250"/>
      <c r="N89" s="4250"/>
      <c r="O89" s="4250"/>
      <c r="P89" s="4250"/>
      <c r="Q89" s="4250"/>
    </row>
  </sheetData>
  <mergeCells count="10">
    <mergeCell ref="D85:V85"/>
    <mergeCell ref="D86:V86"/>
    <mergeCell ref="D87:V87"/>
    <mergeCell ref="A89:Q89"/>
    <mergeCell ref="D2:V2"/>
    <mergeCell ref="D3:V3"/>
    <mergeCell ref="D4:W4"/>
    <mergeCell ref="D5:V5"/>
    <mergeCell ref="F12:G12"/>
    <mergeCell ref="J12:O12"/>
  </mergeCells>
  <pageMargins left="0.74803149606299202" right="0.74803149606299202" top="0.98425196850393704" bottom="0.98425196850393704" header="0.511811023622047" footer="0.511811023622047"/>
  <pageSetup paperSize="9" scale="3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86"/>
  <sheetViews>
    <sheetView showGridLines="0" view="pageBreakPreview" zoomScaleNormal="100" zoomScaleSheetLayoutView="100" workbookViewId="0">
      <selection activeCell="D4" sqref="D4:AB4"/>
    </sheetView>
  </sheetViews>
  <sheetFormatPr defaultColWidth="9.28515625" defaultRowHeight="15" x14ac:dyDescent="0.25"/>
  <cols>
    <col min="1" max="1" width="3.7109375" style="116" customWidth="1"/>
    <col min="2" max="2" width="12.7109375" style="113" customWidth="1"/>
    <col min="3" max="3" width="3.7109375" style="114" customWidth="1"/>
    <col min="4" max="4" width="8.28515625" style="44" customWidth="1"/>
    <col min="5" max="5" width="4.28515625" style="44" customWidth="1"/>
    <col min="6" max="22" width="7.7109375" style="44" customWidth="1"/>
    <col min="23" max="23" width="6" style="44" customWidth="1"/>
    <col min="24" max="24" width="5.7109375" style="44" customWidth="1"/>
    <col min="25" max="25" width="6.28515625" style="44" customWidth="1"/>
    <col min="26" max="26" width="6.42578125" style="44" customWidth="1"/>
    <col min="27" max="27" width="5.28515625" style="44" customWidth="1"/>
    <col min="28" max="28" width="5" style="44" customWidth="1"/>
    <col min="29" max="29" width="6.7109375" style="44" customWidth="1"/>
    <col min="30" max="16384" width="9.28515625" style="44"/>
  </cols>
  <sheetData>
    <row r="1" spans="1:29" x14ac:dyDescent="0.25">
      <c r="A1" s="112"/>
      <c r="D1" s="115"/>
      <c r="E1" s="115"/>
      <c r="F1" s="115"/>
      <c r="G1" s="115"/>
      <c r="H1" s="115"/>
      <c r="I1" s="115"/>
      <c r="J1" s="115"/>
      <c r="K1" s="115"/>
      <c r="L1" s="115"/>
      <c r="M1" s="115"/>
      <c r="N1" s="115"/>
      <c r="O1" s="115"/>
      <c r="P1" s="115"/>
      <c r="Q1" s="115"/>
      <c r="R1" s="115"/>
      <c r="S1" s="115"/>
      <c r="T1" s="115"/>
      <c r="U1" s="115"/>
      <c r="V1" s="115"/>
      <c r="W1" s="115"/>
    </row>
    <row r="2" spans="1:29" ht="12.75" customHeight="1" x14ac:dyDescent="0.25">
      <c r="A2" s="116">
        <v>1</v>
      </c>
      <c r="B2" s="117" t="s">
        <v>100</v>
      </c>
      <c r="C2" s="116">
        <f>[1]GDP!C2+1</f>
        <v>2</v>
      </c>
      <c r="D2" s="4054" t="s">
        <v>101</v>
      </c>
      <c r="E2" s="4055"/>
      <c r="F2" s="4055"/>
      <c r="G2" s="4055"/>
      <c r="H2" s="4055"/>
      <c r="I2" s="4055"/>
      <c r="J2" s="4055"/>
      <c r="K2" s="4055"/>
      <c r="L2" s="4055"/>
      <c r="M2" s="4055"/>
      <c r="N2" s="4055"/>
      <c r="O2" s="4055"/>
      <c r="P2" s="4055"/>
      <c r="Q2" s="4055"/>
      <c r="R2" s="4055"/>
      <c r="S2" s="4055"/>
      <c r="T2" s="4055"/>
      <c r="U2" s="4055"/>
      <c r="V2" s="4055"/>
      <c r="W2" s="4055"/>
      <c r="X2" s="4055"/>
      <c r="Y2" s="4055"/>
      <c r="Z2" s="4055"/>
      <c r="AA2" s="4055"/>
      <c r="AB2" s="4056"/>
    </row>
    <row r="3" spans="1:29" ht="12.75" customHeight="1" x14ac:dyDescent="0.25">
      <c r="A3" s="116">
        <v>2</v>
      </c>
      <c r="B3" s="117" t="s">
        <v>102</v>
      </c>
      <c r="C3" s="116"/>
      <c r="D3" s="4057" t="s">
        <v>37</v>
      </c>
      <c r="E3" s="4058"/>
      <c r="F3" s="4058"/>
      <c r="G3" s="4058"/>
      <c r="H3" s="4058"/>
      <c r="I3" s="4058"/>
      <c r="J3" s="4058"/>
      <c r="K3" s="4058"/>
      <c r="L3" s="4058"/>
      <c r="M3" s="4058"/>
      <c r="N3" s="4058"/>
      <c r="O3" s="4058"/>
      <c r="P3" s="4058"/>
      <c r="Q3" s="4058"/>
      <c r="R3" s="4058"/>
      <c r="S3" s="4058"/>
      <c r="T3" s="4058"/>
      <c r="U3" s="4058"/>
      <c r="V3" s="4058"/>
      <c r="W3" s="4058"/>
      <c r="X3" s="4058"/>
      <c r="Y3" s="4058"/>
      <c r="Z3" s="4058"/>
      <c r="AA3" s="4058"/>
      <c r="AB3" s="4059"/>
    </row>
    <row r="4" spans="1:29" ht="12.75" customHeight="1" x14ac:dyDescent="0.25">
      <c r="A4" s="116">
        <v>3</v>
      </c>
      <c r="B4" s="117" t="s">
        <v>4</v>
      </c>
      <c r="C4" s="116"/>
      <c r="D4" s="4057" t="s">
        <v>1787</v>
      </c>
      <c r="E4" s="4058"/>
      <c r="F4" s="4058"/>
      <c r="G4" s="4058"/>
      <c r="H4" s="4058"/>
      <c r="I4" s="4058"/>
      <c r="J4" s="4058"/>
      <c r="K4" s="4058"/>
      <c r="L4" s="4058"/>
      <c r="M4" s="4058"/>
      <c r="N4" s="4058"/>
      <c r="O4" s="4058"/>
      <c r="P4" s="4058"/>
      <c r="Q4" s="4058"/>
      <c r="R4" s="4058"/>
      <c r="S4" s="4058"/>
      <c r="T4" s="4058"/>
      <c r="U4" s="4058"/>
      <c r="V4" s="4058"/>
      <c r="W4" s="4058"/>
      <c r="X4" s="4058"/>
      <c r="Y4" s="4058"/>
      <c r="Z4" s="4058"/>
      <c r="AA4" s="4058"/>
      <c r="AB4" s="4059"/>
    </row>
    <row r="5" spans="1:29" ht="16.5" customHeight="1" x14ac:dyDescent="0.25">
      <c r="B5" s="117"/>
      <c r="C5" s="116"/>
      <c r="D5" s="4060"/>
      <c r="E5" s="4061"/>
      <c r="F5" s="4061"/>
      <c r="G5" s="4061"/>
      <c r="H5" s="4061"/>
      <c r="I5" s="4061"/>
      <c r="J5" s="4061"/>
      <c r="K5" s="4061"/>
      <c r="L5" s="4061"/>
      <c r="M5" s="4061"/>
      <c r="N5" s="4061"/>
      <c r="O5" s="4061"/>
      <c r="P5" s="4061"/>
      <c r="Q5" s="4061"/>
      <c r="R5" s="4061"/>
      <c r="S5" s="4061"/>
      <c r="T5" s="4061"/>
      <c r="U5" s="4061"/>
      <c r="V5" s="4061"/>
      <c r="W5" s="4061"/>
      <c r="X5" s="4061"/>
      <c r="Y5" s="4061"/>
      <c r="Z5" s="4061"/>
      <c r="AA5" s="4061"/>
      <c r="AB5" s="4062"/>
    </row>
    <row r="6" spans="1:29" x14ac:dyDescent="0.25">
      <c r="A6" s="116">
        <v>4</v>
      </c>
      <c r="B6" s="121" t="s">
        <v>5</v>
      </c>
      <c r="D6" s="122" t="s">
        <v>6</v>
      </c>
      <c r="E6" s="122"/>
      <c r="F6" s="123" t="s">
        <v>103</v>
      </c>
      <c r="G6" s="123"/>
      <c r="H6" s="123"/>
      <c r="I6" s="123"/>
      <c r="J6" s="123"/>
      <c r="K6" s="123"/>
      <c r="L6" s="123"/>
      <c r="M6" s="123"/>
      <c r="N6" s="124"/>
      <c r="O6" s="124"/>
      <c r="P6" s="124"/>
      <c r="Q6" s="124"/>
      <c r="R6" s="124"/>
      <c r="S6" s="125"/>
      <c r="T6" s="115"/>
      <c r="U6" s="115"/>
      <c r="V6" s="115"/>
      <c r="W6" s="115"/>
    </row>
    <row r="7" spans="1:29" x14ac:dyDescent="0.25">
      <c r="D7" s="126"/>
      <c r="E7" s="127"/>
      <c r="F7" s="128">
        <v>1994</v>
      </c>
      <c r="G7" s="129" t="s">
        <v>43</v>
      </c>
      <c r="H7" s="129" t="s">
        <v>44</v>
      </c>
      <c r="I7" s="129" t="s">
        <v>45</v>
      </c>
      <c r="J7" s="129" t="s">
        <v>46</v>
      </c>
      <c r="K7" s="129" t="s">
        <v>47</v>
      </c>
      <c r="L7" s="129" t="s">
        <v>48</v>
      </c>
      <c r="M7" s="129" t="s">
        <v>49</v>
      </c>
      <c r="N7" s="129" t="s">
        <v>50</v>
      </c>
      <c r="O7" s="129" t="s">
        <v>51</v>
      </c>
      <c r="P7" s="129" t="s">
        <v>52</v>
      </c>
      <c r="Q7" s="129" t="s">
        <v>53</v>
      </c>
      <c r="R7" s="129" t="s">
        <v>54</v>
      </c>
      <c r="S7" s="129" t="s">
        <v>55</v>
      </c>
      <c r="T7" s="129" t="s">
        <v>56</v>
      </c>
      <c r="U7" s="129" t="s">
        <v>57</v>
      </c>
      <c r="V7" s="129" t="s">
        <v>58</v>
      </c>
      <c r="W7" s="129" t="s">
        <v>59</v>
      </c>
      <c r="X7" s="129" t="s">
        <v>60</v>
      </c>
      <c r="Y7" s="129" t="s">
        <v>61</v>
      </c>
      <c r="Z7" s="130">
        <v>2014</v>
      </c>
      <c r="AA7" s="130">
        <v>2015</v>
      </c>
      <c r="AB7" s="130">
        <v>2016</v>
      </c>
      <c r="AC7" s="3658">
        <v>2017</v>
      </c>
    </row>
    <row r="8" spans="1:29" s="74" customFormat="1" ht="23.25" customHeight="1" x14ac:dyDescent="0.25">
      <c r="A8" s="131"/>
      <c r="B8" s="132"/>
      <c r="C8" s="133"/>
      <c r="D8" s="134" t="s">
        <v>104</v>
      </c>
      <c r="E8" s="135"/>
      <c r="F8" s="136">
        <v>1.1000000000000001</v>
      </c>
      <c r="G8" s="136">
        <v>1</v>
      </c>
      <c r="H8" s="136">
        <v>2.1</v>
      </c>
      <c r="I8" s="136">
        <v>0.5</v>
      </c>
      <c r="J8" s="136">
        <v>-1.6</v>
      </c>
      <c r="K8" s="136">
        <v>0.2</v>
      </c>
      <c r="L8" s="136">
        <v>2.1</v>
      </c>
      <c r="M8" s="136">
        <v>0.8</v>
      </c>
      <c r="N8" s="136">
        <v>1.6</v>
      </c>
      <c r="O8" s="136">
        <v>1.1000000000000001</v>
      </c>
      <c r="P8" s="136">
        <v>2.8</v>
      </c>
      <c r="Q8" s="136">
        <v>3.6</v>
      </c>
      <c r="R8" s="136">
        <v>4</v>
      </c>
      <c r="S8" s="136">
        <v>3.9</v>
      </c>
      <c r="T8" s="136">
        <v>1.9</v>
      </c>
      <c r="U8" s="136">
        <v>-2.7</v>
      </c>
      <c r="V8" s="136">
        <v>1.9</v>
      </c>
      <c r="W8" s="136">
        <v>2.1</v>
      </c>
      <c r="X8" s="137">
        <v>1</v>
      </c>
      <c r="Y8" s="136">
        <v>1.2</v>
      </c>
      <c r="Z8" s="136">
        <v>0.6</v>
      </c>
      <c r="AA8" s="136">
        <v>-0.1</v>
      </c>
      <c r="AB8" s="136">
        <v>-0.8</v>
      </c>
      <c r="AC8" s="3659">
        <v>-0.1</v>
      </c>
    </row>
    <row r="9" spans="1:29" s="74" customFormat="1" ht="13.5" customHeight="1" x14ac:dyDescent="0.2">
      <c r="A9" s="131"/>
      <c r="B9" s="132"/>
      <c r="C9" s="133"/>
      <c r="D9" s="138"/>
      <c r="E9" s="138"/>
      <c r="F9" s="139"/>
      <c r="G9" s="139"/>
      <c r="H9" s="139"/>
      <c r="I9" s="139"/>
      <c r="J9" s="139"/>
      <c r="K9" s="139"/>
      <c r="L9" s="139"/>
      <c r="M9" s="139"/>
      <c r="N9" s="139"/>
      <c r="O9" s="139"/>
      <c r="P9" s="139"/>
      <c r="Q9" s="139"/>
      <c r="R9" s="139"/>
      <c r="S9" s="139"/>
      <c r="T9" s="120"/>
      <c r="U9" s="120"/>
      <c r="V9" s="120"/>
      <c r="W9" s="120"/>
      <c r="Z9" s="140"/>
    </row>
    <row r="10" spans="1:29" x14ac:dyDescent="0.25">
      <c r="A10" s="116">
        <v>5</v>
      </c>
      <c r="B10" s="117" t="s">
        <v>90</v>
      </c>
      <c r="D10" s="115"/>
      <c r="E10" s="115"/>
      <c r="F10" s="120"/>
      <c r="G10" s="120"/>
      <c r="H10" s="120"/>
      <c r="I10" s="120"/>
      <c r="J10" s="120"/>
      <c r="K10" s="120"/>
      <c r="L10" s="120"/>
      <c r="M10" s="120"/>
      <c r="N10" s="120"/>
      <c r="O10" s="120"/>
      <c r="P10" s="120"/>
      <c r="Q10" s="139"/>
      <c r="R10" s="139"/>
      <c r="S10" s="139"/>
      <c r="T10" s="115"/>
      <c r="U10" s="115"/>
      <c r="V10" s="115"/>
      <c r="W10" s="115"/>
      <c r="AA10" s="97"/>
      <c r="AB10" s="97"/>
    </row>
    <row r="11" spans="1:29" x14ac:dyDescent="0.25">
      <c r="C11" s="116"/>
      <c r="D11" s="115"/>
      <c r="E11" s="115"/>
      <c r="F11" s="120"/>
      <c r="G11" s="120"/>
      <c r="H11" s="120"/>
      <c r="I11" s="120"/>
      <c r="J11" s="120"/>
      <c r="K11" s="120"/>
      <c r="L11" s="120"/>
      <c r="M11" s="120"/>
      <c r="N11" s="120"/>
      <c r="O11" s="120"/>
      <c r="P11" s="120"/>
      <c r="Q11" s="139"/>
      <c r="R11" s="139"/>
      <c r="S11" s="139"/>
      <c r="T11" s="115"/>
      <c r="U11" s="115"/>
      <c r="V11" s="115"/>
      <c r="W11" s="115"/>
      <c r="AA11" s="97"/>
      <c r="AB11" s="97"/>
    </row>
    <row r="12" spans="1:29" x14ac:dyDescent="0.25">
      <c r="D12" s="115"/>
      <c r="E12" s="115"/>
      <c r="F12" s="120"/>
      <c r="G12" s="120"/>
      <c r="H12" s="120"/>
      <c r="I12" s="120"/>
      <c r="J12" s="120"/>
      <c r="K12" s="120"/>
      <c r="L12" s="120"/>
      <c r="M12" s="120"/>
      <c r="N12" s="120"/>
      <c r="O12" s="120"/>
      <c r="P12" s="120"/>
      <c r="Q12" s="120"/>
      <c r="R12" s="120"/>
      <c r="S12" s="120"/>
      <c r="T12" s="115"/>
      <c r="U12" s="115"/>
      <c r="V12" s="115"/>
      <c r="W12" s="115"/>
      <c r="AA12" s="97"/>
      <c r="AB12" s="97"/>
    </row>
    <row r="13" spans="1:29" x14ac:dyDescent="0.25">
      <c r="D13" s="115"/>
      <c r="E13" s="115"/>
      <c r="F13" s="120"/>
      <c r="G13" s="120"/>
      <c r="H13" s="120"/>
      <c r="I13" s="120"/>
      <c r="J13" s="120"/>
      <c r="K13" s="120"/>
      <c r="L13" s="120"/>
      <c r="M13" s="120"/>
      <c r="N13" s="141"/>
      <c r="O13" s="120"/>
      <c r="P13" s="120"/>
      <c r="Q13" s="120"/>
      <c r="R13" s="120"/>
      <c r="S13" s="120"/>
      <c r="T13" s="115"/>
      <c r="U13" s="115"/>
      <c r="V13" s="115"/>
      <c r="W13" s="115"/>
      <c r="AA13" s="97"/>
      <c r="AB13" s="97"/>
    </row>
    <row r="14" spans="1:29" x14ac:dyDescent="0.25">
      <c r="D14" s="115"/>
      <c r="E14" s="115"/>
      <c r="F14" s="120"/>
      <c r="G14" s="120"/>
      <c r="H14" s="120"/>
      <c r="I14" s="120"/>
      <c r="J14" s="120"/>
      <c r="K14" s="120"/>
      <c r="L14" s="120"/>
      <c r="M14" s="120"/>
      <c r="N14" s="120"/>
      <c r="O14" s="120"/>
      <c r="P14" s="120"/>
      <c r="Q14" s="120"/>
      <c r="R14" s="120"/>
      <c r="S14" s="120"/>
      <c r="T14" s="115"/>
      <c r="U14" s="115"/>
      <c r="V14" s="115"/>
      <c r="W14" s="115"/>
      <c r="AA14" s="97"/>
      <c r="AB14" s="97"/>
    </row>
    <row r="15" spans="1:29" x14ac:dyDescent="0.25">
      <c r="D15" s="115"/>
      <c r="E15" s="115"/>
      <c r="F15" s="120"/>
      <c r="G15" s="120"/>
      <c r="H15" s="120"/>
      <c r="I15" s="120"/>
      <c r="J15" s="120"/>
      <c r="K15" s="120"/>
      <c r="L15" s="120"/>
      <c r="M15" s="120"/>
      <c r="N15" s="119"/>
      <c r="O15" s="120"/>
      <c r="P15" s="120"/>
      <c r="Q15" s="120"/>
      <c r="R15" s="120"/>
      <c r="S15" s="120"/>
      <c r="T15" s="115"/>
      <c r="U15" s="115"/>
      <c r="V15" s="115"/>
      <c r="W15" s="115"/>
      <c r="Z15" s="53"/>
      <c r="AA15" s="97"/>
      <c r="AB15" s="97"/>
    </row>
    <row r="16" spans="1:29" x14ac:dyDescent="0.25">
      <c r="D16" s="115"/>
      <c r="E16" s="115"/>
      <c r="F16" s="120"/>
      <c r="G16" s="120"/>
      <c r="H16" s="120"/>
      <c r="I16" s="120"/>
      <c r="J16" s="120"/>
      <c r="K16" s="120"/>
      <c r="L16" s="120"/>
      <c r="M16" s="120"/>
      <c r="N16" s="119"/>
      <c r="O16" s="120"/>
      <c r="P16" s="120"/>
      <c r="Q16" s="120"/>
      <c r="R16" s="120"/>
      <c r="S16" s="120"/>
      <c r="T16" s="115"/>
      <c r="U16" s="115"/>
      <c r="V16" s="115"/>
      <c r="W16" s="115"/>
      <c r="Z16" s="53"/>
      <c r="AA16" s="97"/>
      <c r="AB16" s="97"/>
    </row>
    <row r="17" spans="1:28" x14ac:dyDescent="0.25">
      <c r="D17" s="115"/>
      <c r="E17" s="115"/>
      <c r="F17" s="120"/>
      <c r="G17" s="120"/>
      <c r="H17" s="120"/>
      <c r="I17" s="120"/>
      <c r="J17" s="120"/>
      <c r="K17" s="120"/>
      <c r="L17" s="120"/>
      <c r="M17" s="120"/>
      <c r="N17" s="115"/>
      <c r="O17" s="115"/>
      <c r="P17" s="115"/>
      <c r="Q17" s="115"/>
      <c r="R17" s="120"/>
      <c r="S17" s="120"/>
      <c r="T17" s="115"/>
      <c r="U17" s="115"/>
      <c r="V17" s="115"/>
      <c r="W17" s="115"/>
      <c r="AA17" s="97"/>
      <c r="AB17" s="97"/>
    </row>
    <row r="18" spans="1:28" x14ac:dyDescent="0.25">
      <c r="D18" s="115"/>
      <c r="E18" s="115"/>
      <c r="F18" s="120"/>
      <c r="G18" s="120"/>
      <c r="H18" s="120"/>
      <c r="I18" s="120"/>
      <c r="J18" s="120"/>
      <c r="K18" s="120"/>
      <c r="L18" s="120"/>
      <c r="M18" s="120"/>
      <c r="N18" s="120"/>
      <c r="O18" s="120"/>
      <c r="P18" s="120"/>
      <c r="Q18" s="120"/>
      <c r="R18" s="120"/>
      <c r="S18" s="120"/>
      <c r="T18" s="115"/>
      <c r="U18" s="115"/>
      <c r="V18" s="115"/>
      <c r="W18" s="115"/>
      <c r="AA18" s="97"/>
      <c r="AB18" s="97"/>
    </row>
    <row r="19" spans="1:28" x14ac:dyDescent="0.25">
      <c r="D19" s="115"/>
      <c r="E19" s="115"/>
      <c r="F19" s="120"/>
      <c r="G19" s="120"/>
      <c r="H19" s="120"/>
      <c r="I19" s="120"/>
      <c r="J19" s="120"/>
      <c r="K19" s="120"/>
      <c r="L19" s="120"/>
      <c r="M19" s="120"/>
      <c r="N19" s="120"/>
      <c r="O19" s="120"/>
      <c r="P19" s="120"/>
      <c r="Q19" s="120"/>
      <c r="R19" s="120"/>
      <c r="S19" s="120"/>
      <c r="T19" s="115"/>
      <c r="U19" s="115"/>
      <c r="V19" s="115"/>
      <c r="W19" s="115"/>
      <c r="AA19" s="97"/>
      <c r="AB19" s="97"/>
    </row>
    <row r="20" spans="1:28" x14ac:dyDescent="0.25">
      <c r="D20" s="115"/>
      <c r="E20" s="115"/>
      <c r="F20" s="120"/>
      <c r="G20" s="120"/>
      <c r="H20" s="120"/>
      <c r="I20" s="120"/>
      <c r="J20" s="120"/>
      <c r="K20" s="120"/>
      <c r="L20" s="120"/>
      <c r="M20" s="120"/>
      <c r="N20" s="120"/>
      <c r="O20" s="120"/>
      <c r="P20" s="120"/>
      <c r="Q20" s="120"/>
      <c r="R20" s="120"/>
      <c r="S20" s="120"/>
      <c r="T20" s="115"/>
      <c r="U20" s="115"/>
      <c r="V20" s="115"/>
      <c r="W20" s="115"/>
      <c r="AA20" s="97"/>
      <c r="AB20" s="97"/>
    </row>
    <row r="21" spans="1:28" x14ac:dyDescent="0.25">
      <c r="D21" s="115"/>
      <c r="E21" s="115"/>
      <c r="F21" s="115"/>
      <c r="G21" s="115"/>
      <c r="H21" s="115"/>
      <c r="I21" s="115"/>
      <c r="J21" s="115"/>
      <c r="K21" s="115"/>
      <c r="L21" s="115"/>
      <c r="M21" s="115"/>
      <c r="N21" s="115"/>
      <c r="O21" s="115"/>
      <c r="P21" s="115"/>
      <c r="Q21" s="115"/>
      <c r="R21" s="115"/>
      <c r="S21" s="115"/>
      <c r="T21" s="115"/>
      <c r="U21" s="115"/>
      <c r="V21" s="115"/>
      <c r="W21" s="115"/>
      <c r="AA21" s="97"/>
      <c r="AB21" s="97"/>
    </row>
    <row r="22" spans="1:28" x14ac:dyDescent="0.25">
      <c r="D22" s="115"/>
      <c r="E22" s="115"/>
      <c r="F22" s="115"/>
      <c r="G22" s="115"/>
      <c r="H22" s="115"/>
      <c r="I22" s="115"/>
      <c r="J22" s="115"/>
      <c r="K22" s="115"/>
      <c r="L22" s="115"/>
      <c r="M22" s="115"/>
      <c r="N22" s="115"/>
      <c r="O22" s="115"/>
      <c r="P22" s="115"/>
      <c r="Q22" s="115"/>
      <c r="R22" s="115"/>
      <c r="S22" s="115"/>
      <c r="T22" s="115"/>
      <c r="U22" s="115"/>
      <c r="V22" s="115"/>
      <c r="W22" s="115"/>
      <c r="AA22" s="97"/>
      <c r="AB22" s="97"/>
    </row>
    <row r="23" spans="1:28" x14ac:dyDescent="0.25">
      <c r="D23" s="115"/>
      <c r="E23" s="115"/>
      <c r="F23" s="115"/>
      <c r="G23" s="115"/>
      <c r="H23" s="115"/>
      <c r="I23" s="115"/>
      <c r="J23" s="115"/>
      <c r="K23" s="115"/>
      <c r="L23" s="115"/>
      <c r="M23" s="115"/>
      <c r="N23" s="115"/>
      <c r="O23" s="115"/>
      <c r="P23" s="115"/>
      <c r="Q23" s="115"/>
      <c r="R23" s="115"/>
      <c r="S23" s="115"/>
      <c r="T23" s="115"/>
      <c r="U23" s="115"/>
      <c r="V23" s="115"/>
      <c r="W23" s="115"/>
      <c r="AA23" s="97"/>
      <c r="AB23" s="97"/>
    </row>
    <row r="24" spans="1:28" x14ac:dyDescent="0.25">
      <c r="D24" s="115"/>
      <c r="E24" s="115"/>
      <c r="F24" s="115"/>
      <c r="G24" s="115"/>
      <c r="H24" s="115"/>
      <c r="I24" s="115"/>
      <c r="J24" s="115"/>
      <c r="K24" s="115"/>
      <c r="L24" s="115"/>
      <c r="M24" s="115"/>
      <c r="N24" s="115"/>
      <c r="O24" s="115"/>
      <c r="P24" s="115"/>
      <c r="Q24" s="115"/>
      <c r="R24" s="115"/>
      <c r="S24" s="115"/>
      <c r="T24" s="115"/>
      <c r="U24" s="115"/>
      <c r="V24" s="115"/>
      <c r="W24" s="115"/>
      <c r="AA24" s="97"/>
      <c r="AB24" s="97"/>
    </row>
    <row r="25" spans="1:28" x14ac:dyDescent="0.25">
      <c r="D25" s="115"/>
      <c r="E25" s="115"/>
      <c r="F25" s="115"/>
      <c r="G25" s="115"/>
      <c r="H25" s="115"/>
      <c r="I25" s="115"/>
      <c r="J25" s="115"/>
      <c r="K25" s="115"/>
      <c r="L25" s="115"/>
      <c r="M25" s="115"/>
      <c r="N25" s="115"/>
      <c r="O25" s="115"/>
      <c r="P25" s="115"/>
      <c r="Q25" s="115"/>
      <c r="R25" s="115"/>
      <c r="S25" s="115"/>
      <c r="T25" s="115"/>
      <c r="U25" s="115"/>
      <c r="V25" s="115"/>
      <c r="W25" s="115"/>
      <c r="AA25" s="97"/>
      <c r="AB25" s="97"/>
    </row>
    <row r="26" spans="1:28" x14ac:dyDescent="0.25">
      <c r="D26" s="115"/>
      <c r="E26" s="115"/>
      <c r="F26" s="115"/>
      <c r="G26" s="115"/>
      <c r="H26" s="115"/>
      <c r="I26" s="115"/>
      <c r="J26" s="115"/>
      <c r="K26" s="115"/>
      <c r="L26" s="115"/>
      <c r="M26" s="115"/>
      <c r="N26" s="115"/>
      <c r="O26" s="115"/>
      <c r="P26" s="115"/>
      <c r="Q26" s="115"/>
      <c r="R26" s="115"/>
      <c r="S26" s="115"/>
      <c r="T26" s="115"/>
      <c r="U26" s="115"/>
      <c r="V26" s="115"/>
      <c r="W26" s="115"/>
      <c r="AA26" s="97"/>
      <c r="AB26" s="97"/>
    </row>
    <row r="27" spans="1:28" x14ac:dyDescent="0.25">
      <c r="D27" s="115"/>
      <c r="E27" s="115"/>
      <c r="F27" s="115"/>
      <c r="G27" s="115"/>
      <c r="H27" s="115"/>
      <c r="I27" s="115"/>
      <c r="J27" s="115"/>
      <c r="K27" s="115"/>
      <c r="L27" s="115"/>
      <c r="M27" s="115"/>
      <c r="N27" s="115"/>
      <c r="O27" s="115"/>
      <c r="P27" s="115"/>
      <c r="Q27" s="115"/>
      <c r="R27" s="115"/>
      <c r="S27" s="115"/>
      <c r="T27" s="115"/>
      <c r="U27" s="115"/>
      <c r="V27" s="115"/>
      <c r="W27" s="115"/>
      <c r="AA27" s="97"/>
      <c r="AB27" s="97"/>
    </row>
    <row r="28" spans="1:28" x14ac:dyDescent="0.25">
      <c r="D28" s="115"/>
      <c r="E28" s="115"/>
      <c r="F28" s="115"/>
      <c r="G28" s="115"/>
      <c r="H28" s="115"/>
      <c r="I28" s="115"/>
      <c r="J28" s="115"/>
      <c r="K28" s="115"/>
      <c r="L28" s="115"/>
      <c r="M28" s="115"/>
      <c r="N28" s="115"/>
      <c r="O28" s="115"/>
      <c r="P28" s="115"/>
      <c r="Q28" s="115"/>
      <c r="R28" s="115"/>
      <c r="S28" s="115"/>
      <c r="T28" s="115"/>
      <c r="U28" s="115"/>
      <c r="V28" s="115"/>
      <c r="W28" s="115"/>
      <c r="AA28" s="97"/>
      <c r="AB28" s="97"/>
    </row>
    <row r="29" spans="1:28" ht="12.75" customHeight="1" x14ac:dyDescent="0.25">
      <c r="A29" s="116">
        <v>6</v>
      </c>
      <c r="B29" s="117" t="s">
        <v>29</v>
      </c>
      <c r="C29" s="116"/>
      <c r="D29" s="4048" t="s">
        <v>105</v>
      </c>
      <c r="E29" s="4049"/>
      <c r="F29" s="4049"/>
      <c r="G29" s="4049"/>
      <c r="H29" s="4049"/>
      <c r="I29" s="4049"/>
      <c r="J29" s="4049"/>
      <c r="K29" s="4049"/>
      <c r="L29" s="4049"/>
      <c r="M29" s="4049"/>
      <c r="N29" s="4049"/>
      <c r="O29" s="4049"/>
      <c r="P29" s="4049"/>
      <c r="Q29" s="4049"/>
      <c r="R29" s="4049"/>
      <c r="S29" s="4049"/>
      <c r="T29" s="4049"/>
      <c r="U29" s="4049"/>
      <c r="V29" s="4049"/>
      <c r="W29" s="4049"/>
      <c r="X29" s="4049"/>
      <c r="Y29" s="4049"/>
      <c r="Z29" s="4049"/>
      <c r="AA29" s="4050"/>
      <c r="AB29" s="142"/>
    </row>
    <row r="30" spans="1:28" ht="13.5" customHeight="1" x14ac:dyDescent="0.25">
      <c r="A30" s="143">
        <v>7</v>
      </c>
      <c r="B30" s="144" t="s">
        <v>32</v>
      </c>
      <c r="C30" s="143"/>
      <c r="D30" s="4048" t="s">
        <v>106</v>
      </c>
      <c r="E30" s="4049"/>
      <c r="F30" s="4049"/>
      <c r="G30" s="4049"/>
      <c r="H30" s="4049"/>
      <c r="I30" s="4049"/>
      <c r="J30" s="4049"/>
      <c r="K30" s="4049"/>
      <c r="L30" s="4049"/>
      <c r="M30" s="4049"/>
      <c r="N30" s="4049"/>
      <c r="O30" s="4049"/>
      <c r="P30" s="4049"/>
      <c r="Q30" s="4049"/>
      <c r="R30" s="4049"/>
      <c r="S30" s="4049"/>
      <c r="T30" s="4049"/>
      <c r="U30" s="4049"/>
      <c r="V30" s="4049"/>
      <c r="W30" s="4049"/>
      <c r="X30" s="4049"/>
      <c r="Y30" s="4049"/>
      <c r="Z30" s="4049"/>
      <c r="AA30" s="4050"/>
      <c r="AB30" s="142"/>
    </row>
    <row r="31" spans="1:28" ht="12.75" customHeight="1" x14ac:dyDescent="0.25">
      <c r="A31" s="116">
        <v>8</v>
      </c>
      <c r="B31" s="117" t="s">
        <v>31</v>
      </c>
      <c r="C31" s="116"/>
      <c r="D31" s="4048" t="s">
        <v>107</v>
      </c>
      <c r="E31" s="4049"/>
      <c r="F31" s="4049"/>
      <c r="G31" s="4049"/>
      <c r="H31" s="4049"/>
      <c r="I31" s="4049"/>
      <c r="J31" s="4049"/>
      <c r="K31" s="4049"/>
      <c r="L31" s="4049"/>
      <c r="M31" s="4049"/>
      <c r="N31" s="4049"/>
      <c r="O31" s="4049"/>
      <c r="P31" s="4049"/>
      <c r="Q31" s="4049"/>
      <c r="R31" s="4049"/>
      <c r="S31" s="4049"/>
      <c r="T31" s="4049"/>
      <c r="U31" s="4049"/>
      <c r="V31" s="4049"/>
      <c r="W31" s="4049"/>
      <c r="X31" s="4049"/>
      <c r="Y31" s="4049"/>
      <c r="Z31" s="4049"/>
      <c r="AA31" s="4050"/>
      <c r="AB31" s="142"/>
    </row>
    <row r="32" spans="1:28" hidden="1" x14ac:dyDescent="0.25">
      <c r="A32" s="116">
        <v>10</v>
      </c>
      <c r="B32" s="117" t="s">
        <v>34</v>
      </c>
      <c r="D32" s="4051" t="s">
        <v>108</v>
      </c>
      <c r="E32" s="4052"/>
      <c r="F32" s="4052"/>
      <c r="G32" s="4052"/>
      <c r="H32" s="4052"/>
      <c r="I32" s="4052"/>
      <c r="J32" s="4052"/>
      <c r="K32" s="4052"/>
      <c r="L32" s="4052"/>
      <c r="M32" s="4052"/>
      <c r="N32" s="4052"/>
      <c r="O32" s="4052"/>
      <c r="P32" s="4052"/>
      <c r="Q32" s="4052"/>
      <c r="R32" s="4052"/>
      <c r="S32" s="4052"/>
      <c r="T32" s="4053"/>
      <c r="U32" s="142"/>
      <c r="V32" s="142"/>
      <c r="W32" s="142"/>
    </row>
    <row r="33" spans="28:28" hidden="1" x14ac:dyDescent="0.25"/>
    <row r="34" spans="28:28" hidden="1" x14ac:dyDescent="0.25"/>
    <row r="35" spans="28:28" hidden="1" x14ac:dyDescent="0.25">
      <c r="AB35" s="145"/>
    </row>
    <row r="36" spans="28:28" hidden="1" x14ac:dyDescent="0.25"/>
    <row r="37" spans="28:28" hidden="1" x14ac:dyDescent="0.25"/>
    <row r="38" spans="28:28" hidden="1" x14ac:dyDescent="0.25"/>
    <row r="39" spans="28:28" hidden="1" x14ac:dyDescent="0.25"/>
    <row r="40" spans="28:28" hidden="1" x14ac:dyDescent="0.25"/>
    <row r="41" spans="28:28" hidden="1" x14ac:dyDescent="0.25"/>
    <row r="42" spans="28:28" hidden="1" x14ac:dyDescent="0.25"/>
    <row r="43" spans="28:28" hidden="1" x14ac:dyDescent="0.25"/>
    <row r="44" spans="28:28" hidden="1" x14ac:dyDescent="0.25"/>
    <row r="45" spans="28:28" hidden="1" x14ac:dyDescent="0.25"/>
    <row r="46" spans="28:28" hidden="1" x14ac:dyDescent="0.25"/>
    <row r="47" spans="28:28" hidden="1" x14ac:dyDescent="0.25"/>
    <row r="48" spans="28:28" hidden="1" x14ac:dyDescent="0.25"/>
    <row r="49" spans="3:25" hidden="1" x14ac:dyDescent="0.25"/>
    <row r="50" spans="3:25" hidden="1" x14ac:dyDescent="0.25"/>
    <row r="51" spans="3:25" hidden="1" x14ac:dyDescent="0.25"/>
    <row r="52" spans="3:25" hidden="1" x14ac:dyDescent="0.25"/>
    <row r="53" spans="3:25" hidden="1" x14ac:dyDescent="0.25"/>
    <row r="54" spans="3:25" hidden="1" x14ac:dyDescent="0.25"/>
    <row r="55" spans="3:25" hidden="1" x14ac:dyDescent="0.25"/>
    <row r="56" spans="3:25" hidden="1" x14ac:dyDescent="0.25"/>
    <row r="57" spans="3:25" hidden="1" x14ac:dyDescent="0.25"/>
    <row r="58" spans="3:25" hidden="1" x14ac:dyDescent="0.25"/>
    <row r="59" spans="3:25" hidden="1" x14ac:dyDescent="0.25"/>
    <row r="60" spans="3:25" hidden="1" x14ac:dyDescent="0.25"/>
    <row r="63" spans="3:25" x14ac:dyDescent="0.25">
      <c r="C63" s="3775"/>
      <c r="D63" s="3776">
        <v>1.092341810975328</v>
      </c>
      <c r="E63" s="3776">
        <v>0.97551868188288093</v>
      </c>
      <c r="F63" s="3776">
        <v>2.1401992280490889</v>
      </c>
      <c r="G63" s="3776">
        <v>0.51365600887018914</v>
      </c>
      <c r="H63" s="3776">
        <v>-1.5758667266996818</v>
      </c>
      <c r="I63" s="3776">
        <v>0.24245196706313976</v>
      </c>
      <c r="J63" s="3776">
        <v>2.0741112581572629</v>
      </c>
      <c r="K63" s="3776">
        <v>0.76003129540627157</v>
      </c>
      <c r="L63" s="3776">
        <v>1.603993344425958</v>
      </c>
      <c r="M63" s="3776">
        <v>1.0677322153805902</v>
      </c>
      <c r="N63" s="3776">
        <v>2.847451768315068</v>
      </c>
      <c r="O63" s="3776">
        <v>3.6340720512551217</v>
      </c>
      <c r="P63" s="3776">
        <v>4.0458092632005727</v>
      </c>
      <c r="Q63" s="3776">
        <v>3.9021254212853851</v>
      </c>
      <c r="R63" s="3776">
        <v>1.8524768440394412</v>
      </c>
      <c r="S63" s="3776">
        <v>-2.7318581790066632</v>
      </c>
      <c r="T63" s="3776">
        <v>1.8641886521064466</v>
      </c>
      <c r="U63" s="3776">
        <v>2.0567415417200863</v>
      </c>
      <c r="V63" s="3776">
        <v>1.0704533042053432</v>
      </c>
      <c r="W63" s="3776">
        <v>0.94744046975756557</v>
      </c>
      <c r="X63" s="3776"/>
      <c r="Y63" s="3776"/>
    </row>
    <row r="65" spans="7:10" x14ac:dyDescent="0.25">
      <c r="G65" s="146"/>
      <c r="I65" s="147"/>
      <c r="J65" s="97"/>
    </row>
    <row r="66" spans="7:10" x14ac:dyDescent="0.25">
      <c r="G66" s="146"/>
      <c r="I66" s="147"/>
      <c r="J66" s="97"/>
    </row>
    <row r="67" spans="7:10" x14ac:dyDescent="0.25">
      <c r="G67" s="146"/>
      <c r="I67" s="147"/>
      <c r="J67" s="97"/>
    </row>
    <row r="68" spans="7:10" x14ac:dyDescent="0.25">
      <c r="G68" s="146"/>
      <c r="I68" s="147"/>
      <c r="J68" s="97"/>
    </row>
    <row r="69" spans="7:10" x14ac:dyDescent="0.25">
      <c r="G69" s="146"/>
      <c r="I69" s="147"/>
      <c r="J69" s="97"/>
    </row>
    <row r="70" spans="7:10" x14ac:dyDescent="0.25">
      <c r="G70" s="146"/>
      <c r="I70" s="147"/>
      <c r="J70" s="97"/>
    </row>
    <row r="71" spans="7:10" x14ac:dyDescent="0.25">
      <c r="G71" s="146"/>
      <c r="I71" s="147"/>
      <c r="J71" s="97"/>
    </row>
    <row r="72" spans="7:10" x14ac:dyDescent="0.25">
      <c r="G72" s="146"/>
      <c r="I72" s="147"/>
      <c r="J72" s="97"/>
    </row>
    <row r="73" spans="7:10" x14ac:dyDescent="0.25">
      <c r="G73" s="146"/>
      <c r="I73" s="147"/>
      <c r="J73" s="97"/>
    </row>
    <row r="74" spans="7:10" x14ac:dyDescent="0.25">
      <c r="G74" s="146"/>
      <c r="I74" s="147"/>
      <c r="J74" s="97"/>
    </row>
    <row r="75" spans="7:10" x14ac:dyDescent="0.25">
      <c r="G75" s="146"/>
      <c r="I75" s="147"/>
      <c r="J75" s="97"/>
    </row>
    <row r="76" spans="7:10" x14ac:dyDescent="0.25">
      <c r="G76" s="146"/>
      <c r="I76" s="147"/>
      <c r="J76" s="97"/>
    </row>
    <row r="77" spans="7:10" x14ac:dyDescent="0.25">
      <c r="G77" s="146"/>
      <c r="I77" s="147"/>
      <c r="J77" s="97"/>
    </row>
    <row r="78" spans="7:10" x14ac:dyDescent="0.25">
      <c r="G78" s="146"/>
      <c r="I78" s="147"/>
      <c r="J78" s="97"/>
    </row>
    <row r="79" spans="7:10" x14ac:dyDescent="0.25">
      <c r="G79" s="146"/>
      <c r="I79" s="147"/>
      <c r="J79" s="97"/>
    </row>
    <row r="80" spans="7:10" x14ac:dyDescent="0.25">
      <c r="G80" s="146"/>
      <c r="I80" s="147"/>
      <c r="J80" s="97"/>
    </row>
    <row r="81" spans="7:10" x14ac:dyDescent="0.25">
      <c r="G81" s="146"/>
      <c r="I81" s="147"/>
      <c r="J81" s="97"/>
    </row>
    <row r="82" spans="7:10" x14ac:dyDescent="0.25">
      <c r="G82" s="146"/>
      <c r="I82" s="147"/>
      <c r="J82" s="97"/>
    </row>
    <row r="83" spans="7:10" x14ac:dyDescent="0.25">
      <c r="G83" s="146"/>
      <c r="I83" s="147"/>
      <c r="J83" s="97"/>
    </row>
    <row r="84" spans="7:10" x14ac:dyDescent="0.25">
      <c r="G84" s="146"/>
      <c r="I84" s="147"/>
      <c r="J84" s="97"/>
    </row>
    <row r="85" spans="7:10" x14ac:dyDescent="0.25">
      <c r="G85" s="146"/>
      <c r="I85" s="147"/>
      <c r="J85" s="97"/>
    </row>
    <row r="86" spans="7:10" x14ac:dyDescent="0.25">
      <c r="I86" s="147"/>
      <c r="J86" s="97"/>
    </row>
  </sheetData>
  <mergeCells count="8">
    <mergeCell ref="D31:AA31"/>
    <mergeCell ref="D32:T32"/>
    <mergeCell ref="D2:AB2"/>
    <mergeCell ref="D3:AB3"/>
    <mergeCell ref="D4:AB4"/>
    <mergeCell ref="D5:AB5"/>
    <mergeCell ref="D29:AA29"/>
    <mergeCell ref="D30:AA30"/>
  </mergeCells>
  <pageMargins left="0.74803149606299202" right="0.74803149606299202" top="0.98425196850393704" bottom="0.98425196850393704" header="0.511811023622047" footer="0.511811023622047"/>
  <pageSetup paperSize="9" scale="6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2"/>
  <sheetViews>
    <sheetView showGridLines="0" view="pageBreakPreview" zoomScaleNormal="100" zoomScaleSheetLayoutView="100" workbookViewId="0">
      <selection activeCell="D42" sqref="D42:W42"/>
    </sheetView>
  </sheetViews>
  <sheetFormatPr defaultColWidth="9.140625" defaultRowHeight="15" x14ac:dyDescent="0.2"/>
  <cols>
    <col min="1" max="1" width="3.7109375" style="2035" customWidth="1"/>
    <col min="2" max="2" width="10.140625" style="2036" customWidth="1"/>
    <col min="3" max="3" width="6.85546875" style="2036" customWidth="1"/>
    <col min="4" max="4" width="12.140625" style="943" customWidth="1"/>
    <col min="5" max="14" width="7.28515625" style="943" customWidth="1"/>
    <col min="15" max="20" width="7" style="943" customWidth="1"/>
    <col min="21" max="261" width="9.140625" style="943"/>
    <col min="262" max="262" width="3.7109375" style="943" customWidth="1"/>
    <col min="263" max="263" width="10.140625" style="943" customWidth="1"/>
    <col min="264" max="264" width="6.85546875" style="943" customWidth="1"/>
    <col min="265" max="265" width="12.140625" style="943" customWidth="1"/>
    <col min="266" max="275" width="7.28515625" style="943" customWidth="1"/>
    <col min="276" max="278" width="7" style="943" customWidth="1"/>
    <col min="279" max="517" width="9.140625" style="943"/>
    <col min="518" max="518" width="3.7109375" style="943" customWidth="1"/>
    <col min="519" max="519" width="10.140625" style="943" customWidth="1"/>
    <col min="520" max="520" width="6.85546875" style="943" customWidth="1"/>
    <col min="521" max="521" width="12.140625" style="943" customWidth="1"/>
    <col min="522" max="531" width="7.28515625" style="943" customWidth="1"/>
    <col min="532" max="534" width="7" style="943" customWidth="1"/>
    <col min="535" max="773" width="9.140625" style="943"/>
    <col min="774" max="774" width="3.7109375" style="943" customWidth="1"/>
    <col min="775" max="775" width="10.140625" style="943" customWidth="1"/>
    <col min="776" max="776" width="6.85546875" style="943" customWidth="1"/>
    <col min="777" max="777" width="12.140625" style="943" customWidth="1"/>
    <col min="778" max="787" width="7.28515625" style="943" customWidth="1"/>
    <col min="788" max="790" width="7" style="943" customWidth="1"/>
    <col min="791" max="1029" width="9.140625" style="943"/>
    <col min="1030" max="1030" width="3.7109375" style="943" customWidth="1"/>
    <col min="1031" max="1031" width="10.140625" style="943" customWidth="1"/>
    <col min="1032" max="1032" width="6.85546875" style="943" customWidth="1"/>
    <col min="1033" max="1033" width="12.140625" style="943" customWidth="1"/>
    <col min="1034" max="1043" width="7.28515625" style="943" customWidth="1"/>
    <col min="1044" max="1046" width="7" style="943" customWidth="1"/>
    <col min="1047" max="1285" width="9.140625" style="943"/>
    <col min="1286" max="1286" width="3.7109375" style="943" customWidth="1"/>
    <col min="1287" max="1287" width="10.140625" style="943" customWidth="1"/>
    <col min="1288" max="1288" width="6.85546875" style="943" customWidth="1"/>
    <col min="1289" max="1289" width="12.140625" style="943" customWidth="1"/>
    <col min="1290" max="1299" width="7.28515625" style="943" customWidth="1"/>
    <col min="1300" max="1302" width="7" style="943" customWidth="1"/>
    <col min="1303" max="1541" width="9.140625" style="943"/>
    <col min="1542" max="1542" width="3.7109375" style="943" customWidth="1"/>
    <col min="1543" max="1543" width="10.140625" style="943" customWidth="1"/>
    <col min="1544" max="1544" width="6.85546875" style="943" customWidth="1"/>
    <col min="1545" max="1545" width="12.140625" style="943" customWidth="1"/>
    <col min="1546" max="1555" width="7.28515625" style="943" customWidth="1"/>
    <col min="1556" max="1558" width="7" style="943" customWidth="1"/>
    <col min="1559" max="1797" width="9.140625" style="943"/>
    <col min="1798" max="1798" width="3.7109375" style="943" customWidth="1"/>
    <col min="1799" max="1799" width="10.140625" style="943" customWidth="1"/>
    <col min="1800" max="1800" width="6.85546875" style="943" customWidth="1"/>
    <col min="1801" max="1801" width="12.140625" style="943" customWidth="1"/>
    <col min="1802" max="1811" width="7.28515625" style="943" customWidth="1"/>
    <col min="1812" max="1814" width="7" style="943" customWidth="1"/>
    <col min="1815" max="2053" width="9.140625" style="943"/>
    <col min="2054" max="2054" width="3.7109375" style="943" customWidth="1"/>
    <col min="2055" max="2055" width="10.140625" style="943" customWidth="1"/>
    <col min="2056" max="2056" width="6.85546875" style="943" customWidth="1"/>
    <col min="2057" max="2057" width="12.140625" style="943" customWidth="1"/>
    <col min="2058" max="2067" width="7.28515625" style="943" customWidth="1"/>
    <col min="2068" max="2070" width="7" style="943" customWidth="1"/>
    <col min="2071" max="2309" width="9.140625" style="943"/>
    <col min="2310" max="2310" width="3.7109375" style="943" customWidth="1"/>
    <col min="2311" max="2311" width="10.140625" style="943" customWidth="1"/>
    <col min="2312" max="2312" width="6.85546875" style="943" customWidth="1"/>
    <col min="2313" max="2313" width="12.140625" style="943" customWidth="1"/>
    <col min="2314" max="2323" width="7.28515625" style="943" customWidth="1"/>
    <col min="2324" max="2326" width="7" style="943" customWidth="1"/>
    <col min="2327" max="2565" width="9.140625" style="943"/>
    <col min="2566" max="2566" width="3.7109375" style="943" customWidth="1"/>
    <col min="2567" max="2567" width="10.140625" style="943" customWidth="1"/>
    <col min="2568" max="2568" width="6.85546875" style="943" customWidth="1"/>
    <col min="2569" max="2569" width="12.140625" style="943" customWidth="1"/>
    <col min="2570" max="2579" width="7.28515625" style="943" customWidth="1"/>
    <col min="2580" max="2582" width="7" style="943" customWidth="1"/>
    <col min="2583" max="2821" width="9.140625" style="943"/>
    <col min="2822" max="2822" width="3.7109375" style="943" customWidth="1"/>
    <col min="2823" max="2823" width="10.140625" style="943" customWidth="1"/>
    <col min="2824" max="2824" width="6.85546875" style="943" customWidth="1"/>
    <col min="2825" max="2825" width="12.140625" style="943" customWidth="1"/>
    <col min="2826" max="2835" width="7.28515625" style="943" customWidth="1"/>
    <col min="2836" max="2838" width="7" style="943" customWidth="1"/>
    <col min="2839" max="3077" width="9.140625" style="943"/>
    <col min="3078" max="3078" width="3.7109375" style="943" customWidth="1"/>
    <col min="3079" max="3079" width="10.140625" style="943" customWidth="1"/>
    <col min="3080" max="3080" width="6.85546875" style="943" customWidth="1"/>
    <col min="3081" max="3081" width="12.140625" style="943" customWidth="1"/>
    <col min="3082" max="3091" width="7.28515625" style="943" customWidth="1"/>
    <col min="3092" max="3094" width="7" style="943" customWidth="1"/>
    <col min="3095" max="3333" width="9.140625" style="943"/>
    <col min="3334" max="3334" width="3.7109375" style="943" customWidth="1"/>
    <col min="3335" max="3335" width="10.140625" style="943" customWidth="1"/>
    <col min="3336" max="3336" width="6.85546875" style="943" customWidth="1"/>
    <col min="3337" max="3337" width="12.140625" style="943" customWidth="1"/>
    <col min="3338" max="3347" width="7.28515625" style="943" customWidth="1"/>
    <col min="3348" max="3350" width="7" style="943" customWidth="1"/>
    <col min="3351" max="3589" width="9.140625" style="943"/>
    <col min="3590" max="3590" width="3.7109375" style="943" customWidth="1"/>
    <col min="3591" max="3591" width="10.140625" style="943" customWidth="1"/>
    <col min="3592" max="3592" width="6.85546875" style="943" customWidth="1"/>
    <col min="3593" max="3593" width="12.140625" style="943" customWidth="1"/>
    <col min="3594" max="3603" width="7.28515625" style="943" customWidth="1"/>
    <col min="3604" max="3606" width="7" style="943" customWidth="1"/>
    <col min="3607" max="3845" width="9.140625" style="943"/>
    <col min="3846" max="3846" width="3.7109375" style="943" customWidth="1"/>
    <col min="3847" max="3847" width="10.140625" style="943" customWidth="1"/>
    <col min="3848" max="3848" width="6.85546875" style="943" customWidth="1"/>
    <col min="3849" max="3849" width="12.140625" style="943" customWidth="1"/>
    <col min="3850" max="3859" width="7.28515625" style="943" customWidth="1"/>
    <col min="3860" max="3862" width="7" style="943" customWidth="1"/>
    <col min="3863" max="4101" width="9.140625" style="943"/>
    <col min="4102" max="4102" width="3.7109375" style="943" customWidth="1"/>
    <col min="4103" max="4103" width="10.140625" style="943" customWidth="1"/>
    <col min="4104" max="4104" width="6.85546875" style="943" customWidth="1"/>
    <col min="4105" max="4105" width="12.140625" style="943" customWidth="1"/>
    <col min="4106" max="4115" width="7.28515625" style="943" customWidth="1"/>
    <col min="4116" max="4118" width="7" style="943" customWidth="1"/>
    <col min="4119" max="4357" width="9.140625" style="943"/>
    <col min="4358" max="4358" width="3.7109375" style="943" customWidth="1"/>
    <col min="4359" max="4359" width="10.140625" style="943" customWidth="1"/>
    <col min="4360" max="4360" width="6.85546875" style="943" customWidth="1"/>
    <col min="4361" max="4361" width="12.140625" style="943" customWidth="1"/>
    <col min="4362" max="4371" width="7.28515625" style="943" customWidth="1"/>
    <col min="4372" max="4374" width="7" style="943" customWidth="1"/>
    <col min="4375" max="4613" width="9.140625" style="943"/>
    <col min="4614" max="4614" width="3.7109375" style="943" customWidth="1"/>
    <col min="4615" max="4615" width="10.140625" style="943" customWidth="1"/>
    <col min="4616" max="4616" width="6.85546875" style="943" customWidth="1"/>
    <col min="4617" max="4617" width="12.140625" style="943" customWidth="1"/>
    <col min="4618" max="4627" width="7.28515625" style="943" customWidth="1"/>
    <col min="4628" max="4630" width="7" style="943" customWidth="1"/>
    <col min="4631" max="4869" width="9.140625" style="943"/>
    <col min="4870" max="4870" width="3.7109375" style="943" customWidth="1"/>
    <col min="4871" max="4871" width="10.140625" style="943" customWidth="1"/>
    <col min="4872" max="4872" width="6.85546875" style="943" customWidth="1"/>
    <col min="4873" max="4873" width="12.140625" style="943" customWidth="1"/>
    <col min="4874" max="4883" width="7.28515625" style="943" customWidth="1"/>
    <col min="4884" max="4886" width="7" style="943" customWidth="1"/>
    <col min="4887" max="5125" width="9.140625" style="943"/>
    <col min="5126" max="5126" width="3.7109375" style="943" customWidth="1"/>
    <col min="5127" max="5127" width="10.140625" style="943" customWidth="1"/>
    <col min="5128" max="5128" width="6.85546875" style="943" customWidth="1"/>
    <col min="5129" max="5129" width="12.140625" style="943" customWidth="1"/>
    <col min="5130" max="5139" width="7.28515625" style="943" customWidth="1"/>
    <col min="5140" max="5142" width="7" style="943" customWidth="1"/>
    <col min="5143" max="5381" width="9.140625" style="943"/>
    <col min="5382" max="5382" width="3.7109375" style="943" customWidth="1"/>
    <col min="5383" max="5383" width="10.140625" style="943" customWidth="1"/>
    <col min="5384" max="5384" width="6.85546875" style="943" customWidth="1"/>
    <col min="5385" max="5385" width="12.140625" style="943" customWidth="1"/>
    <col min="5386" max="5395" width="7.28515625" style="943" customWidth="1"/>
    <col min="5396" max="5398" width="7" style="943" customWidth="1"/>
    <col min="5399" max="5637" width="9.140625" style="943"/>
    <col min="5638" max="5638" width="3.7109375" style="943" customWidth="1"/>
    <col min="5639" max="5639" width="10.140625" style="943" customWidth="1"/>
    <col min="5640" max="5640" width="6.85546875" style="943" customWidth="1"/>
    <col min="5641" max="5641" width="12.140625" style="943" customWidth="1"/>
    <col min="5642" max="5651" width="7.28515625" style="943" customWidth="1"/>
    <col min="5652" max="5654" width="7" style="943" customWidth="1"/>
    <col min="5655" max="5893" width="9.140625" style="943"/>
    <col min="5894" max="5894" width="3.7109375" style="943" customWidth="1"/>
    <col min="5895" max="5895" width="10.140625" style="943" customWidth="1"/>
    <col min="5896" max="5896" width="6.85546875" style="943" customWidth="1"/>
    <col min="5897" max="5897" width="12.140625" style="943" customWidth="1"/>
    <col min="5898" max="5907" width="7.28515625" style="943" customWidth="1"/>
    <col min="5908" max="5910" width="7" style="943" customWidth="1"/>
    <col min="5911" max="6149" width="9.140625" style="943"/>
    <col min="6150" max="6150" width="3.7109375" style="943" customWidth="1"/>
    <col min="6151" max="6151" width="10.140625" style="943" customWidth="1"/>
    <col min="6152" max="6152" width="6.85546875" style="943" customWidth="1"/>
    <col min="6153" max="6153" width="12.140625" style="943" customWidth="1"/>
    <col min="6154" max="6163" width="7.28515625" style="943" customWidth="1"/>
    <col min="6164" max="6166" width="7" style="943" customWidth="1"/>
    <col min="6167" max="6405" width="9.140625" style="943"/>
    <col min="6406" max="6406" width="3.7109375" style="943" customWidth="1"/>
    <col min="6407" max="6407" width="10.140625" style="943" customWidth="1"/>
    <col min="6408" max="6408" width="6.85546875" style="943" customWidth="1"/>
    <col min="6409" max="6409" width="12.140625" style="943" customWidth="1"/>
    <col min="6410" max="6419" width="7.28515625" style="943" customWidth="1"/>
    <col min="6420" max="6422" width="7" style="943" customWidth="1"/>
    <col min="6423" max="6661" width="9.140625" style="943"/>
    <col min="6662" max="6662" width="3.7109375" style="943" customWidth="1"/>
    <col min="6663" max="6663" width="10.140625" style="943" customWidth="1"/>
    <col min="6664" max="6664" width="6.85546875" style="943" customWidth="1"/>
    <col min="6665" max="6665" width="12.140625" style="943" customWidth="1"/>
    <col min="6666" max="6675" width="7.28515625" style="943" customWidth="1"/>
    <col min="6676" max="6678" width="7" style="943" customWidth="1"/>
    <col min="6679" max="6917" width="9.140625" style="943"/>
    <col min="6918" max="6918" width="3.7109375" style="943" customWidth="1"/>
    <col min="6919" max="6919" width="10.140625" style="943" customWidth="1"/>
    <col min="6920" max="6920" width="6.85546875" style="943" customWidth="1"/>
    <col min="6921" max="6921" width="12.140625" style="943" customWidth="1"/>
    <col min="6922" max="6931" width="7.28515625" style="943" customWidth="1"/>
    <col min="6932" max="6934" width="7" style="943" customWidth="1"/>
    <col min="6935" max="7173" width="9.140625" style="943"/>
    <col min="7174" max="7174" width="3.7109375" style="943" customWidth="1"/>
    <col min="7175" max="7175" width="10.140625" style="943" customWidth="1"/>
    <col min="7176" max="7176" width="6.85546875" style="943" customWidth="1"/>
    <col min="7177" max="7177" width="12.140625" style="943" customWidth="1"/>
    <col min="7178" max="7187" width="7.28515625" style="943" customWidth="1"/>
    <col min="7188" max="7190" width="7" style="943" customWidth="1"/>
    <col min="7191" max="7429" width="9.140625" style="943"/>
    <col min="7430" max="7430" width="3.7109375" style="943" customWidth="1"/>
    <col min="7431" max="7431" width="10.140625" style="943" customWidth="1"/>
    <col min="7432" max="7432" width="6.85546875" style="943" customWidth="1"/>
    <col min="7433" max="7433" width="12.140625" style="943" customWidth="1"/>
    <col min="7434" max="7443" width="7.28515625" style="943" customWidth="1"/>
    <col min="7444" max="7446" width="7" style="943" customWidth="1"/>
    <col min="7447" max="7685" width="9.140625" style="943"/>
    <col min="7686" max="7686" width="3.7109375" style="943" customWidth="1"/>
    <col min="7687" max="7687" width="10.140625" style="943" customWidth="1"/>
    <col min="7688" max="7688" width="6.85546875" style="943" customWidth="1"/>
    <col min="7689" max="7689" width="12.140625" style="943" customWidth="1"/>
    <col min="7690" max="7699" width="7.28515625" style="943" customWidth="1"/>
    <col min="7700" max="7702" width="7" style="943" customWidth="1"/>
    <col min="7703" max="7941" width="9.140625" style="943"/>
    <col min="7942" max="7942" width="3.7109375" style="943" customWidth="1"/>
    <col min="7943" max="7943" width="10.140625" style="943" customWidth="1"/>
    <col min="7944" max="7944" width="6.85546875" style="943" customWidth="1"/>
    <col min="7945" max="7945" width="12.140625" style="943" customWidth="1"/>
    <col min="7946" max="7955" width="7.28515625" style="943" customWidth="1"/>
    <col min="7956" max="7958" width="7" style="943" customWidth="1"/>
    <col min="7959" max="8197" width="9.140625" style="943"/>
    <col min="8198" max="8198" width="3.7109375" style="943" customWidth="1"/>
    <col min="8199" max="8199" width="10.140625" style="943" customWidth="1"/>
    <col min="8200" max="8200" width="6.85546875" style="943" customWidth="1"/>
    <col min="8201" max="8201" width="12.140625" style="943" customWidth="1"/>
    <col min="8202" max="8211" width="7.28515625" style="943" customWidth="1"/>
    <col min="8212" max="8214" width="7" style="943" customWidth="1"/>
    <col min="8215" max="8453" width="9.140625" style="943"/>
    <col min="8454" max="8454" width="3.7109375" style="943" customWidth="1"/>
    <col min="8455" max="8455" width="10.140625" style="943" customWidth="1"/>
    <col min="8456" max="8456" width="6.85546875" style="943" customWidth="1"/>
    <col min="8457" max="8457" width="12.140625" style="943" customWidth="1"/>
    <col min="8458" max="8467" width="7.28515625" style="943" customWidth="1"/>
    <col min="8468" max="8470" width="7" style="943" customWidth="1"/>
    <col min="8471" max="8709" width="9.140625" style="943"/>
    <col min="8710" max="8710" width="3.7109375" style="943" customWidth="1"/>
    <col min="8711" max="8711" width="10.140625" style="943" customWidth="1"/>
    <col min="8712" max="8712" width="6.85546875" style="943" customWidth="1"/>
    <col min="8713" max="8713" width="12.140625" style="943" customWidth="1"/>
    <col min="8714" max="8723" width="7.28515625" style="943" customWidth="1"/>
    <col min="8724" max="8726" width="7" style="943" customWidth="1"/>
    <col min="8727" max="8965" width="9.140625" style="943"/>
    <col min="8966" max="8966" width="3.7109375" style="943" customWidth="1"/>
    <col min="8967" max="8967" width="10.140625" style="943" customWidth="1"/>
    <col min="8968" max="8968" width="6.85546875" style="943" customWidth="1"/>
    <col min="8969" max="8969" width="12.140625" style="943" customWidth="1"/>
    <col min="8970" max="8979" width="7.28515625" style="943" customWidth="1"/>
    <col min="8980" max="8982" width="7" style="943" customWidth="1"/>
    <col min="8983" max="9221" width="9.140625" style="943"/>
    <col min="9222" max="9222" width="3.7109375" style="943" customWidth="1"/>
    <col min="9223" max="9223" width="10.140625" style="943" customWidth="1"/>
    <col min="9224" max="9224" width="6.85546875" style="943" customWidth="1"/>
    <col min="9225" max="9225" width="12.140625" style="943" customWidth="1"/>
    <col min="9226" max="9235" width="7.28515625" style="943" customWidth="1"/>
    <col min="9236" max="9238" width="7" style="943" customWidth="1"/>
    <col min="9239" max="9477" width="9.140625" style="943"/>
    <col min="9478" max="9478" width="3.7109375" style="943" customWidth="1"/>
    <col min="9479" max="9479" width="10.140625" style="943" customWidth="1"/>
    <col min="9480" max="9480" width="6.85546875" style="943" customWidth="1"/>
    <col min="9481" max="9481" width="12.140625" style="943" customWidth="1"/>
    <col min="9482" max="9491" width="7.28515625" style="943" customWidth="1"/>
    <col min="9492" max="9494" width="7" style="943" customWidth="1"/>
    <col min="9495" max="9733" width="9.140625" style="943"/>
    <col min="9734" max="9734" width="3.7109375" style="943" customWidth="1"/>
    <col min="9735" max="9735" width="10.140625" style="943" customWidth="1"/>
    <col min="9736" max="9736" width="6.85546875" style="943" customWidth="1"/>
    <col min="9737" max="9737" width="12.140625" style="943" customWidth="1"/>
    <col min="9738" max="9747" width="7.28515625" style="943" customWidth="1"/>
    <col min="9748" max="9750" width="7" style="943" customWidth="1"/>
    <col min="9751" max="9989" width="9.140625" style="943"/>
    <col min="9990" max="9990" width="3.7109375" style="943" customWidth="1"/>
    <col min="9991" max="9991" width="10.140625" style="943" customWidth="1"/>
    <col min="9992" max="9992" width="6.85546875" style="943" customWidth="1"/>
    <col min="9993" max="9993" width="12.140625" style="943" customWidth="1"/>
    <col min="9994" max="10003" width="7.28515625" style="943" customWidth="1"/>
    <col min="10004" max="10006" width="7" style="943" customWidth="1"/>
    <col min="10007" max="10245" width="9.140625" style="943"/>
    <col min="10246" max="10246" width="3.7109375" style="943" customWidth="1"/>
    <col min="10247" max="10247" width="10.140625" style="943" customWidth="1"/>
    <col min="10248" max="10248" width="6.85546875" style="943" customWidth="1"/>
    <col min="10249" max="10249" width="12.140625" style="943" customWidth="1"/>
    <col min="10250" max="10259" width="7.28515625" style="943" customWidth="1"/>
    <col min="10260" max="10262" width="7" style="943" customWidth="1"/>
    <col min="10263" max="10501" width="9.140625" style="943"/>
    <col min="10502" max="10502" width="3.7109375" style="943" customWidth="1"/>
    <col min="10503" max="10503" width="10.140625" style="943" customWidth="1"/>
    <col min="10504" max="10504" width="6.85546875" style="943" customWidth="1"/>
    <col min="10505" max="10505" width="12.140625" style="943" customWidth="1"/>
    <col min="10506" max="10515" width="7.28515625" style="943" customWidth="1"/>
    <col min="10516" max="10518" width="7" style="943" customWidth="1"/>
    <col min="10519" max="10757" width="9.140625" style="943"/>
    <col min="10758" max="10758" width="3.7109375" style="943" customWidth="1"/>
    <col min="10759" max="10759" width="10.140625" style="943" customWidth="1"/>
    <col min="10760" max="10760" width="6.85546875" style="943" customWidth="1"/>
    <col min="10761" max="10761" width="12.140625" style="943" customWidth="1"/>
    <col min="10762" max="10771" width="7.28515625" style="943" customWidth="1"/>
    <col min="10772" max="10774" width="7" style="943" customWidth="1"/>
    <col min="10775" max="11013" width="9.140625" style="943"/>
    <col min="11014" max="11014" width="3.7109375" style="943" customWidth="1"/>
    <col min="11015" max="11015" width="10.140625" style="943" customWidth="1"/>
    <col min="11016" max="11016" width="6.85546875" style="943" customWidth="1"/>
    <col min="11017" max="11017" width="12.140625" style="943" customWidth="1"/>
    <col min="11018" max="11027" width="7.28515625" style="943" customWidth="1"/>
    <col min="11028" max="11030" width="7" style="943" customWidth="1"/>
    <col min="11031" max="11269" width="9.140625" style="943"/>
    <col min="11270" max="11270" width="3.7109375" style="943" customWidth="1"/>
    <col min="11271" max="11271" width="10.140625" style="943" customWidth="1"/>
    <col min="11272" max="11272" width="6.85546875" style="943" customWidth="1"/>
    <col min="11273" max="11273" width="12.140625" style="943" customWidth="1"/>
    <col min="11274" max="11283" width="7.28515625" style="943" customWidth="1"/>
    <col min="11284" max="11286" width="7" style="943" customWidth="1"/>
    <col min="11287" max="11525" width="9.140625" style="943"/>
    <col min="11526" max="11526" width="3.7109375" style="943" customWidth="1"/>
    <col min="11527" max="11527" width="10.140625" style="943" customWidth="1"/>
    <col min="11528" max="11528" width="6.85546875" style="943" customWidth="1"/>
    <col min="11529" max="11529" width="12.140625" style="943" customWidth="1"/>
    <col min="11530" max="11539" width="7.28515625" style="943" customWidth="1"/>
    <col min="11540" max="11542" width="7" style="943" customWidth="1"/>
    <col min="11543" max="11781" width="9.140625" style="943"/>
    <col min="11782" max="11782" width="3.7109375" style="943" customWidth="1"/>
    <col min="11783" max="11783" width="10.140625" style="943" customWidth="1"/>
    <col min="11784" max="11784" width="6.85546875" style="943" customWidth="1"/>
    <col min="11785" max="11785" width="12.140625" style="943" customWidth="1"/>
    <col min="11786" max="11795" width="7.28515625" style="943" customWidth="1"/>
    <col min="11796" max="11798" width="7" style="943" customWidth="1"/>
    <col min="11799" max="12037" width="9.140625" style="943"/>
    <col min="12038" max="12038" width="3.7109375" style="943" customWidth="1"/>
    <col min="12039" max="12039" width="10.140625" style="943" customWidth="1"/>
    <col min="12040" max="12040" width="6.85546875" style="943" customWidth="1"/>
    <col min="12041" max="12041" width="12.140625" style="943" customWidth="1"/>
    <col min="12042" max="12051" width="7.28515625" style="943" customWidth="1"/>
    <col min="12052" max="12054" width="7" style="943" customWidth="1"/>
    <col min="12055" max="12293" width="9.140625" style="943"/>
    <col min="12294" max="12294" width="3.7109375" style="943" customWidth="1"/>
    <col min="12295" max="12295" width="10.140625" style="943" customWidth="1"/>
    <col min="12296" max="12296" width="6.85546875" style="943" customWidth="1"/>
    <col min="12297" max="12297" width="12.140625" style="943" customWidth="1"/>
    <col min="12298" max="12307" width="7.28515625" style="943" customWidth="1"/>
    <col min="12308" max="12310" width="7" style="943" customWidth="1"/>
    <col min="12311" max="12549" width="9.140625" style="943"/>
    <col min="12550" max="12550" width="3.7109375" style="943" customWidth="1"/>
    <col min="12551" max="12551" width="10.140625" style="943" customWidth="1"/>
    <col min="12552" max="12552" width="6.85546875" style="943" customWidth="1"/>
    <col min="12553" max="12553" width="12.140625" style="943" customWidth="1"/>
    <col min="12554" max="12563" width="7.28515625" style="943" customWidth="1"/>
    <col min="12564" max="12566" width="7" style="943" customWidth="1"/>
    <col min="12567" max="12805" width="9.140625" style="943"/>
    <col min="12806" max="12806" width="3.7109375" style="943" customWidth="1"/>
    <col min="12807" max="12807" width="10.140625" style="943" customWidth="1"/>
    <col min="12808" max="12808" width="6.85546875" style="943" customWidth="1"/>
    <col min="12809" max="12809" width="12.140625" style="943" customWidth="1"/>
    <col min="12810" max="12819" width="7.28515625" style="943" customWidth="1"/>
    <col min="12820" max="12822" width="7" style="943" customWidth="1"/>
    <col min="12823" max="13061" width="9.140625" style="943"/>
    <col min="13062" max="13062" width="3.7109375" style="943" customWidth="1"/>
    <col min="13063" max="13063" width="10.140625" style="943" customWidth="1"/>
    <col min="13064" max="13064" width="6.85546875" style="943" customWidth="1"/>
    <col min="13065" max="13065" width="12.140625" style="943" customWidth="1"/>
    <col min="13066" max="13075" width="7.28515625" style="943" customWidth="1"/>
    <col min="13076" max="13078" width="7" style="943" customWidth="1"/>
    <col min="13079" max="13317" width="9.140625" style="943"/>
    <col min="13318" max="13318" width="3.7109375" style="943" customWidth="1"/>
    <col min="13319" max="13319" width="10.140625" style="943" customWidth="1"/>
    <col min="13320" max="13320" width="6.85546875" style="943" customWidth="1"/>
    <col min="13321" max="13321" width="12.140625" style="943" customWidth="1"/>
    <col min="13322" max="13331" width="7.28515625" style="943" customWidth="1"/>
    <col min="13332" max="13334" width="7" style="943" customWidth="1"/>
    <col min="13335" max="13573" width="9.140625" style="943"/>
    <col min="13574" max="13574" width="3.7109375" style="943" customWidth="1"/>
    <col min="13575" max="13575" width="10.140625" style="943" customWidth="1"/>
    <col min="13576" max="13576" width="6.85546875" style="943" customWidth="1"/>
    <col min="13577" max="13577" width="12.140625" style="943" customWidth="1"/>
    <col min="13578" max="13587" width="7.28515625" style="943" customWidth="1"/>
    <col min="13588" max="13590" width="7" style="943" customWidth="1"/>
    <col min="13591" max="13829" width="9.140625" style="943"/>
    <col min="13830" max="13830" width="3.7109375" style="943" customWidth="1"/>
    <col min="13831" max="13831" width="10.140625" style="943" customWidth="1"/>
    <col min="13832" max="13832" width="6.85546875" style="943" customWidth="1"/>
    <col min="13833" max="13833" width="12.140625" style="943" customWidth="1"/>
    <col min="13834" max="13843" width="7.28515625" style="943" customWidth="1"/>
    <col min="13844" max="13846" width="7" style="943" customWidth="1"/>
    <col min="13847" max="14085" width="9.140625" style="943"/>
    <col min="14086" max="14086" width="3.7109375" style="943" customWidth="1"/>
    <col min="14087" max="14087" width="10.140625" style="943" customWidth="1"/>
    <col min="14088" max="14088" width="6.85546875" style="943" customWidth="1"/>
    <col min="14089" max="14089" width="12.140625" style="943" customWidth="1"/>
    <col min="14090" max="14099" width="7.28515625" style="943" customWidth="1"/>
    <col min="14100" max="14102" width="7" style="943" customWidth="1"/>
    <col min="14103" max="14341" width="9.140625" style="943"/>
    <col min="14342" max="14342" width="3.7109375" style="943" customWidth="1"/>
    <col min="14343" max="14343" width="10.140625" style="943" customWidth="1"/>
    <col min="14344" max="14344" width="6.85546875" style="943" customWidth="1"/>
    <col min="14345" max="14345" width="12.140625" style="943" customWidth="1"/>
    <col min="14346" max="14355" width="7.28515625" style="943" customWidth="1"/>
    <col min="14356" max="14358" width="7" style="943" customWidth="1"/>
    <col min="14359" max="14597" width="9.140625" style="943"/>
    <col min="14598" max="14598" width="3.7109375" style="943" customWidth="1"/>
    <col min="14599" max="14599" width="10.140625" style="943" customWidth="1"/>
    <col min="14600" max="14600" width="6.85546875" style="943" customWidth="1"/>
    <col min="14601" max="14601" width="12.140625" style="943" customWidth="1"/>
    <col min="14602" max="14611" width="7.28515625" style="943" customWidth="1"/>
    <col min="14612" max="14614" width="7" style="943" customWidth="1"/>
    <col min="14615" max="14853" width="9.140625" style="943"/>
    <col min="14854" max="14854" width="3.7109375" style="943" customWidth="1"/>
    <col min="14855" max="14855" width="10.140625" style="943" customWidth="1"/>
    <col min="14856" max="14856" width="6.85546875" style="943" customWidth="1"/>
    <col min="14857" max="14857" width="12.140625" style="943" customWidth="1"/>
    <col min="14858" max="14867" width="7.28515625" style="943" customWidth="1"/>
    <col min="14868" max="14870" width="7" style="943" customWidth="1"/>
    <col min="14871" max="15109" width="9.140625" style="943"/>
    <col min="15110" max="15110" width="3.7109375" style="943" customWidth="1"/>
    <col min="15111" max="15111" width="10.140625" style="943" customWidth="1"/>
    <col min="15112" max="15112" width="6.85546875" style="943" customWidth="1"/>
    <col min="15113" max="15113" width="12.140625" style="943" customWidth="1"/>
    <col min="15114" max="15123" width="7.28515625" style="943" customWidth="1"/>
    <col min="15124" max="15126" width="7" style="943" customWidth="1"/>
    <col min="15127" max="15365" width="9.140625" style="943"/>
    <col min="15366" max="15366" width="3.7109375" style="943" customWidth="1"/>
    <col min="15367" max="15367" width="10.140625" style="943" customWidth="1"/>
    <col min="15368" max="15368" width="6.85546875" style="943" customWidth="1"/>
    <col min="15369" max="15369" width="12.140625" style="943" customWidth="1"/>
    <col min="15370" max="15379" width="7.28515625" style="943" customWidth="1"/>
    <col min="15380" max="15382" width="7" style="943" customWidth="1"/>
    <col min="15383" max="15621" width="9.140625" style="943"/>
    <col min="15622" max="15622" width="3.7109375" style="943" customWidth="1"/>
    <col min="15623" max="15623" width="10.140625" style="943" customWidth="1"/>
    <col min="15624" max="15624" width="6.85546875" style="943" customWidth="1"/>
    <col min="15625" max="15625" width="12.140625" style="943" customWidth="1"/>
    <col min="15626" max="15635" width="7.28515625" style="943" customWidth="1"/>
    <col min="15636" max="15638" width="7" style="943" customWidth="1"/>
    <col min="15639" max="15877" width="9.140625" style="943"/>
    <col min="15878" max="15878" width="3.7109375" style="943" customWidth="1"/>
    <col min="15879" max="15879" width="10.140625" style="943" customWidth="1"/>
    <col min="15880" max="15880" width="6.85546875" style="943" customWidth="1"/>
    <col min="15881" max="15881" width="12.140625" style="943" customWidth="1"/>
    <col min="15882" max="15891" width="7.28515625" style="943" customWidth="1"/>
    <col min="15892" max="15894" width="7" style="943" customWidth="1"/>
    <col min="15895" max="16133" width="9.140625" style="943"/>
    <col min="16134" max="16134" width="3.7109375" style="943" customWidth="1"/>
    <col min="16135" max="16135" width="10.140625" style="943" customWidth="1"/>
    <col min="16136" max="16136" width="6.85546875" style="943" customWidth="1"/>
    <col min="16137" max="16137" width="12.140625" style="943" customWidth="1"/>
    <col min="16138" max="16147" width="7.28515625" style="943" customWidth="1"/>
    <col min="16148" max="16150" width="7" style="943" customWidth="1"/>
    <col min="16151" max="16384" width="9.140625" style="943"/>
  </cols>
  <sheetData>
    <row r="1" spans="1:25" ht="6.75" customHeight="1" x14ac:dyDescent="0.2"/>
    <row r="2" spans="1:25" ht="14.45" customHeight="1" x14ac:dyDescent="0.2">
      <c r="A2" s="1">
        <v>1</v>
      </c>
      <c r="B2" s="1" t="s">
        <v>0</v>
      </c>
      <c r="C2" s="1">
        <f>Stunting!C2+1</f>
        <v>35</v>
      </c>
      <c r="D2" s="4148" t="s">
        <v>866</v>
      </c>
      <c r="E2" s="4149"/>
      <c r="F2" s="4149"/>
      <c r="G2" s="4149"/>
      <c r="H2" s="4149"/>
      <c r="I2" s="4149"/>
      <c r="J2" s="4149"/>
      <c r="K2" s="4149"/>
      <c r="L2" s="4149"/>
      <c r="M2" s="4149"/>
      <c r="N2" s="4149"/>
      <c r="O2" s="4149"/>
      <c r="P2" s="4149"/>
      <c r="Q2" s="4149"/>
      <c r="R2" s="4149"/>
      <c r="S2" s="4149"/>
      <c r="T2" s="4149"/>
      <c r="U2" s="4149"/>
      <c r="V2" s="4149"/>
      <c r="W2" s="4150"/>
      <c r="X2" s="692"/>
    </row>
    <row r="3" spans="1:25" ht="15" customHeight="1" x14ac:dyDescent="0.2">
      <c r="A3" s="1">
        <v>2</v>
      </c>
      <c r="B3" s="1" t="s">
        <v>2</v>
      </c>
      <c r="C3" s="1"/>
      <c r="D3" s="4156" t="s">
        <v>802</v>
      </c>
      <c r="E3" s="4157"/>
      <c r="F3" s="4157"/>
      <c r="G3" s="4157"/>
      <c r="H3" s="4157"/>
      <c r="I3" s="4157"/>
      <c r="J3" s="4157"/>
      <c r="K3" s="4157"/>
      <c r="L3" s="4157"/>
      <c r="M3" s="4157"/>
      <c r="N3" s="4157"/>
      <c r="O3" s="4157"/>
      <c r="P3" s="4157"/>
      <c r="Q3" s="4157"/>
      <c r="R3" s="4157"/>
      <c r="S3" s="4157"/>
      <c r="T3" s="4157"/>
      <c r="U3" s="4157"/>
      <c r="V3" s="4157"/>
      <c r="W3" s="4158"/>
      <c r="X3" s="2038"/>
    </row>
    <row r="4" spans="1:25" ht="14.45" customHeight="1" x14ac:dyDescent="0.2">
      <c r="A4" s="1">
        <v>3</v>
      </c>
      <c r="B4" s="1" t="s">
        <v>4</v>
      </c>
      <c r="C4" s="1"/>
      <c r="D4" s="4156" t="s">
        <v>803</v>
      </c>
      <c r="E4" s="4157"/>
      <c r="F4" s="4157"/>
      <c r="G4" s="4157"/>
      <c r="H4" s="4157"/>
      <c r="I4" s="4157"/>
      <c r="J4" s="4157"/>
      <c r="K4" s="4157"/>
      <c r="L4" s="4157"/>
      <c r="M4" s="4157"/>
      <c r="N4" s="4157"/>
      <c r="O4" s="4157"/>
      <c r="P4" s="4157"/>
      <c r="Q4" s="4157"/>
      <c r="R4" s="4157"/>
      <c r="S4" s="4157"/>
      <c r="T4" s="4157"/>
      <c r="U4" s="4157"/>
      <c r="V4" s="4157"/>
      <c r="W4" s="4158"/>
      <c r="X4" s="2038"/>
    </row>
    <row r="5" spans="1:25" ht="14.45" customHeight="1" x14ac:dyDescent="0.2">
      <c r="A5" s="1">
        <v>4</v>
      </c>
      <c r="B5" s="1" t="s">
        <v>804</v>
      </c>
      <c r="C5" s="1"/>
      <c r="D5" s="4156" t="s">
        <v>867</v>
      </c>
      <c r="E5" s="4157"/>
      <c r="F5" s="4157"/>
      <c r="G5" s="4157"/>
      <c r="H5" s="4157"/>
      <c r="I5" s="4157"/>
      <c r="J5" s="4157"/>
      <c r="K5" s="4157"/>
      <c r="L5" s="4157"/>
      <c r="M5" s="4157"/>
      <c r="N5" s="4157"/>
      <c r="O5" s="4157"/>
      <c r="P5" s="4157"/>
      <c r="Q5" s="4157"/>
      <c r="R5" s="4157"/>
      <c r="S5" s="4157"/>
      <c r="T5" s="4157"/>
      <c r="U5" s="4157"/>
      <c r="V5" s="4157"/>
      <c r="W5" s="4158"/>
      <c r="X5" s="2038"/>
    </row>
    <row r="6" spans="1:25" ht="14.25" x14ac:dyDescent="0.2">
      <c r="A6" s="1"/>
      <c r="B6" s="2"/>
      <c r="C6" s="12"/>
      <c r="D6" s="11"/>
      <c r="E6" s="1405"/>
      <c r="F6" s="1355"/>
      <c r="G6" s="1355"/>
      <c r="H6" s="1355"/>
      <c r="I6" s="11"/>
      <c r="J6" s="11"/>
      <c r="K6" s="11"/>
      <c r="L6" s="11"/>
    </row>
    <row r="7" spans="1:25" s="11" customFormat="1" ht="12.75" x14ac:dyDescent="0.2">
      <c r="A7" s="1">
        <v>5</v>
      </c>
      <c r="B7" s="1" t="s">
        <v>5</v>
      </c>
      <c r="C7" s="2"/>
      <c r="D7" s="1381" t="s">
        <v>112</v>
      </c>
      <c r="E7" s="1381" t="s">
        <v>868</v>
      </c>
      <c r="F7" s="1419"/>
      <c r="G7" s="1419"/>
      <c r="H7" s="1419"/>
      <c r="I7" s="2149"/>
      <c r="J7" s="2149"/>
      <c r="K7" s="2149"/>
      <c r="L7" s="2149"/>
    </row>
    <row r="8" spans="1:25" s="11" customFormat="1" ht="12.75" x14ac:dyDescent="0.2">
      <c r="A8" s="1"/>
      <c r="B8" s="2"/>
      <c r="C8" s="2"/>
      <c r="D8" s="19"/>
      <c r="E8" s="2150"/>
      <c r="F8" s="2150"/>
      <c r="G8" s="2150">
        <v>2000</v>
      </c>
      <c r="H8" s="2150">
        <v>2001</v>
      </c>
      <c r="I8" s="2150">
        <v>2002</v>
      </c>
      <c r="J8" s="2150">
        <v>2003</v>
      </c>
      <c r="K8" s="2150">
        <v>2004</v>
      </c>
      <c r="L8" s="2150">
        <v>2005</v>
      </c>
      <c r="M8" s="2150">
        <v>2006</v>
      </c>
      <c r="N8" s="2150">
        <v>2007</v>
      </c>
      <c r="O8" s="2150">
        <v>2008</v>
      </c>
      <c r="P8" s="2150">
        <v>2009</v>
      </c>
      <c r="Q8" s="2150">
        <v>2010</v>
      </c>
      <c r="R8" s="2150">
        <v>2011</v>
      </c>
      <c r="S8" s="2150">
        <v>2012</v>
      </c>
      <c r="T8" s="2150">
        <v>2013</v>
      </c>
      <c r="U8" s="2150">
        <v>2014</v>
      </c>
      <c r="V8" s="2150">
        <v>2015</v>
      </c>
      <c r="W8" s="2150">
        <v>2016</v>
      </c>
      <c r="X8" s="2151">
        <v>2017</v>
      </c>
      <c r="Y8" s="1743"/>
    </row>
    <row r="9" spans="1:25" s="2155" customFormat="1" ht="22.5" x14ac:dyDescent="0.2">
      <c r="A9" s="1780"/>
      <c r="B9" s="2152"/>
      <c r="C9" s="2152"/>
      <c r="D9" s="1866" t="s">
        <v>869</v>
      </c>
      <c r="E9" s="1868"/>
      <c r="F9" s="1868"/>
      <c r="G9" s="1868">
        <v>0.75800000000000001</v>
      </c>
      <c r="H9" s="1868">
        <v>0.79500000000000004</v>
      </c>
      <c r="I9" s="1868">
        <v>0.80900000000000005</v>
      </c>
      <c r="J9" s="1868">
        <v>0.81100000000000005</v>
      </c>
      <c r="K9" s="1868">
        <v>0.83099999999999996</v>
      </c>
      <c r="L9" s="1868">
        <v>0.90200000000000002</v>
      </c>
      <c r="M9" s="1868">
        <v>0.83399999999999996</v>
      </c>
      <c r="N9" s="1868">
        <v>0.84899999999999998</v>
      </c>
      <c r="O9" s="1868">
        <v>0.90500000000000003</v>
      </c>
      <c r="P9" s="1868">
        <v>0.94399999999999995</v>
      </c>
      <c r="Q9" s="1868">
        <v>0.88100000000000001</v>
      </c>
      <c r="R9" s="1868">
        <v>0.90800000000000003</v>
      </c>
      <c r="S9" s="1868">
        <v>0.84</v>
      </c>
      <c r="T9" s="1868">
        <v>0.84099999999999997</v>
      </c>
      <c r="U9" s="1868">
        <v>0.875</v>
      </c>
      <c r="V9" s="1868">
        <v>0.91700000000000004</v>
      </c>
      <c r="W9" s="1868">
        <v>0.81899999999999995</v>
      </c>
      <c r="X9" s="2153">
        <v>0.80600000000000005</v>
      </c>
      <c r="Y9" s="2154"/>
    </row>
    <row r="10" spans="1:25" s="2155" customFormat="1" ht="12.75" x14ac:dyDescent="0.2">
      <c r="A10" s="1780"/>
      <c r="B10" s="2152"/>
      <c r="C10" s="2152"/>
      <c r="D10" s="2085"/>
      <c r="E10" s="2154"/>
      <c r="F10" s="2154"/>
      <c r="G10" s="2154"/>
      <c r="H10" s="2154"/>
      <c r="I10" s="2154"/>
      <c r="J10" s="2154"/>
      <c r="K10" s="2154"/>
      <c r="L10" s="2154"/>
      <c r="M10" s="2154"/>
      <c r="N10" s="2154"/>
      <c r="O10" s="2154"/>
      <c r="P10" s="2154"/>
      <c r="Q10" s="2154"/>
      <c r="R10" s="2154"/>
      <c r="S10" s="2154"/>
      <c r="T10" s="2154"/>
      <c r="U10" s="2154"/>
      <c r="V10" s="2154"/>
      <c r="W10" s="2154"/>
      <c r="X10" s="2154"/>
      <c r="Y10" s="2154"/>
    </row>
    <row r="11" spans="1:25" ht="14.25" x14ac:dyDescent="0.2">
      <c r="A11" s="1">
        <v>6</v>
      </c>
      <c r="B11" s="1" t="s">
        <v>90</v>
      </c>
      <c r="C11" s="1"/>
    </row>
    <row r="12" spans="1:25" x14ac:dyDescent="0.2">
      <c r="D12" s="2149" t="s">
        <v>6</v>
      </c>
      <c r="E12" s="2157" t="s">
        <v>870</v>
      </c>
      <c r="F12" s="2158"/>
      <c r="G12" s="2158"/>
      <c r="H12" s="2159"/>
      <c r="I12" s="2159"/>
      <c r="J12" s="2159"/>
      <c r="K12" s="2159"/>
      <c r="L12" s="2159"/>
      <c r="M12" s="2159"/>
      <c r="N12" s="2159"/>
      <c r="O12" s="2159"/>
      <c r="P12" s="2159"/>
      <c r="Q12" s="2160"/>
    </row>
    <row r="13" spans="1:25" x14ac:dyDescent="0.2">
      <c r="D13" s="2051" t="s">
        <v>69</v>
      </c>
      <c r="E13" s="2161"/>
      <c r="F13" s="2162"/>
      <c r="G13" s="2162"/>
      <c r="H13" s="2093">
        <v>2001</v>
      </c>
      <c r="I13" s="2093">
        <v>2002</v>
      </c>
      <c r="J13" s="2093">
        <v>2003</v>
      </c>
      <c r="K13" s="2093">
        <v>2004</v>
      </c>
      <c r="L13" s="2093">
        <v>2005</v>
      </c>
      <c r="M13" s="2093">
        <v>2006</v>
      </c>
      <c r="N13" s="2093">
        <v>2007</v>
      </c>
      <c r="O13" s="2093">
        <v>2008</v>
      </c>
      <c r="P13" s="2093">
        <v>2009</v>
      </c>
      <c r="Q13" s="2093">
        <v>2010</v>
      </c>
      <c r="R13" s="2093">
        <v>2011</v>
      </c>
      <c r="S13" s="2093">
        <v>2012</v>
      </c>
      <c r="T13" s="2093">
        <v>2013</v>
      </c>
      <c r="U13" s="2093">
        <v>2014</v>
      </c>
      <c r="V13" s="2093">
        <v>2015</v>
      </c>
      <c r="W13" s="2163">
        <v>2016</v>
      </c>
      <c r="X13" s="2163">
        <v>2017</v>
      </c>
      <c r="Y13" s="1743"/>
    </row>
    <row r="14" spans="1:25" x14ac:dyDescent="0.2">
      <c r="D14" s="1863" t="s">
        <v>19</v>
      </c>
      <c r="E14" s="2160"/>
      <c r="F14" s="2160"/>
      <c r="G14" s="2160"/>
      <c r="H14" s="2164">
        <v>65</v>
      </c>
      <c r="I14" s="2164">
        <v>66.3</v>
      </c>
      <c r="J14" s="2164">
        <v>71.7</v>
      </c>
      <c r="K14" s="2164">
        <v>70.900000000000006</v>
      </c>
      <c r="L14" s="2164">
        <v>75.8</v>
      </c>
      <c r="M14" s="2164">
        <v>76.5</v>
      </c>
      <c r="N14" s="2164">
        <v>78.2</v>
      </c>
      <c r="O14" s="2164">
        <v>80.3</v>
      </c>
      <c r="P14" s="2164">
        <v>88.3</v>
      </c>
      <c r="Q14" s="2165">
        <v>81.109677419354838</v>
      </c>
      <c r="R14" s="2165">
        <v>81.5</v>
      </c>
      <c r="S14" s="2165">
        <v>73.556675773095535</v>
      </c>
      <c r="T14" s="2165">
        <v>72.076375591107819</v>
      </c>
      <c r="U14" s="2165">
        <v>78</v>
      </c>
      <c r="V14" s="2165">
        <v>87.1</v>
      </c>
      <c r="W14" s="2165">
        <v>79.067736641623625</v>
      </c>
      <c r="X14" s="2166">
        <v>65.900000000000006</v>
      </c>
      <c r="Y14" s="2167"/>
    </row>
    <row r="15" spans="1:25" x14ac:dyDescent="0.2">
      <c r="D15" s="1863" t="s">
        <v>20</v>
      </c>
      <c r="E15" s="2160"/>
      <c r="F15" s="2160"/>
      <c r="G15" s="2160"/>
      <c r="H15" s="2164">
        <v>68.3</v>
      </c>
      <c r="I15" s="2164">
        <v>68.8</v>
      </c>
      <c r="J15" s="2164">
        <v>68.099999999999994</v>
      </c>
      <c r="K15" s="2164">
        <v>70.7</v>
      </c>
      <c r="L15" s="2164">
        <v>78.2</v>
      </c>
      <c r="M15" s="2164">
        <v>79.5</v>
      </c>
      <c r="N15" s="2164">
        <v>78.099999999999994</v>
      </c>
      <c r="O15" s="2164">
        <v>83.1</v>
      </c>
      <c r="P15" s="2164">
        <v>86.7</v>
      </c>
      <c r="Q15" s="2165">
        <v>82.272968849114505</v>
      </c>
      <c r="R15" s="2165">
        <v>90.8</v>
      </c>
      <c r="S15" s="2165">
        <v>96.11655894807221</v>
      </c>
      <c r="T15" s="2165">
        <v>88.831501762454991</v>
      </c>
      <c r="U15" s="2165">
        <v>88.3</v>
      </c>
      <c r="V15" s="2165">
        <v>87.2</v>
      </c>
      <c r="W15" s="2165">
        <v>80.457175109355163</v>
      </c>
      <c r="X15" s="2166">
        <v>70.099999999999994</v>
      </c>
      <c r="Y15" s="2167"/>
    </row>
    <row r="16" spans="1:25" x14ac:dyDescent="0.2">
      <c r="B16" s="2073"/>
      <c r="C16" s="2073"/>
      <c r="D16" s="1863" t="s">
        <v>21</v>
      </c>
      <c r="E16" s="2160"/>
      <c r="F16" s="2160"/>
      <c r="G16" s="2160"/>
      <c r="H16" s="2164">
        <v>64.3</v>
      </c>
      <c r="I16" s="2164">
        <v>66.5</v>
      </c>
      <c r="J16" s="2164">
        <v>70.400000000000006</v>
      </c>
      <c r="K16" s="2164">
        <v>75.2</v>
      </c>
      <c r="L16" s="2164">
        <v>91.8</v>
      </c>
      <c r="M16" s="2164">
        <v>101.1</v>
      </c>
      <c r="N16" s="2164">
        <v>105.5</v>
      </c>
      <c r="O16" s="2164">
        <v>112.6</v>
      </c>
      <c r="P16" s="2164">
        <v>115.7</v>
      </c>
      <c r="Q16" s="2165">
        <v>110.0182960782754</v>
      </c>
      <c r="R16" s="2165">
        <v>115.4</v>
      </c>
      <c r="S16" s="2165">
        <v>102.73029124371502</v>
      </c>
      <c r="T16" s="2165">
        <v>107.6547725076273</v>
      </c>
      <c r="U16" s="2165">
        <v>105.7</v>
      </c>
      <c r="V16" s="2165">
        <v>108.6</v>
      </c>
      <c r="W16" s="2165">
        <v>97.771693043309455</v>
      </c>
      <c r="X16" s="2166">
        <v>75.3</v>
      </c>
      <c r="Y16" s="2167"/>
    </row>
    <row r="17" spans="4:25" x14ac:dyDescent="0.2">
      <c r="D17" s="1863" t="s">
        <v>22</v>
      </c>
      <c r="E17" s="2160"/>
      <c r="F17" s="2160"/>
      <c r="G17" s="2160"/>
      <c r="H17" s="2164">
        <v>62.6</v>
      </c>
      <c r="I17" s="2164">
        <v>62.6</v>
      </c>
      <c r="J17" s="2164">
        <v>62.8</v>
      </c>
      <c r="K17" s="2164">
        <v>61.9</v>
      </c>
      <c r="L17" s="2164">
        <v>66.5</v>
      </c>
      <c r="M17" s="2164">
        <v>77.3</v>
      </c>
      <c r="N17" s="2164">
        <v>77.900000000000006</v>
      </c>
      <c r="O17" s="2164">
        <v>82.1</v>
      </c>
      <c r="P17" s="2164">
        <v>85.7</v>
      </c>
      <c r="Q17" s="2165">
        <v>82.480903875739514</v>
      </c>
      <c r="R17" s="2165">
        <v>97</v>
      </c>
      <c r="S17" s="2165">
        <v>86.628510872719161</v>
      </c>
      <c r="T17" s="2165">
        <v>86.061907545299746</v>
      </c>
      <c r="U17" s="2165">
        <v>88.1</v>
      </c>
      <c r="V17" s="2165">
        <v>89.8</v>
      </c>
      <c r="W17" s="2165">
        <v>81.510678264629959</v>
      </c>
      <c r="X17" s="2166">
        <v>78.599999999999994</v>
      </c>
      <c r="Y17" s="2167"/>
    </row>
    <row r="18" spans="4:25" x14ac:dyDescent="0.2">
      <c r="D18" s="1863" t="s">
        <v>23</v>
      </c>
      <c r="E18" s="2160"/>
      <c r="F18" s="2160"/>
      <c r="G18" s="2160"/>
      <c r="H18" s="2164">
        <v>72.2</v>
      </c>
      <c r="I18" s="2164">
        <v>78.900000000000006</v>
      </c>
      <c r="J18" s="2164">
        <v>77.400000000000006</v>
      </c>
      <c r="K18" s="2164">
        <v>76.400000000000006</v>
      </c>
      <c r="L18" s="2164">
        <v>81.2</v>
      </c>
      <c r="M18" s="2164">
        <v>88.6</v>
      </c>
      <c r="N18" s="2164">
        <v>82.1</v>
      </c>
      <c r="O18" s="2164">
        <v>90.7</v>
      </c>
      <c r="P18" s="2164">
        <v>98.3</v>
      </c>
      <c r="Q18" s="2165">
        <v>93.962403842681212</v>
      </c>
      <c r="R18" s="2165">
        <v>95.9</v>
      </c>
      <c r="S18" s="2165">
        <v>72.233731547984263</v>
      </c>
      <c r="T18" s="2165">
        <v>68.838794952726957</v>
      </c>
      <c r="U18" s="2165">
        <v>79.900000000000006</v>
      </c>
      <c r="V18" s="2165">
        <v>81.599999999999994</v>
      </c>
      <c r="W18" s="2165">
        <v>65.282435088012704</v>
      </c>
      <c r="X18" s="2166">
        <v>68.7</v>
      </c>
      <c r="Y18" s="2167"/>
    </row>
    <row r="19" spans="4:25" x14ac:dyDescent="0.2">
      <c r="D19" s="1863" t="s">
        <v>24</v>
      </c>
      <c r="E19" s="2160"/>
      <c r="F19" s="2160"/>
      <c r="G19" s="2160"/>
      <c r="H19" s="2164">
        <v>62.2</v>
      </c>
      <c r="I19" s="2164">
        <v>62.5</v>
      </c>
      <c r="J19" s="2164">
        <v>65.5</v>
      </c>
      <c r="K19" s="2164">
        <v>68.8</v>
      </c>
      <c r="L19" s="2164">
        <v>77.2</v>
      </c>
      <c r="M19" s="2164">
        <v>81.3</v>
      </c>
      <c r="N19" s="2164">
        <v>87.7</v>
      </c>
      <c r="O19" s="2164">
        <v>86.2</v>
      </c>
      <c r="P19" s="2164">
        <v>90.8</v>
      </c>
      <c r="Q19" s="2165">
        <v>74.171632896305127</v>
      </c>
      <c r="R19" s="2165">
        <v>71.900000000000006</v>
      </c>
      <c r="S19" s="2165">
        <v>65.753953352526395</v>
      </c>
      <c r="T19" s="2165">
        <v>70.899509701211073</v>
      </c>
      <c r="U19" s="2165">
        <v>76.400000000000006</v>
      </c>
      <c r="V19" s="2165">
        <v>87.6</v>
      </c>
      <c r="W19" s="2165">
        <v>79.762500457668693</v>
      </c>
      <c r="X19" s="2166">
        <v>86.8</v>
      </c>
      <c r="Y19" s="2167"/>
    </row>
    <row r="20" spans="4:25" x14ac:dyDescent="0.2">
      <c r="D20" s="1863" t="s">
        <v>25</v>
      </c>
      <c r="E20" s="2160"/>
      <c r="F20" s="2160"/>
      <c r="G20" s="2160"/>
      <c r="H20" s="2164">
        <v>73.7</v>
      </c>
      <c r="I20" s="2165">
        <v>66</v>
      </c>
      <c r="J20" s="2164">
        <v>65.099999999999994</v>
      </c>
      <c r="K20" s="2164">
        <v>66.5</v>
      </c>
      <c r="L20" s="2164">
        <v>72.400000000000006</v>
      </c>
      <c r="M20" s="2164">
        <v>69.599999999999994</v>
      </c>
      <c r="N20" s="2165">
        <v>74</v>
      </c>
      <c r="O20" s="2165">
        <v>93</v>
      </c>
      <c r="P20" s="2164">
        <v>85.8</v>
      </c>
      <c r="Q20" s="2165">
        <v>85.08250625961567</v>
      </c>
      <c r="R20" s="2165">
        <v>81.400000000000006</v>
      </c>
      <c r="S20" s="2165">
        <v>72.50851872804536</v>
      </c>
      <c r="T20" s="2165">
        <v>73.068549885838692</v>
      </c>
      <c r="U20" s="2165">
        <v>79.3</v>
      </c>
      <c r="V20" s="2165">
        <v>85.2</v>
      </c>
      <c r="W20" s="2165">
        <v>78.716186448145208</v>
      </c>
      <c r="X20" s="2166">
        <v>85.8</v>
      </c>
      <c r="Y20" s="2167"/>
    </row>
    <row r="21" spans="4:25" x14ac:dyDescent="0.2">
      <c r="D21" s="1863" t="s">
        <v>26</v>
      </c>
      <c r="E21" s="2160"/>
      <c r="F21" s="2160"/>
      <c r="G21" s="2160"/>
      <c r="H21" s="2164">
        <v>70</v>
      </c>
      <c r="I21" s="2164">
        <v>69.7</v>
      </c>
      <c r="J21" s="2164">
        <v>72.900000000000006</v>
      </c>
      <c r="K21" s="2164">
        <v>76.099999999999994</v>
      </c>
      <c r="L21" s="2164">
        <v>81.3</v>
      </c>
      <c r="M21" s="2164">
        <v>87.8</v>
      </c>
      <c r="N21" s="2164">
        <v>91.1</v>
      </c>
      <c r="O21" s="2164">
        <v>91.6</v>
      </c>
      <c r="P21" s="2164">
        <v>97.6</v>
      </c>
      <c r="Q21" s="2165">
        <v>88.182278015358435</v>
      </c>
      <c r="R21" s="2165">
        <v>94.1</v>
      </c>
      <c r="S21" s="2165">
        <v>87.4850422942026</v>
      </c>
      <c r="T21" s="2165">
        <v>85.912722802704366</v>
      </c>
      <c r="U21" s="2165">
        <v>83.8</v>
      </c>
      <c r="V21" s="2165">
        <v>84.3</v>
      </c>
      <c r="W21" s="2165">
        <v>74.517169689583483</v>
      </c>
      <c r="X21" s="2166">
        <v>69</v>
      </c>
      <c r="Y21" s="2167"/>
    </row>
    <row r="22" spans="4:25" x14ac:dyDescent="0.2">
      <c r="D22" s="1866" t="s">
        <v>27</v>
      </c>
      <c r="E22" s="2159"/>
      <c r="F22" s="2159"/>
      <c r="G22" s="2159"/>
      <c r="H22" s="2168">
        <v>71.099999999999994</v>
      </c>
      <c r="I22" s="2168">
        <v>73.3</v>
      </c>
      <c r="J22" s="2168">
        <v>75.900000000000006</v>
      </c>
      <c r="K22" s="2168">
        <v>78.400000000000006</v>
      </c>
      <c r="L22" s="2168">
        <v>84.4</v>
      </c>
      <c r="M22" s="2168">
        <v>95.3</v>
      </c>
      <c r="N22" s="2168">
        <v>99.8</v>
      </c>
      <c r="O22" s="2168">
        <v>100.9</v>
      </c>
      <c r="P22" s="2168">
        <v>104.2</v>
      </c>
      <c r="Q22" s="2169">
        <v>94.079359624830715</v>
      </c>
      <c r="R22" s="2169">
        <v>88.7</v>
      </c>
      <c r="S22" s="2169">
        <v>88.619656956166622</v>
      </c>
      <c r="T22" s="2169">
        <v>86.143095220059081</v>
      </c>
      <c r="U22" s="2169">
        <v>88.4</v>
      </c>
      <c r="V22" s="2169">
        <v>92.9</v>
      </c>
      <c r="W22" s="2169">
        <v>83.129104394548051</v>
      </c>
      <c r="X22" s="2170">
        <v>77.400000000000006</v>
      </c>
      <c r="Y22" s="2167"/>
    </row>
    <row r="23" spans="4:25" x14ac:dyDescent="0.2">
      <c r="D23" s="2085"/>
      <c r="E23" s="2160"/>
      <c r="F23" s="2160"/>
      <c r="G23" s="2160"/>
      <c r="H23" s="2160"/>
      <c r="I23" s="2160"/>
      <c r="J23" s="2160"/>
      <c r="K23" s="2160"/>
      <c r="L23" s="2160"/>
      <c r="M23" s="2160"/>
      <c r="N23" s="2160"/>
      <c r="O23" s="2160"/>
      <c r="P23" s="2160"/>
      <c r="Q23" s="2160"/>
    </row>
    <row r="24" spans="4:25" x14ac:dyDescent="0.2">
      <c r="D24" s="2085"/>
      <c r="E24" s="2160"/>
      <c r="F24" s="2160"/>
      <c r="G24" s="2160"/>
      <c r="H24" s="2160"/>
      <c r="I24" s="2160"/>
      <c r="J24" s="2160"/>
      <c r="K24" s="2160"/>
      <c r="L24" s="2160"/>
      <c r="M24" s="2160"/>
      <c r="N24" s="2160"/>
      <c r="O24" s="2160"/>
      <c r="P24" s="2160"/>
      <c r="Q24" s="2160"/>
    </row>
    <row r="25" spans="4:25" x14ac:dyDescent="0.2">
      <c r="D25" s="2085"/>
      <c r="E25" s="2160"/>
      <c r="F25" s="2160"/>
      <c r="G25" s="2160"/>
      <c r="H25" s="2160"/>
      <c r="I25" s="2160"/>
      <c r="J25" s="2160"/>
      <c r="K25" s="2160"/>
      <c r="L25" s="2160"/>
      <c r="M25" s="2160"/>
      <c r="N25" s="2160"/>
      <c r="O25" s="2160"/>
      <c r="P25" s="2160"/>
      <c r="Q25" s="2160"/>
    </row>
    <row r="26" spans="4:25" x14ac:dyDescent="0.2">
      <c r="D26" s="2085"/>
      <c r="E26" s="2160"/>
      <c r="F26" s="2160"/>
      <c r="G26" s="2160"/>
      <c r="H26" s="2160"/>
      <c r="I26" s="2160"/>
      <c r="J26" s="2160"/>
      <c r="K26" s="2160"/>
      <c r="L26" s="2160"/>
      <c r="M26" s="2160"/>
      <c r="N26" s="2160"/>
      <c r="O26" s="2160"/>
      <c r="P26" s="2160"/>
      <c r="Q26" s="2160"/>
    </row>
    <row r="27" spans="4:25" x14ac:dyDescent="0.2">
      <c r="D27" s="2085"/>
      <c r="E27" s="2160"/>
      <c r="F27" s="2160"/>
      <c r="G27" s="2160"/>
      <c r="H27" s="2160"/>
      <c r="I27" s="2160"/>
      <c r="J27" s="2160"/>
      <c r="K27" s="2160"/>
      <c r="L27" s="2160"/>
      <c r="M27" s="2160"/>
      <c r="N27" s="2160"/>
      <c r="O27" s="2160"/>
      <c r="P27" s="2160"/>
      <c r="Q27" s="2160"/>
    </row>
    <row r="28" spans="4:25" x14ac:dyDescent="0.2">
      <c r="D28" s="2085"/>
      <c r="E28" s="2160"/>
      <c r="F28" s="2160"/>
      <c r="G28" s="2160"/>
      <c r="H28" s="2160"/>
      <c r="I28" s="2160"/>
      <c r="J28" s="2160"/>
      <c r="K28" s="2160"/>
      <c r="L28" s="2160"/>
      <c r="M28" s="2160"/>
      <c r="N28" s="2160"/>
      <c r="O28" s="2160"/>
      <c r="P28" s="2160"/>
      <c r="Q28" s="2160"/>
    </row>
    <row r="29" spans="4:25" x14ac:dyDescent="0.2">
      <c r="D29" s="2085"/>
      <c r="E29" s="2160"/>
      <c r="F29" s="2160"/>
      <c r="G29" s="2160"/>
      <c r="H29" s="2160"/>
      <c r="I29" s="2160"/>
      <c r="J29" s="2160"/>
      <c r="K29" s="2160"/>
      <c r="L29" s="2160"/>
      <c r="M29" s="2160"/>
      <c r="N29" s="2160"/>
      <c r="O29" s="2160"/>
      <c r="P29" s="2160"/>
      <c r="Q29" s="2160"/>
    </row>
    <row r="30" spans="4:25" x14ac:dyDescent="0.2">
      <c r="D30" s="2085"/>
      <c r="E30" s="2160"/>
      <c r="F30" s="2160"/>
      <c r="G30" s="2160"/>
      <c r="H30" s="2160"/>
      <c r="I30" s="2160"/>
      <c r="J30" s="2160"/>
      <c r="K30" s="2160"/>
      <c r="L30" s="2160"/>
      <c r="M30" s="2160"/>
      <c r="N30" s="2160"/>
      <c r="O30" s="2160"/>
      <c r="P30" s="2160"/>
      <c r="Q30" s="2160"/>
    </row>
    <row r="31" spans="4:25" x14ac:dyDescent="0.2">
      <c r="D31" s="2085"/>
      <c r="E31" s="2160"/>
      <c r="F31" s="2160"/>
      <c r="G31" s="2160"/>
      <c r="H31" s="2160"/>
      <c r="I31" s="2160"/>
      <c r="J31" s="2160"/>
      <c r="K31" s="2160"/>
      <c r="L31" s="2160"/>
      <c r="M31" s="2160"/>
      <c r="N31" s="2160"/>
      <c r="O31" s="2160"/>
      <c r="P31" s="2160"/>
      <c r="Q31" s="2160"/>
    </row>
    <row r="32" spans="4:25" x14ac:dyDescent="0.2">
      <c r="D32" s="2085"/>
      <c r="E32" s="2160"/>
      <c r="F32" s="2160"/>
      <c r="G32" s="2160"/>
      <c r="H32" s="2160"/>
      <c r="I32" s="2160"/>
      <c r="J32" s="2160"/>
      <c r="K32" s="2160"/>
      <c r="L32" s="2160"/>
      <c r="M32" s="2160"/>
      <c r="N32" s="2160"/>
      <c r="O32" s="2160"/>
      <c r="P32" s="2160"/>
      <c r="Q32" s="2160"/>
    </row>
    <row r="33" spans="1:24" x14ac:dyDescent="0.2">
      <c r="D33" s="2085"/>
      <c r="E33" s="2160"/>
      <c r="F33" s="2160"/>
      <c r="G33" s="2160"/>
      <c r="H33" s="2160"/>
      <c r="I33" s="2160"/>
      <c r="J33" s="2160"/>
      <c r="K33" s="2160"/>
      <c r="L33" s="2160"/>
      <c r="M33" s="2160"/>
      <c r="N33" s="2160"/>
      <c r="O33" s="2160"/>
      <c r="P33" s="2160"/>
      <c r="Q33" s="2160"/>
    </row>
    <row r="34" spans="1:24" x14ac:dyDescent="0.2">
      <c r="D34" s="2085"/>
      <c r="E34" s="2160"/>
      <c r="F34" s="2160"/>
      <c r="G34" s="2160"/>
      <c r="H34" s="2160"/>
      <c r="I34" s="2160"/>
      <c r="J34" s="2160"/>
      <c r="K34" s="2160"/>
      <c r="L34" s="2160"/>
      <c r="M34" s="2160"/>
      <c r="N34" s="2160"/>
      <c r="O34" s="2160"/>
      <c r="P34" s="2160"/>
      <c r="Q34" s="2160"/>
    </row>
    <row r="35" spans="1:24" x14ac:dyDescent="0.2">
      <c r="D35" s="2085"/>
      <c r="E35" s="2160"/>
      <c r="F35" s="2160"/>
      <c r="G35" s="2160"/>
      <c r="H35" s="2160"/>
      <c r="I35" s="2160"/>
      <c r="J35" s="2160"/>
      <c r="K35" s="2160"/>
      <c r="L35" s="2160"/>
      <c r="M35" s="2160"/>
      <c r="N35" s="2160"/>
      <c r="O35" s="2160"/>
      <c r="P35" s="2160"/>
      <c r="Q35" s="2160"/>
    </row>
    <row r="36" spans="1:24" x14ac:dyDescent="0.2">
      <c r="D36" s="2085"/>
      <c r="E36" s="2160"/>
      <c r="F36" s="2160"/>
      <c r="G36" s="2160"/>
      <c r="H36" s="2160"/>
      <c r="I36" s="2160"/>
      <c r="J36" s="2160"/>
      <c r="K36" s="2160"/>
      <c r="L36" s="2160"/>
      <c r="M36" s="2160"/>
      <c r="N36" s="2160"/>
      <c r="O36" s="2160"/>
      <c r="P36" s="2160"/>
      <c r="Q36" s="2160"/>
    </row>
    <row r="37" spans="1:24" x14ac:dyDescent="0.2">
      <c r="D37" s="2085"/>
      <c r="E37" s="2160"/>
      <c r="F37" s="2160"/>
      <c r="G37" s="2160"/>
      <c r="H37" s="2160"/>
      <c r="I37" s="2160"/>
      <c r="J37" s="2160"/>
      <c r="K37" s="2160"/>
      <c r="L37" s="2160"/>
      <c r="M37" s="2160"/>
      <c r="N37" s="2160"/>
      <c r="O37" s="2160"/>
      <c r="P37" s="2160"/>
      <c r="Q37" s="2160"/>
    </row>
    <row r="39" spans="1:24" ht="15" customHeight="1" x14ac:dyDescent="0.2">
      <c r="A39" s="1">
        <v>7</v>
      </c>
      <c r="B39" s="1" t="s">
        <v>29</v>
      </c>
      <c r="C39" s="1"/>
      <c r="D39" s="4140" t="s">
        <v>392</v>
      </c>
      <c r="E39" s="4141"/>
      <c r="F39" s="4141"/>
      <c r="G39" s="4141"/>
      <c r="H39" s="4141"/>
      <c r="I39" s="4141"/>
      <c r="J39" s="4141"/>
      <c r="K39" s="4141"/>
      <c r="L39" s="4141"/>
      <c r="M39" s="4141"/>
      <c r="N39" s="4141"/>
      <c r="O39" s="4141"/>
      <c r="P39" s="4141"/>
      <c r="Q39" s="4141"/>
      <c r="R39" s="4141"/>
      <c r="S39" s="4141"/>
      <c r="T39" s="4141"/>
      <c r="U39" s="4141"/>
      <c r="V39" s="4141"/>
      <c r="W39" s="4142"/>
      <c r="X39" s="1769"/>
    </row>
    <row r="40" spans="1:24" ht="30.75" customHeight="1" x14ac:dyDescent="0.2">
      <c r="A40" s="40">
        <v>8</v>
      </c>
      <c r="B40" s="40" t="s">
        <v>32</v>
      </c>
      <c r="C40" s="40"/>
      <c r="D40" s="4247" t="s">
        <v>871</v>
      </c>
      <c r="E40" s="4248"/>
      <c r="F40" s="4248"/>
      <c r="G40" s="4248"/>
      <c r="H40" s="4248"/>
      <c r="I40" s="4248"/>
      <c r="J40" s="4248"/>
      <c r="K40" s="4248"/>
      <c r="L40" s="4248"/>
      <c r="M40" s="4248"/>
      <c r="N40" s="4248"/>
      <c r="O40" s="4248"/>
      <c r="P40" s="4248"/>
      <c r="Q40" s="4248"/>
      <c r="R40" s="4248"/>
      <c r="S40" s="4248"/>
      <c r="T40" s="4248"/>
      <c r="U40" s="4248"/>
      <c r="V40" s="4248"/>
      <c r="W40" s="4249"/>
      <c r="X40" s="2148"/>
    </row>
    <row r="41" spans="1:24" ht="15" customHeight="1" x14ac:dyDescent="0.2">
      <c r="A41" s="1">
        <v>9</v>
      </c>
      <c r="B41" s="1" t="s">
        <v>31</v>
      </c>
      <c r="C41" s="1"/>
      <c r="D41" s="4193" t="s">
        <v>872</v>
      </c>
      <c r="E41" s="4194"/>
      <c r="F41" s="4194"/>
      <c r="G41" s="4194"/>
      <c r="H41" s="4194"/>
      <c r="I41" s="4194"/>
      <c r="J41" s="4194"/>
      <c r="K41" s="4194"/>
      <c r="L41" s="4194"/>
      <c r="M41" s="4194"/>
      <c r="N41" s="4194"/>
      <c r="O41" s="4194"/>
      <c r="P41" s="4194"/>
      <c r="Q41" s="4194"/>
      <c r="R41" s="4194"/>
      <c r="S41" s="4194"/>
      <c r="T41" s="4194"/>
      <c r="U41" s="4194"/>
      <c r="V41" s="4194"/>
      <c r="W41" s="4195"/>
      <c r="X41" s="688"/>
    </row>
    <row r="42" spans="1:24" ht="15" customHeight="1" x14ac:dyDescent="0.2">
      <c r="A42" s="1">
        <v>10</v>
      </c>
      <c r="B42" s="1" t="s">
        <v>34</v>
      </c>
      <c r="C42" s="1"/>
      <c r="D42" s="4193" t="s">
        <v>1735</v>
      </c>
      <c r="E42" s="4194"/>
      <c r="F42" s="4194"/>
      <c r="G42" s="4194"/>
      <c r="H42" s="4194"/>
      <c r="I42" s="4194"/>
      <c r="J42" s="4194"/>
      <c r="K42" s="4194"/>
      <c r="L42" s="4194"/>
      <c r="M42" s="4194"/>
      <c r="N42" s="4194"/>
      <c r="O42" s="4194"/>
      <c r="P42" s="4194"/>
      <c r="Q42" s="4194"/>
      <c r="R42" s="4194"/>
      <c r="S42" s="4194"/>
      <c r="T42" s="4194"/>
      <c r="U42" s="4194"/>
      <c r="V42" s="4194"/>
      <c r="W42" s="4195"/>
      <c r="X42" s="688"/>
    </row>
  </sheetData>
  <mergeCells count="8">
    <mergeCell ref="D40:W40"/>
    <mergeCell ref="D41:W41"/>
    <mergeCell ref="D42:W42"/>
    <mergeCell ref="D2:W2"/>
    <mergeCell ref="D3:W3"/>
    <mergeCell ref="D4:W4"/>
    <mergeCell ref="D5:W5"/>
    <mergeCell ref="D39:W39"/>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Z38"/>
  <sheetViews>
    <sheetView showGridLines="0" view="pageBreakPreview" zoomScaleNormal="100" zoomScaleSheetLayoutView="100" workbookViewId="0">
      <selection activeCell="D35" sqref="D35:U35"/>
    </sheetView>
  </sheetViews>
  <sheetFormatPr defaultColWidth="9.140625" defaultRowHeight="15" x14ac:dyDescent="0.2"/>
  <cols>
    <col min="1" max="1" width="3.7109375" style="2035" customWidth="1"/>
    <col min="2" max="2" width="14.42578125" style="2194" customWidth="1"/>
    <col min="3" max="3" width="3.7109375" style="2194" customWidth="1"/>
    <col min="4" max="5" width="8.42578125" style="943" customWidth="1"/>
    <col min="6" max="11" width="8.140625" style="943" customWidth="1"/>
    <col min="12" max="258" width="9.140625" style="943"/>
    <col min="259" max="259" width="3.7109375" style="943" customWidth="1"/>
    <col min="260" max="260" width="14.42578125" style="943" customWidth="1"/>
    <col min="261" max="261" width="3.7109375" style="943" customWidth="1"/>
    <col min="262" max="263" width="8.42578125" style="943" customWidth="1"/>
    <col min="264" max="269" width="8.140625" style="943" customWidth="1"/>
    <col min="270" max="514" width="9.140625" style="943"/>
    <col min="515" max="515" width="3.7109375" style="943" customWidth="1"/>
    <col min="516" max="516" width="14.42578125" style="943" customWidth="1"/>
    <col min="517" max="517" width="3.7109375" style="943" customWidth="1"/>
    <col min="518" max="519" width="8.42578125" style="943" customWidth="1"/>
    <col min="520" max="525" width="8.140625" style="943" customWidth="1"/>
    <col min="526" max="770" width="9.140625" style="943"/>
    <col min="771" max="771" width="3.7109375" style="943" customWidth="1"/>
    <col min="772" max="772" width="14.42578125" style="943" customWidth="1"/>
    <col min="773" max="773" width="3.7109375" style="943" customWidth="1"/>
    <col min="774" max="775" width="8.42578125" style="943" customWidth="1"/>
    <col min="776" max="781" width="8.140625" style="943" customWidth="1"/>
    <col min="782" max="1026" width="9.140625" style="943"/>
    <col min="1027" max="1027" width="3.7109375" style="943" customWidth="1"/>
    <col min="1028" max="1028" width="14.42578125" style="943" customWidth="1"/>
    <col min="1029" max="1029" width="3.7109375" style="943" customWidth="1"/>
    <col min="1030" max="1031" width="8.42578125" style="943" customWidth="1"/>
    <col min="1032" max="1037" width="8.140625" style="943" customWidth="1"/>
    <col min="1038" max="1282" width="9.140625" style="943"/>
    <col min="1283" max="1283" width="3.7109375" style="943" customWidth="1"/>
    <col min="1284" max="1284" width="14.42578125" style="943" customWidth="1"/>
    <col min="1285" max="1285" width="3.7109375" style="943" customWidth="1"/>
    <col min="1286" max="1287" width="8.42578125" style="943" customWidth="1"/>
    <col min="1288" max="1293" width="8.140625" style="943" customWidth="1"/>
    <col min="1294" max="1538" width="9.140625" style="943"/>
    <col min="1539" max="1539" width="3.7109375" style="943" customWidth="1"/>
    <col min="1540" max="1540" width="14.42578125" style="943" customWidth="1"/>
    <col min="1541" max="1541" width="3.7109375" style="943" customWidth="1"/>
    <col min="1542" max="1543" width="8.42578125" style="943" customWidth="1"/>
    <col min="1544" max="1549" width="8.140625" style="943" customWidth="1"/>
    <col min="1550" max="1794" width="9.140625" style="943"/>
    <col min="1795" max="1795" width="3.7109375" style="943" customWidth="1"/>
    <col min="1796" max="1796" width="14.42578125" style="943" customWidth="1"/>
    <col min="1797" max="1797" width="3.7109375" style="943" customWidth="1"/>
    <col min="1798" max="1799" width="8.42578125" style="943" customWidth="1"/>
    <col min="1800" max="1805" width="8.140625" style="943" customWidth="1"/>
    <col min="1806" max="2050" width="9.140625" style="943"/>
    <col min="2051" max="2051" width="3.7109375" style="943" customWidth="1"/>
    <col min="2052" max="2052" width="14.42578125" style="943" customWidth="1"/>
    <col min="2053" max="2053" width="3.7109375" style="943" customWidth="1"/>
    <col min="2054" max="2055" width="8.42578125" style="943" customWidth="1"/>
    <col min="2056" max="2061" width="8.140625" style="943" customWidth="1"/>
    <col min="2062" max="2306" width="9.140625" style="943"/>
    <col min="2307" max="2307" width="3.7109375" style="943" customWidth="1"/>
    <col min="2308" max="2308" width="14.42578125" style="943" customWidth="1"/>
    <col min="2309" max="2309" width="3.7109375" style="943" customWidth="1"/>
    <col min="2310" max="2311" width="8.42578125" style="943" customWidth="1"/>
    <col min="2312" max="2317" width="8.140625" style="943" customWidth="1"/>
    <col min="2318" max="2562" width="9.140625" style="943"/>
    <col min="2563" max="2563" width="3.7109375" style="943" customWidth="1"/>
    <col min="2564" max="2564" width="14.42578125" style="943" customWidth="1"/>
    <col min="2565" max="2565" width="3.7109375" style="943" customWidth="1"/>
    <col min="2566" max="2567" width="8.42578125" style="943" customWidth="1"/>
    <col min="2568" max="2573" width="8.140625" style="943" customWidth="1"/>
    <col min="2574" max="2818" width="9.140625" style="943"/>
    <col min="2819" max="2819" width="3.7109375" style="943" customWidth="1"/>
    <col min="2820" max="2820" width="14.42578125" style="943" customWidth="1"/>
    <col min="2821" max="2821" width="3.7109375" style="943" customWidth="1"/>
    <col min="2822" max="2823" width="8.42578125" style="943" customWidth="1"/>
    <col min="2824" max="2829" width="8.140625" style="943" customWidth="1"/>
    <col min="2830" max="3074" width="9.140625" style="943"/>
    <col min="3075" max="3075" width="3.7109375" style="943" customWidth="1"/>
    <col min="3076" max="3076" width="14.42578125" style="943" customWidth="1"/>
    <col min="3077" max="3077" width="3.7109375" style="943" customWidth="1"/>
    <col min="3078" max="3079" width="8.42578125" style="943" customWidth="1"/>
    <col min="3080" max="3085" width="8.140625" style="943" customWidth="1"/>
    <col min="3086" max="3330" width="9.140625" style="943"/>
    <col min="3331" max="3331" width="3.7109375" style="943" customWidth="1"/>
    <col min="3332" max="3332" width="14.42578125" style="943" customWidth="1"/>
    <col min="3333" max="3333" width="3.7109375" style="943" customWidth="1"/>
    <col min="3334" max="3335" width="8.42578125" style="943" customWidth="1"/>
    <col min="3336" max="3341" width="8.140625" style="943" customWidth="1"/>
    <col min="3342" max="3586" width="9.140625" style="943"/>
    <col min="3587" max="3587" width="3.7109375" style="943" customWidth="1"/>
    <col min="3588" max="3588" width="14.42578125" style="943" customWidth="1"/>
    <col min="3589" max="3589" width="3.7109375" style="943" customWidth="1"/>
    <col min="3590" max="3591" width="8.42578125" style="943" customWidth="1"/>
    <col min="3592" max="3597" width="8.140625" style="943" customWidth="1"/>
    <col min="3598" max="3842" width="9.140625" style="943"/>
    <col min="3843" max="3843" width="3.7109375" style="943" customWidth="1"/>
    <col min="3844" max="3844" width="14.42578125" style="943" customWidth="1"/>
    <col min="3845" max="3845" width="3.7109375" style="943" customWidth="1"/>
    <col min="3846" max="3847" width="8.42578125" style="943" customWidth="1"/>
    <col min="3848" max="3853" width="8.140625" style="943" customWidth="1"/>
    <col min="3854" max="4098" width="9.140625" style="943"/>
    <col min="4099" max="4099" width="3.7109375" style="943" customWidth="1"/>
    <col min="4100" max="4100" width="14.42578125" style="943" customWidth="1"/>
    <col min="4101" max="4101" width="3.7109375" style="943" customWidth="1"/>
    <col min="4102" max="4103" width="8.42578125" style="943" customWidth="1"/>
    <col min="4104" max="4109" width="8.140625" style="943" customWidth="1"/>
    <col min="4110" max="4354" width="9.140625" style="943"/>
    <col min="4355" max="4355" width="3.7109375" style="943" customWidth="1"/>
    <col min="4356" max="4356" width="14.42578125" style="943" customWidth="1"/>
    <col min="4357" max="4357" width="3.7109375" style="943" customWidth="1"/>
    <col min="4358" max="4359" width="8.42578125" style="943" customWidth="1"/>
    <col min="4360" max="4365" width="8.140625" style="943" customWidth="1"/>
    <col min="4366" max="4610" width="9.140625" style="943"/>
    <col min="4611" max="4611" width="3.7109375" style="943" customWidth="1"/>
    <col min="4612" max="4612" width="14.42578125" style="943" customWidth="1"/>
    <col min="4613" max="4613" width="3.7109375" style="943" customWidth="1"/>
    <col min="4614" max="4615" width="8.42578125" style="943" customWidth="1"/>
    <col min="4616" max="4621" width="8.140625" style="943" customWidth="1"/>
    <col min="4622" max="4866" width="9.140625" style="943"/>
    <col min="4867" max="4867" width="3.7109375" style="943" customWidth="1"/>
    <col min="4868" max="4868" width="14.42578125" style="943" customWidth="1"/>
    <col min="4869" max="4869" width="3.7109375" style="943" customWidth="1"/>
    <col min="4870" max="4871" width="8.42578125" style="943" customWidth="1"/>
    <col min="4872" max="4877" width="8.140625" style="943" customWidth="1"/>
    <col min="4878" max="5122" width="9.140625" style="943"/>
    <col min="5123" max="5123" width="3.7109375" style="943" customWidth="1"/>
    <col min="5124" max="5124" width="14.42578125" style="943" customWidth="1"/>
    <col min="5125" max="5125" width="3.7109375" style="943" customWidth="1"/>
    <col min="5126" max="5127" width="8.42578125" style="943" customWidth="1"/>
    <col min="5128" max="5133" width="8.140625" style="943" customWidth="1"/>
    <col min="5134" max="5378" width="9.140625" style="943"/>
    <col min="5379" max="5379" width="3.7109375" style="943" customWidth="1"/>
    <col min="5380" max="5380" width="14.42578125" style="943" customWidth="1"/>
    <col min="5381" max="5381" width="3.7109375" style="943" customWidth="1"/>
    <col min="5382" max="5383" width="8.42578125" style="943" customWidth="1"/>
    <col min="5384" max="5389" width="8.140625" style="943" customWidth="1"/>
    <col min="5390" max="5634" width="9.140625" style="943"/>
    <col min="5635" max="5635" width="3.7109375" style="943" customWidth="1"/>
    <col min="5636" max="5636" width="14.42578125" style="943" customWidth="1"/>
    <col min="5637" max="5637" width="3.7109375" style="943" customWidth="1"/>
    <col min="5638" max="5639" width="8.42578125" style="943" customWidth="1"/>
    <col min="5640" max="5645" width="8.140625" style="943" customWidth="1"/>
    <col min="5646" max="5890" width="9.140625" style="943"/>
    <col min="5891" max="5891" width="3.7109375" style="943" customWidth="1"/>
    <col min="5892" max="5892" width="14.42578125" style="943" customWidth="1"/>
    <col min="5893" max="5893" width="3.7109375" style="943" customWidth="1"/>
    <col min="5894" max="5895" width="8.42578125" style="943" customWidth="1"/>
    <col min="5896" max="5901" width="8.140625" style="943" customWidth="1"/>
    <col min="5902" max="6146" width="9.140625" style="943"/>
    <col min="6147" max="6147" width="3.7109375" style="943" customWidth="1"/>
    <col min="6148" max="6148" width="14.42578125" style="943" customWidth="1"/>
    <col min="6149" max="6149" width="3.7109375" style="943" customWidth="1"/>
    <col min="6150" max="6151" width="8.42578125" style="943" customWidth="1"/>
    <col min="6152" max="6157" width="8.140625" style="943" customWidth="1"/>
    <col min="6158" max="6402" width="9.140625" style="943"/>
    <col min="6403" max="6403" width="3.7109375" style="943" customWidth="1"/>
    <col min="6404" max="6404" width="14.42578125" style="943" customWidth="1"/>
    <col min="6405" max="6405" width="3.7109375" style="943" customWidth="1"/>
    <col min="6406" max="6407" width="8.42578125" style="943" customWidth="1"/>
    <col min="6408" max="6413" width="8.140625" style="943" customWidth="1"/>
    <col min="6414" max="6658" width="9.140625" style="943"/>
    <col min="6659" max="6659" width="3.7109375" style="943" customWidth="1"/>
    <col min="6660" max="6660" width="14.42578125" style="943" customWidth="1"/>
    <col min="6661" max="6661" width="3.7109375" style="943" customWidth="1"/>
    <col min="6662" max="6663" width="8.42578125" style="943" customWidth="1"/>
    <col min="6664" max="6669" width="8.140625" style="943" customWidth="1"/>
    <col min="6670" max="6914" width="9.140625" style="943"/>
    <col min="6915" max="6915" width="3.7109375" style="943" customWidth="1"/>
    <col min="6916" max="6916" width="14.42578125" style="943" customWidth="1"/>
    <col min="6917" max="6917" width="3.7109375" style="943" customWidth="1"/>
    <col min="6918" max="6919" width="8.42578125" style="943" customWidth="1"/>
    <col min="6920" max="6925" width="8.140625" style="943" customWidth="1"/>
    <col min="6926" max="7170" width="9.140625" style="943"/>
    <col min="7171" max="7171" width="3.7109375" style="943" customWidth="1"/>
    <col min="7172" max="7172" width="14.42578125" style="943" customWidth="1"/>
    <col min="7173" max="7173" width="3.7109375" style="943" customWidth="1"/>
    <col min="7174" max="7175" width="8.42578125" style="943" customWidth="1"/>
    <col min="7176" max="7181" width="8.140625" style="943" customWidth="1"/>
    <col min="7182" max="7426" width="9.140625" style="943"/>
    <col min="7427" max="7427" width="3.7109375" style="943" customWidth="1"/>
    <col min="7428" max="7428" width="14.42578125" style="943" customWidth="1"/>
    <col min="7429" max="7429" width="3.7109375" style="943" customWidth="1"/>
    <col min="7430" max="7431" width="8.42578125" style="943" customWidth="1"/>
    <col min="7432" max="7437" width="8.140625" style="943" customWidth="1"/>
    <col min="7438" max="7682" width="9.140625" style="943"/>
    <col min="7683" max="7683" width="3.7109375" style="943" customWidth="1"/>
    <col min="7684" max="7684" width="14.42578125" style="943" customWidth="1"/>
    <col min="7685" max="7685" width="3.7109375" style="943" customWidth="1"/>
    <col min="7686" max="7687" width="8.42578125" style="943" customWidth="1"/>
    <col min="7688" max="7693" width="8.140625" style="943" customWidth="1"/>
    <col min="7694" max="7938" width="9.140625" style="943"/>
    <col min="7939" max="7939" width="3.7109375" style="943" customWidth="1"/>
    <col min="7940" max="7940" width="14.42578125" style="943" customWidth="1"/>
    <col min="7941" max="7941" width="3.7109375" style="943" customWidth="1"/>
    <col min="7942" max="7943" width="8.42578125" style="943" customWidth="1"/>
    <col min="7944" max="7949" width="8.140625" style="943" customWidth="1"/>
    <col min="7950" max="8194" width="9.140625" style="943"/>
    <col min="8195" max="8195" width="3.7109375" style="943" customWidth="1"/>
    <col min="8196" max="8196" width="14.42578125" style="943" customWidth="1"/>
    <col min="8197" max="8197" width="3.7109375" style="943" customWidth="1"/>
    <col min="8198" max="8199" width="8.42578125" style="943" customWidth="1"/>
    <col min="8200" max="8205" width="8.140625" style="943" customWidth="1"/>
    <col min="8206" max="8450" width="9.140625" style="943"/>
    <col min="8451" max="8451" width="3.7109375" style="943" customWidth="1"/>
    <col min="8452" max="8452" width="14.42578125" style="943" customWidth="1"/>
    <col min="8453" max="8453" width="3.7109375" style="943" customWidth="1"/>
    <col min="8454" max="8455" width="8.42578125" style="943" customWidth="1"/>
    <col min="8456" max="8461" width="8.140625" style="943" customWidth="1"/>
    <col min="8462" max="8706" width="9.140625" style="943"/>
    <col min="8707" max="8707" width="3.7109375" style="943" customWidth="1"/>
    <col min="8708" max="8708" width="14.42578125" style="943" customWidth="1"/>
    <col min="8709" max="8709" width="3.7109375" style="943" customWidth="1"/>
    <col min="8710" max="8711" width="8.42578125" style="943" customWidth="1"/>
    <col min="8712" max="8717" width="8.140625" style="943" customWidth="1"/>
    <col min="8718" max="8962" width="9.140625" style="943"/>
    <col min="8963" max="8963" width="3.7109375" style="943" customWidth="1"/>
    <col min="8964" max="8964" width="14.42578125" style="943" customWidth="1"/>
    <col min="8965" max="8965" width="3.7109375" style="943" customWidth="1"/>
    <col min="8966" max="8967" width="8.42578125" style="943" customWidth="1"/>
    <col min="8968" max="8973" width="8.140625" style="943" customWidth="1"/>
    <col min="8974" max="9218" width="9.140625" style="943"/>
    <col min="9219" max="9219" width="3.7109375" style="943" customWidth="1"/>
    <col min="9220" max="9220" width="14.42578125" style="943" customWidth="1"/>
    <col min="9221" max="9221" width="3.7109375" style="943" customWidth="1"/>
    <col min="9222" max="9223" width="8.42578125" style="943" customWidth="1"/>
    <col min="9224" max="9229" width="8.140625" style="943" customWidth="1"/>
    <col min="9230" max="9474" width="9.140625" style="943"/>
    <col min="9475" max="9475" width="3.7109375" style="943" customWidth="1"/>
    <col min="9476" max="9476" width="14.42578125" style="943" customWidth="1"/>
    <col min="9477" max="9477" width="3.7109375" style="943" customWidth="1"/>
    <col min="9478" max="9479" width="8.42578125" style="943" customWidth="1"/>
    <col min="9480" max="9485" width="8.140625" style="943" customWidth="1"/>
    <col min="9486" max="9730" width="9.140625" style="943"/>
    <col min="9731" max="9731" width="3.7109375" style="943" customWidth="1"/>
    <col min="9732" max="9732" width="14.42578125" style="943" customWidth="1"/>
    <col min="9733" max="9733" width="3.7109375" style="943" customWidth="1"/>
    <col min="9734" max="9735" width="8.42578125" style="943" customWidth="1"/>
    <col min="9736" max="9741" width="8.140625" style="943" customWidth="1"/>
    <col min="9742" max="9986" width="9.140625" style="943"/>
    <col min="9987" max="9987" width="3.7109375" style="943" customWidth="1"/>
    <col min="9988" max="9988" width="14.42578125" style="943" customWidth="1"/>
    <col min="9989" max="9989" width="3.7109375" style="943" customWidth="1"/>
    <col min="9990" max="9991" width="8.42578125" style="943" customWidth="1"/>
    <col min="9992" max="9997" width="8.140625" style="943" customWidth="1"/>
    <col min="9998" max="10242" width="9.140625" style="943"/>
    <col min="10243" max="10243" width="3.7109375" style="943" customWidth="1"/>
    <col min="10244" max="10244" width="14.42578125" style="943" customWidth="1"/>
    <col min="10245" max="10245" width="3.7109375" style="943" customWidth="1"/>
    <col min="10246" max="10247" width="8.42578125" style="943" customWidth="1"/>
    <col min="10248" max="10253" width="8.140625" style="943" customWidth="1"/>
    <col min="10254" max="10498" width="9.140625" style="943"/>
    <col min="10499" max="10499" width="3.7109375" style="943" customWidth="1"/>
    <col min="10500" max="10500" width="14.42578125" style="943" customWidth="1"/>
    <col min="10501" max="10501" width="3.7109375" style="943" customWidth="1"/>
    <col min="10502" max="10503" width="8.42578125" style="943" customWidth="1"/>
    <col min="10504" max="10509" width="8.140625" style="943" customWidth="1"/>
    <col min="10510" max="10754" width="9.140625" style="943"/>
    <col min="10755" max="10755" width="3.7109375" style="943" customWidth="1"/>
    <col min="10756" max="10756" width="14.42578125" style="943" customWidth="1"/>
    <col min="10757" max="10757" width="3.7109375" style="943" customWidth="1"/>
    <col min="10758" max="10759" width="8.42578125" style="943" customWidth="1"/>
    <col min="10760" max="10765" width="8.140625" style="943" customWidth="1"/>
    <col min="10766" max="11010" width="9.140625" style="943"/>
    <col min="11011" max="11011" width="3.7109375" style="943" customWidth="1"/>
    <col min="11012" max="11012" width="14.42578125" style="943" customWidth="1"/>
    <col min="11013" max="11013" width="3.7109375" style="943" customWidth="1"/>
    <col min="11014" max="11015" width="8.42578125" style="943" customWidth="1"/>
    <col min="11016" max="11021" width="8.140625" style="943" customWidth="1"/>
    <col min="11022" max="11266" width="9.140625" style="943"/>
    <col min="11267" max="11267" width="3.7109375" style="943" customWidth="1"/>
    <col min="11268" max="11268" width="14.42578125" style="943" customWidth="1"/>
    <col min="11269" max="11269" width="3.7109375" style="943" customWidth="1"/>
    <col min="11270" max="11271" width="8.42578125" style="943" customWidth="1"/>
    <col min="11272" max="11277" width="8.140625" style="943" customWidth="1"/>
    <col min="11278" max="11522" width="9.140625" style="943"/>
    <col min="11523" max="11523" width="3.7109375" style="943" customWidth="1"/>
    <col min="11524" max="11524" width="14.42578125" style="943" customWidth="1"/>
    <col min="11525" max="11525" width="3.7109375" style="943" customWidth="1"/>
    <col min="11526" max="11527" width="8.42578125" style="943" customWidth="1"/>
    <col min="11528" max="11533" width="8.140625" style="943" customWidth="1"/>
    <col min="11534" max="11778" width="9.140625" style="943"/>
    <col min="11779" max="11779" width="3.7109375" style="943" customWidth="1"/>
    <col min="11780" max="11780" width="14.42578125" style="943" customWidth="1"/>
    <col min="11781" max="11781" width="3.7109375" style="943" customWidth="1"/>
    <col min="11782" max="11783" width="8.42578125" style="943" customWidth="1"/>
    <col min="11784" max="11789" width="8.140625" style="943" customWidth="1"/>
    <col min="11790" max="12034" width="9.140625" style="943"/>
    <col min="12035" max="12035" width="3.7109375" style="943" customWidth="1"/>
    <col min="12036" max="12036" width="14.42578125" style="943" customWidth="1"/>
    <col min="12037" max="12037" width="3.7109375" style="943" customWidth="1"/>
    <col min="12038" max="12039" width="8.42578125" style="943" customWidth="1"/>
    <col min="12040" max="12045" width="8.140625" style="943" customWidth="1"/>
    <col min="12046" max="12290" width="9.140625" style="943"/>
    <col min="12291" max="12291" width="3.7109375" style="943" customWidth="1"/>
    <col min="12292" max="12292" width="14.42578125" style="943" customWidth="1"/>
    <col min="12293" max="12293" width="3.7109375" style="943" customWidth="1"/>
    <col min="12294" max="12295" width="8.42578125" style="943" customWidth="1"/>
    <col min="12296" max="12301" width="8.140625" style="943" customWidth="1"/>
    <col min="12302" max="12546" width="9.140625" style="943"/>
    <col min="12547" max="12547" width="3.7109375" style="943" customWidth="1"/>
    <col min="12548" max="12548" width="14.42578125" style="943" customWidth="1"/>
    <col min="12549" max="12549" width="3.7109375" style="943" customWidth="1"/>
    <col min="12550" max="12551" width="8.42578125" style="943" customWidth="1"/>
    <col min="12552" max="12557" width="8.140625" style="943" customWidth="1"/>
    <col min="12558" max="12802" width="9.140625" style="943"/>
    <col min="12803" max="12803" width="3.7109375" style="943" customWidth="1"/>
    <col min="12804" max="12804" width="14.42578125" style="943" customWidth="1"/>
    <col min="12805" max="12805" width="3.7109375" style="943" customWidth="1"/>
    <col min="12806" max="12807" width="8.42578125" style="943" customWidth="1"/>
    <col min="12808" max="12813" width="8.140625" style="943" customWidth="1"/>
    <col min="12814" max="13058" width="9.140625" style="943"/>
    <col min="13059" max="13059" width="3.7109375" style="943" customWidth="1"/>
    <col min="13060" max="13060" width="14.42578125" style="943" customWidth="1"/>
    <col min="13061" max="13061" width="3.7109375" style="943" customWidth="1"/>
    <col min="13062" max="13063" width="8.42578125" style="943" customWidth="1"/>
    <col min="13064" max="13069" width="8.140625" style="943" customWidth="1"/>
    <col min="13070" max="13314" width="9.140625" style="943"/>
    <col min="13315" max="13315" width="3.7109375" style="943" customWidth="1"/>
    <col min="13316" max="13316" width="14.42578125" style="943" customWidth="1"/>
    <col min="13317" max="13317" width="3.7109375" style="943" customWidth="1"/>
    <col min="13318" max="13319" width="8.42578125" style="943" customWidth="1"/>
    <col min="13320" max="13325" width="8.140625" style="943" customWidth="1"/>
    <col min="13326" max="13570" width="9.140625" style="943"/>
    <col min="13571" max="13571" width="3.7109375" style="943" customWidth="1"/>
    <col min="13572" max="13572" width="14.42578125" style="943" customWidth="1"/>
    <col min="13573" max="13573" width="3.7109375" style="943" customWidth="1"/>
    <col min="13574" max="13575" width="8.42578125" style="943" customWidth="1"/>
    <col min="13576" max="13581" width="8.140625" style="943" customWidth="1"/>
    <col min="13582" max="13826" width="9.140625" style="943"/>
    <col min="13827" max="13827" width="3.7109375" style="943" customWidth="1"/>
    <col min="13828" max="13828" width="14.42578125" style="943" customWidth="1"/>
    <col min="13829" max="13829" width="3.7109375" style="943" customWidth="1"/>
    <col min="13830" max="13831" width="8.42578125" style="943" customWidth="1"/>
    <col min="13832" max="13837" width="8.140625" style="943" customWidth="1"/>
    <col min="13838" max="14082" width="9.140625" style="943"/>
    <col min="14083" max="14083" width="3.7109375" style="943" customWidth="1"/>
    <col min="14084" max="14084" width="14.42578125" style="943" customWidth="1"/>
    <col min="14085" max="14085" width="3.7109375" style="943" customWidth="1"/>
    <col min="14086" max="14087" width="8.42578125" style="943" customWidth="1"/>
    <col min="14088" max="14093" width="8.140625" style="943" customWidth="1"/>
    <col min="14094" max="14338" width="9.140625" style="943"/>
    <col min="14339" max="14339" width="3.7109375" style="943" customWidth="1"/>
    <col min="14340" max="14340" width="14.42578125" style="943" customWidth="1"/>
    <col min="14341" max="14341" width="3.7109375" style="943" customWidth="1"/>
    <col min="14342" max="14343" width="8.42578125" style="943" customWidth="1"/>
    <col min="14344" max="14349" width="8.140625" style="943" customWidth="1"/>
    <col min="14350" max="14594" width="9.140625" style="943"/>
    <col min="14595" max="14595" width="3.7109375" style="943" customWidth="1"/>
    <col min="14596" max="14596" width="14.42578125" style="943" customWidth="1"/>
    <col min="14597" max="14597" width="3.7109375" style="943" customWidth="1"/>
    <col min="14598" max="14599" width="8.42578125" style="943" customWidth="1"/>
    <col min="14600" max="14605" width="8.140625" style="943" customWidth="1"/>
    <col min="14606" max="14850" width="9.140625" style="943"/>
    <col min="14851" max="14851" width="3.7109375" style="943" customWidth="1"/>
    <col min="14852" max="14852" width="14.42578125" style="943" customWidth="1"/>
    <col min="14853" max="14853" width="3.7109375" style="943" customWidth="1"/>
    <col min="14854" max="14855" width="8.42578125" style="943" customWidth="1"/>
    <col min="14856" max="14861" width="8.140625" style="943" customWidth="1"/>
    <col min="14862" max="15106" width="9.140625" style="943"/>
    <col min="15107" max="15107" width="3.7109375" style="943" customWidth="1"/>
    <col min="15108" max="15108" width="14.42578125" style="943" customWidth="1"/>
    <col min="15109" max="15109" width="3.7109375" style="943" customWidth="1"/>
    <col min="15110" max="15111" width="8.42578125" style="943" customWidth="1"/>
    <col min="15112" max="15117" width="8.140625" style="943" customWidth="1"/>
    <col min="15118" max="15362" width="9.140625" style="943"/>
    <col min="15363" max="15363" width="3.7109375" style="943" customWidth="1"/>
    <col min="15364" max="15364" width="14.42578125" style="943" customWidth="1"/>
    <col min="15365" max="15365" width="3.7109375" style="943" customWidth="1"/>
    <col min="15366" max="15367" width="8.42578125" style="943" customWidth="1"/>
    <col min="15368" max="15373" width="8.140625" style="943" customWidth="1"/>
    <col min="15374" max="15618" width="9.140625" style="943"/>
    <col min="15619" max="15619" width="3.7109375" style="943" customWidth="1"/>
    <col min="15620" max="15620" width="14.42578125" style="943" customWidth="1"/>
    <col min="15621" max="15621" width="3.7109375" style="943" customWidth="1"/>
    <col min="15622" max="15623" width="8.42578125" style="943" customWidth="1"/>
    <col min="15624" max="15629" width="8.140625" style="943" customWidth="1"/>
    <col min="15630" max="15874" width="9.140625" style="943"/>
    <col min="15875" max="15875" width="3.7109375" style="943" customWidth="1"/>
    <col min="15876" max="15876" width="14.42578125" style="943" customWidth="1"/>
    <col min="15877" max="15877" width="3.7109375" style="943" customWidth="1"/>
    <col min="15878" max="15879" width="8.42578125" style="943" customWidth="1"/>
    <col min="15880" max="15885" width="8.140625" style="943" customWidth="1"/>
    <col min="15886" max="16130" width="9.140625" style="943"/>
    <col min="16131" max="16131" width="3.7109375" style="943" customWidth="1"/>
    <col min="16132" max="16132" width="14.42578125" style="943" customWidth="1"/>
    <col min="16133" max="16133" width="3.7109375" style="943" customWidth="1"/>
    <col min="16134" max="16135" width="8.42578125" style="943" customWidth="1"/>
    <col min="16136" max="16141" width="8.140625" style="943" customWidth="1"/>
    <col min="16142" max="16384" width="9.140625" style="943"/>
  </cols>
  <sheetData>
    <row r="2" spans="1:26" ht="14.1" customHeight="1" x14ac:dyDescent="0.2">
      <c r="A2" s="1">
        <v>1</v>
      </c>
      <c r="B2" s="1" t="s">
        <v>0</v>
      </c>
      <c r="C2" s="1">
        <f>Immunization!C2+1</f>
        <v>36</v>
      </c>
      <c r="D2" s="4148" t="s">
        <v>873</v>
      </c>
      <c r="E2" s="4149"/>
      <c r="F2" s="4149"/>
      <c r="G2" s="4149"/>
      <c r="H2" s="4149"/>
      <c r="I2" s="4149"/>
      <c r="J2" s="4149"/>
      <c r="K2" s="4149"/>
      <c r="L2" s="4149"/>
      <c r="M2" s="4149"/>
      <c r="N2" s="4149"/>
      <c r="O2" s="4149"/>
      <c r="P2" s="4149"/>
      <c r="Q2" s="4149"/>
      <c r="R2" s="4149"/>
      <c r="S2" s="4149"/>
      <c r="T2" s="4149"/>
      <c r="U2" s="4150"/>
      <c r="V2" s="692"/>
      <c r="W2" s="692"/>
    </row>
    <row r="3" spans="1:26" ht="14.1" customHeight="1" x14ac:dyDescent="0.2">
      <c r="A3" s="1">
        <v>2</v>
      </c>
      <c r="B3" s="1" t="s">
        <v>2</v>
      </c>
      <c r="C3" s="1"/>
      <c r="D3" s="4156" t="s">
        <v>802</v>
      </c>
      <c r="E3" s="4157"/>
      <c r="F3" s="4157"/>
      <c r="G3" s="4157"/>
      <c r="H3" s="4157"/>
      <c r="I3" s="4157"/>
      <c r="J3" s="4157"/>
      <c r="K3" s="4157"/>
      <c r="L3" s="4157"/>
      <c r="M3" s="4157"/>
      <c r="N3" s="4157"/>
      <c r="O3" s="4157"/>
      <c r="P3" s="4157"/>
      <c r="Q3" s="4157"/>
      <c r="R3" s="4157"/>
      <c r="S3" s="4157"/>
      <c r="T3" s="4157"/>
      <c r="U3" s="4158"/>
      <c r="V3" s="2038"/>
      <c r="W3" s="2038"/>
    </row>
    <row r="4" spans="1:26" ht="14.1" customHeight="1" x14ac:dyDescent="0.2">
      <c r="A4" s="1">
        <v>3</v>
      </c>
      <c r="B4" s="1" t="s">
        <v>4</v>
      </c>
      <c r="C4" s="1"/>
      <c r="D4" s="4156" t="s">
        <v>803</v>
      </c>
      <c r="E4" s="4157"/>
      <c r="F4" s="4157"/>
      <c r="G4" s="4157"/>
      <c r="H4" s="4157"/>
      <c r="I4" s="4157"/>
      <c r="J4" s="4157"/>
      <c r="K4" s="4157"/>
      <c r="L4" s="4157"/>
      <c r="M4" s="4157"/>
      <c r="N4" s="4157"/>
      <c r="O4" s="4157"/>
      <c r="P4" s="4157"/>
      <c r="Q4" s="4157"/>
      <c r="R4" s="4157"/>
      <c r="S4" s="4157"/>
      <c r="T4" s="4157"/>
      <c r="U4" s="4158"/>
      <c r="V4" s="2038"/>
      <c r="W4" s="2038"/>
    </row>
    <row r="5" spans="1:26" ht="14.1" customHeight="1" x14ac:dyDescent="0.2">
      <c r="A5" s="1">
        <v>4</v>
      </c>
      <c r="B5" s="1" t="s">
        <v>804</v>
      </c>
      <c r="C5" s="1"/>
      <c r="D5" s="4156" t="s">
        <v>867</v>
      </c>
      <c r="E5" s="4157"/>
      <c r="F5" s="4157"/>
      <c r="G5" s="4157"/>
      <c r="H5" s="4157"/>
      <c r="I5" s="4157"/>
      <c r="J5" s="4157"/>
      <c r="K5" s="4157"/>
      <c r="L5" s="4157"/>
      <c r="M5" s="4157"/>
      <c r="N5" s="4157"/>
      <c r="O5" s="4157"/>
      <c r="P5" s="4157"/>
      <c r="Q5" s="4157"/>
      <c r="R5" s="4157"/>
      <c r="S5" s="4157"/>
      <c r="T5" s="4157"/>
      <c r="U5" s="4158"/>
      <c r="V5" s="2038"/>
      <c r="W5" s="2038"/>
    </row>
    <row r="6" spans="1:26" ht="14.1" customHeight="1" x14ac:dyDescent="0.2">
      <c r="A6" s="1"/>
      <c r="B6" s="1"/>
      <c r="C6" s="1"/>
      <c r="D6" s="2038"/>
      <c r="E6" s="2038"/>
      <c r="F6" s="2038"/>
      <c r="G6" s="2038"/>
      <c r="H6" s="2038"/>
      <c r="I6" s="2038"/>
      <c r="J6" s="2038"/>
      <c r="K6" s="2038"/>
      <c r="L6" s="2038"/>
      <c r="M6" s="2038"/>
      <c r="N6" s="2038"/>
      <c r="O6" s="2038"/>
      <c r="P6" s="2038"/>
      <c r="Q6" s="2038"/>
      <c r="R6" s="2038"/>
      <c r="S6" s="2038"/>
      <c r="T6" s="2038"/>
      <c r="U6" s="2038"/>
      <c r="V6" s="2038"/>
      <c r="W6" s="2038"/>
    </row>
    <row r="7" spans="1:26" ht="14.25" x14ac:dyDescent="0.2">
      <c r="A7" s="1">
        <v>5</v>
      </c>
      <c r="B7" s="12" t="s">
        <v>5</v>
      </c>
      <c r="C7" s="12"/>
    </row>
    <row r="8" spans="1:26" s="11" customFormat="1" ht="14.25" x14ac:dyDescent="0.2">
      <c r="A8" s="5"/>
      <c r="B8" s="6"/>
      <c r="C8" s="6"/>
      <c r="D8" s="1405" t="s">
        <v>548</v>
      </c>
      <c r="E8" s="1405" t="s">
        <v>874</v>
      </c>
      <c r="F8" s="1405"/>
      <c r="G8" s="1405"/>
      <c r="H8" s="1405"/>
      <c r="I8" s="1405"/>
      <c r="J8" s="1405"/>
      <c r="K8" s="1405"/>
      <c r="L8" s="17"/>
      <c r="M8" s="17"/>
      <c r="N8" s="17"/>
      <c r="O8" s="17"/>
      <c r="P8" s="17"/>
      <c r="Q8" s="17"/>
      <c r="X8" s="943"/>
    </row>
    <row r="9" spans="1:26" s="11" customFormat="1" ht="13.5" customHeight="1" x14ac:dyDescent="0.2">
      <c r="A9" s="5"/>
      <c r="B9" s="6"/>
      <c r="C9" s="6"/>
      <c r="D9" s="2171">
        <v>1997</v>
      </c>
      <c r="E9" s="2172">
        <v>1998</v>
      </c>
      <c r="F9" s="2172">
        <v>1999</v>
      </c>
      <c r="G9" s="2172">
        <v>2000</v>
      </c>
      <c r="H9" s="2172">
        <v>2001</v>
      </c>
      <c r="I9" s="2172">
        <v>2002</v>
      </c>
      <c r="J9" s="2172">
        <v>2003</v>
      </c>
      <c r="K9" s="2172">
        <v>2004</v>
      </c>
      <c r="L9" s="2173">
        <v>2005</v>
      </c>
      <c r="M9" s="2173">
        <v>2006</v>
      </c>
      <c r="N9" s="2173">
        <v>2007</v>
      </c>
      <c r="O9" s="2173">
        <v>2008</v>
      </c>
      <c r="P9" s="2173">
        <v>2009</v>
      </c>
      <c r="Q9" s="2173">
        <v>2010</v>
      </c>
      <c r="R9" s="2173">
        <v>2011</v>
      </c>
      <c r="S9" s="2173">
        <v>2012</v>
      </c>
      <c r="T9" s="2173">
        <v>2013</v>
      </c>
      <c r="U9" s="2174">
        <v>2014</v>
      </c>
      <c r="V9" s="2175">
        <v>2015</v>
      </c>
      <c r="W9" s="2174">
        <v>2016</v>
      </c>
      <c r="X9" s="2176"/>
      <c r="Y9" s="2176"/>
      <c r="Z9" s="943"/>
    </row>
    <row r="10" spans="1:26" s="11" customFormat="1" ht="13.5" customHeight="1" x14ac:dyDescent="0.2">
      <c r="A10" s="5"/>
      <c r="B10" s="2177">
        <v>1</v>
      </c>
      <c r="C10" s="2178" t="s">
        <v>695</v>
      </c>
      <c r="D10" s="2179"/>
      <c r="E10" s="2180">
        <v>150</v>
      </c>
      <c r="F10" s="2180"/>
      <c r="G10" s="2180"/>
      <c r="H10" s="2180"/>
      <c r="I10" s="2180">
        <v>133</v>
      </c>
      <c r="J10" s="2180">
        <v>150</v>
      </c>
      <c r="K10" s="2180">
        <v>196</v>
      </c>
      <c r="L10" s="2180">
        <v>212</v>
      </c>
      <c r="M10" s="2181">
        <v>237</v>
      </c>
      <c r="N10" s="2181">
        <v>299</v>
      </c>
      <c r="O10" s="2181">
        <v>300</v>
      </c>
      <c r="P10" s="2181">
        <v>312</v>
      </c>
      <c r="Q10" s="2182">
        <v>218.10583406572502</v>
      </c>
      <c r="R10" s="2182">
        <v>161.43908785621633</v>
      </c>
      <c r="S10" s="2182">
        <v>135.21900353156624</v>
      </c>
      <c r="T10" s="2182">
        <v>126.08371317672425</v>
      </c>
      <c r="U10" s="2182">
        <v>138.87777392190156</v>
      </c>
      <c r="V10" s="2183">
        <v>124.83465907985945</v>
      </c>
      <c r="W10" s="2184">
        <v>105</v>
      </c>
      <c r="X10" s="2185"/>
      <c r="Y10" s="2185"/>
      <c r="Z10" s="943"/>
    </row>
    <row r="11" spans="1:26" s="11" customFormat="1" ht="13.5" hidden="1" customHeight="1" x14ac:dyDescent="0.2">
      <c r="A11" s="5"/>
      <c r="B11" s="2177"/>
      <c r="C11" s="2178" t="e">
        <f>1+C10</f>
        <v>#VALUE!</v>
      </c>
      <c r="D11" s="2186"/>
      <c r="E11" s="2180">
        <v>73.8</v>
      </c>
      <c r="F11" s="2180"/>
      <c r="G11" s="2180"/>
      <c r="H11" s="2180"/>
      <c r="I11" s="2180"/>
      <c r="J11" s="2180">
        <v>165.5</v>
      </c>
      <c r="K11" s="2180"/>
      <c r="L11" s="2180"/>
      <c r="M11" s="2181"/>
      <c r="N11" s="2181"/>
      <c r="O11" s="2181"/>
      <c r="P11" s="2181"/>
      <c r="Q11" s="2181"/>
      <c r="R11" s="2181"/>
      <c r="S11" s="2181"/>
      <c r="T11" s="2181"/>
      <c r="U11" s="2181"/>
      <c r="V11" s="2187"/>
      <c r="W11" s="2188"/>
      <c r="X11" s="2185"/>
      <c r="Y11" s="2185"/>
      <c r="Z11" s="943"/>
    </row>
    <row r="12" spans="1:26" ht="13.5" customHeight="1" x14ac:dyDescent="0.2">
      <c r="B12" s="2177">
        <v>2</v>
      </c>
      <c r="C12" s="2178" t="s">
        <v>875</v>
      </c>
      <c r="D12" s="2189"/>
      <c r="E12" s="2190"/>
      <c r="F12" s="2190"/>
      <c r="G12" s="2190"/>
      <c r="H12" s="2190"/>
      <c r="I12" s="2190"/>
      <c r="J12" s="2190"/>
      <c r="K12" s="2190"/>
      <c r="L12" s="2190"/>
      <c r="M12" s="2182"/>
      <c r="N12" s="2182"/>
      <c r="O12" s="2182">
        <v>280</v>
      </c>
      <c r="P12" s="2182">
        <v>304</v>
      </c>
      <c r="Q12" s="2182">
        <v>269</v>
      </c>
      <c r="R12" s="2182">
        <v>200</v>
      </c>
      <c r="S12" s="2182">
        <v>165</v>
      </c>
      <c r="T12" s="2182">
        <v>154</v>
      </c>
      <c r="U12" s="2182">
        <v>164</v>
      </c>
      <c r="V12" s="2183">
        <v>152</v>
      </c>
      <c r="W12" s="2184"/>
      <c r="X12" s="2185"/>
      <c r="Y12" s="2185"/>
    </row>
    <row r="13" spans="1:26" ht="13.5" customHeight="1" x14ac:dyDescent="0.2">
      <c r="B13" s="2177"/>
      <c r="C13" s="2178"/>
      <c r="D13" s="2191"/>
      <c r="E13" s="2192"/>
      <c r="F13" s="2192"/>
      <c r="G13" s="2192"/>
      <c r="H13" s="2192"/>
      <c r="I13" s="2192"/>
      <c r="J13" s="2192"/>
      <c r="K13" s="2192"/>
      <c r="L13" s="2192"/>
      <c r="M13" s="2185"/>
      <c r="N13" s="2185"/>
      <c r="O13" s="2185"/>
      <c r="P13" s="2185"/>
      <c r="Q13" s="3673"/>
      <c r="R13" s="3673"/>
      <c r="S13" s="3673"/>
      <c r="T13" s="3673"/>
      <c r="U13" s="3673"/>
      <c r="V13" s="3673"/>
      <c r="W13" s="3673"/>
      <c r="X13" s="2185"/>
      <c r="Y13" s="2185"/>
    </row>
    <row r="14" spans="1:26" ht="14.25" x14ac:dyDescent="0.2">
      <c r="A14" s="943"/>
      <c r="B14" s="943"/>
      <c r="C14" s="1"/>
      <c r="D14" s="2041"/>
      <c r="E14" s="2041"/>
      <c r="F14" s="2041"/>
      <c r="G14" s="2041"/>
      <c r="H14" s="2041"/>
      <c r="I14" s="2041"/>
      <c r="J14" s="2041"/>
      <c r="K14" s="2041"/>
      <c r="L14" s="2041"/>
      <c r="M14" s="2041"/>
      <c r="N14" s="2041"/>
      <c r="O14" s="2041"/>
      <c r="P14" s="2041"/>
      <c r="Q14" s="2041"/>
      <c r="R14" s="2041"/>
      <c r="S14" s="2041"/>
    </row>
    <row r="15" spans="1:26" ht="14.25" x14ac:dyDescent="0.2">
      <c r="A15" s="1">
        <v>6</v>
      </c>
      <c r="B15" s="1" t="s">
        <v>90</v>
      </c>
      <c r="C15" s="2036"/>
    </row>
    <row r="16" spans="1:26" x14ac:dyDescent="0.2">
      <c r="B16" s="2036"/>
      <c r="C16" s="2036"/>
    </row>
    <row r="17" spans="1:23" x14ac:dyDescent="0.2">
      <c r="B17" s="2036"/>
      <c r="C17" s="2036"/>
    </row>
    <row r="18" spans="1:23" x14ac:dyDescent="0.2">
      <c r="B18" s="2036"/>
      <c r="C18" s="2036"/>
    </row>
    <row r="19" spans="1:23" x14ac:dyDescent="0.2">
      <c r="B19" s="2036"/>
      <c r="C19" s="2036"/>
    </row>
    <row r="20" spans="1:23" x14ac:dyDescent="0.2">
      <c r="B20" s="2036"/>
      <c r="C20" s="2036"/>
    </row>
    <row r="21" spans="1:23" x14ac:dyDescent="0.2">
      <c r="B21" s="2036"/>
      <c r="C21" s="2036"/>
    </row>
    <row r="22" spans="1:23" x14ac:dyDescent="0.2">
      <c r="B22" s="2036"/>
      <c r="C22" s="2036"/>
    </row>
    <row r="23" spans="1:23" x14ac:dyDescent="0.2">
      <c r="B23" s="2036"/>
      <c r="C23" s="2036"/>
    </row>
    <row r="24" spans="1:23" x14ac:dyDescent="0.2">
      <c r="B24" s="2036"/>
      <c r="C24" s="2036"/>
    </row>
    <row r="25" spans="1:23" x14ac:dyDescent="0.2">
      <c r="B25" s="2036"/>
      <c r="C25" s="2036"/>
    </row>
    <row r="26" spans="1:23" x14ac:dyDescent="0.2">
      <c r="B26" s="2036"/>
      <c r="C26" s="2036"/>
    </row>
    <row r="27" spans="1:23" x14ac:dyDescent="0.2">
      <c r="B27" s="2036"/>
      <c r="C27" s="2036"/>
    </row>
    <row r="28" spans="1:23" x14ac:dyDescent="0.2">
      <c r="B28" s="2036"/>
      <c r="C28" s="2036"/>
    </row>
    <row r="29" spans="1:23" x14ac:dyDescent="0.2">
      <c r="B29" s="2036"/>
      <c r="C29" s="2036"/>
    </row>
    <row r="30" spans="1:23" x14ac:dyDescent="0.2">
      <c r="B30" s="2036"/>
      <c r="C30" s="2036"/>
    </row>
    <row r="31" spans="1:23" x14ac:dyDescent="0.25">
      <c r="B31" s="2036"/>
      <c r="C31" s="2036"/>
      <c r="D31" s="2193"/>
      <c r="E31" s="1322"/>
      <c r="F31" s="1322"/>
      <c r="G31" s="1322"/>
      <c r="H31" s="1322"/>
      <c r="I31" s="1322"/>
    </row>
    <row r="32" spans="1:23" ht="15" customHeight="1" x14ac:dyDescent="0.2">
      <c r="A32" s="1">
        <v>7</v>
      </c>
      <c r="B32" s="1" t="s">
        <v>29</v>
      </c>
      <c r="C32" s="1"/>
      <c r="D32" s="4140" t="s">
        <v>430</v>
      </c>
      <c r="E32" s="4141"/>
      <c r="F32" s="4141"/>
      <c r="G32" s="4141"/>
      <c r="H32" s="4141"/>
      <c r="I32" s="4141"/>
      <c r="J32" s="4141"/>
      <c r="K32" s="4141"/>
      <c r="L32" s="4141"/>
      <c r="M32" s="4141"/>
      <c r="N32" s="4141"/>
      <c r="O32" s="4141"/>
      <c r="P32" s="4141"/>
      <c r="Q32" s="4141"/>
      <c r="R32" s="4141"/>
      <c r="S32" s="4141"/>
      <c r="T32" s="4141"/>
      <c r="U32" s="4142"/>
      <c r="V32" s="1769"/>
      <c r="W32" s="1769"/>
    </row>
    <row r="33" spans="1:23" ht="27" customHeight="1" x14ac:dyDescent="0.2">
      <c r="A33" s="40">
        <v>8</v>
      </c>
      <c r="B33" s="40" t="s">
        <v>32</v>
      </c>
      <c r="C33" s="40"/>
      <c r="D33" s="4247" t="s">
        <v>876</v>
      </c>
      <c r="E33" s="4248"/>
      <c r="F33" s="4248"/>
      <c r="G33" s="4248"/>
      <c r="H33" s="4248"/>
      <c r="I33" s="4248"/>
      <c r="J33" s="4248"/>
      <c r="K33" s="4248"/>
      <c r="L33" s="4248"/>
      <c r="M33" s="4248"/>
      <c r="N33" s="4248"/>
      <c r="O33" s="4248"/>
      <c r="P33" s="4248"/>
      <c r="Q33" s="4248"/>
      <c r="R33" s="4248"/>
      <c r="S33" s="4248"/>
      <c r="T33" s="4248"/>
      <c r="U33" s="4249"/>
      <c r="V33" s="2148"/>
      <c r="W33" s="2148"/>
    </row>
    <row r="34" spans="1:23" ht="33.75" customHeight="1" x14ac:dyDescent="0.2">
      <c r="A34" s="1">
        <v>9</v>
      </c>
      <c r="B34" s="1" t="s">
        <v>31</v>
      </c>
      <c r="C34" s="1"/>
      <c r="D34" s="4193" t="s">
        <v>877</v>
      </c>
      <c r="E34" s="4194"/>
      <c r="F34" s="4194"/>
      <c r="G34" s="4194"/>
      <c r="H34" s="4194"/>
      <c r="I34" s="4194"/>
      <c r="J34" s="4194"/>
      <c r="K34" s="4194"/>
      <c r="L34" s="4194"/>
      <c r="M34" s="4194"/>
      <c r="N34" s="4194"/>
      <c r="O34" s="4194"/>
      <c r="P34" s="4194"/>
      <c r="Q34" s="4194"/>
      <c r="R34" s="4194"/>
      <c r="S34" s="4194"/>
      <c r="T34" s="4194"/>
      <c r="U34" s="4195"/>
      <c r="V34" s="688"/>
      <c r="W34" s="688"/>
    </row>
    <row r="35" spans="1:23" ht="39.75" customHeight="1" x14ac:dyDescent="0.2">
      <c r="A35" s="1">
        <v>10</v>
      </c>
      <c r="B35" s="1" t="s">
        <v>157</v>
      </c>
      <c r="D35" s="4193" t="s">
        <v>1736</v>
      </c>
      <c r="E35" s="4194"/>
      <c r="F35" s="4194"/>
      <c r="G35" s="4194"/>
      <c r="H35" s="4194"/>
      <c r="I35" s="4194"/>
      <c r="J35" s="4194"/>
      <c r="K35" s="4194"/>
      <c r="L35" s="4194"/>
      <c r="M35" s="4194"/>
      <c r="N35" s="4194"/>
      <c r="O35" s="4194"/>
      <c r="P35" s="4194"/>
      <c r="Q35" s="4194"/>
      <c r="R35" s="4194"/>
      <c r="S35" s="4194"/>
      <c r="T35" s="4194"/>
      <c r="U35" s="4195"/>
      <c r="V35" s="688"/>
      <c r="W35" s="688"/>
    </row>
    <row r="38" spans="1:23" x14ac:dyDescent="0.2">
      <c r="B38" s="3961" t="s">
        <v>878</v>
      </c>
    </row>
  </sheetData>
  <mergeCells count="8">
    <mergeCell ref="D33:U33"/>
    <mergeCell ref="D34:U34"/>
    <mergeCell ref="D35:U35"/>
    <mergeCell ref="D2:U2"/>
    <mergeCell ref="D3:U3"/>
    <mergeCell ref="D4:U4"/>
    <mergeCell ref="D5:U5"/>
    <mergeCell ref="D32:U32"/>
  </mergeCells>
  <hyperlinks>
    <hyperlink ref="B38" r:id="rId1"/>
  </hyperlinks>
  <pageMargins left="0.74803149606299202" right="0.74803149606299202" top="0.98425196850393704" bottom="0.98425196850393704" header="0.511811023622047" footer="0.511811023622047"/>
  <pageSetup paperSize="9" scale="62" orientation="landscape" r:id="rId2"/>
  <headerFooter alignWithMargins="0">
    <oddHeader>&amp;C&amp;"-,Bold"DEVELOPMENT INDICATORS 2017</oddHeader>
    <oddFooter>&amp;LDepartment of Planning, Monitoring and Evaluation (DPME). &amp;CPage &amp;P of &amp;N&amp;R&amp;D</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B62"/>
  <sheetViews>
    <sheetView showGridLines="0" view="pageBreakPreview" zoomScaleNormal="100" zoomScaleSheetLayoutView="100" workbookViewId="0">
      <selection activeCell="U47" sqref="U47"/>
    </sheetView>
  </sheetViews>
  <sheetFormatPr defaultColWidth="9.140625" defaultRowHeight="15" x14ac:dyDescent="0.2"/>
  <cols>
    <col min="1" max="1" width="3.7109375" style="2035" customWidth="1"/>
    <col min="2" max="2" width="14.42578125" style="2036" customWidth="1"/>
    <col min="3" max="3" width="3.7109375" style="2036" customWidth="1"/>
    <col min="4" max="4" width="23.42578125" style="943" customWidth="1"/>
    <col min="5" max="25" width="6.28515625" style="943" customWidth="1"/>
    <col min="26" max="37" width="10" style="943" bestFit="1" customWidth="1"/>
    <col min="38" max="260" width="9.140625" style="943"/>
    <col min="261" max="261" width="3.7109375" style="943" customWidth="1"/>
    <col min="262" max="262" width="14.42578125" style="943" customWidth="1"/>
    <col min="263" max="263" width="3.7109375" style="943" customWidth="1"/>
    <col min="264" max="264" width="14.5703125" style="943" customWidth="1"/>
    <col min="265" max="281" width="6.28515625" style="943" customWidth="1"/>
    <col min="282" max="516" width="9.140625" style="943"/>
    <col min="517" max="517" width="3.7109375" style="943" customWidth="1"/>
    <col min="518" max="518" width="14.42578125" style="943" customWidth="1"/>
    <col min="519" max="519" width="3.7109375" style="943" customWidth="1"/>
    <col min="520" max="520" width="14.5703125" style="943" customWidth="1"/>
    <col min="521" max="537" width="6.28515625" style="943" customWidth="1"/>
    <col min="538" max="772" width="9.140625" style="943"/>
    <col min="773" max="773" width="3.7109375" style="943" customWidth="1"/>
    <col min="774" max="774" width="14.42578125" style="943" customWidth="1"/>
    <col min="775" max="775" width="3.7109375" style="943" customWidth="1"/>
    <col min="776" max="776" width="14.5703125" style="943" customWidth="1"/>
    <col min="777" max="793" width="6.28515625" style="943" customWidth="1"/>
    <col min="794" max="1028" width="9.140625" style="943"/>
    <col min="1029" max="1029" width="3.7109375" style="943" customWidth="1"/>
    <col min="1030" max="1030" width="14.42578125" style="943" customWidth="1"/>
    <col min="1031" max="1031" width="3.7109375" style="943" customWidth="1"/>
    <col min="1032" max="1032" width="14.5703125" style="943" customWidth="1"/>
    <col min="1033" max="1049" width="6.28515625" style="943" customWidth="1"/>
    <col min="1050" max="1284" width="9.140625" style="943"/>
    <col min="1285" max="1285" width="3.7109375" style="943" customWidth="1"/>
    <col min="1286" max="1286" width="14.42578125" style="943" customWidth="1"/>
    <col min="1287" max="1287" width="3.7109375" style="943" customWidth="1"/>
    <col min="1288" max="1288" width="14.5703125" style="943" customWidth="1"/>
    <col min="1289" max="1305" width="6.28515625" style="943" customWidth="1"/>
    <col min="1306" max="1540" width="9.140625" style="943"/>
    <col min="1541" max="1541" width="3.7109375" style="943" customWidth="1"/>
    <col min="1542" max="1542" width="14.42578125" style="943" customWidth="1"/>
    <col min="1543" max="1543" width="3.7109375" style="943" customWidth="1"/>
    <col min="1544" max="1544" width="14.5703125" style="943" customWidth="1"/>
    <col min="1545" max="1561" width="6.28515625" style="943" customWidth="1"/>
    <col min="1562" max="1796" width="9.140625" style="943"/>
    <col min="1797" max="1797" width="3.7109375" style="943" customWidth="1"/>
    <col min="1798" max="1798" width="14.42578125" style="943" customWidth="1"/>
    <col min="1799" max="1799" width="3.7109375" style="943" customWidth="1"/>
    <col min="1800" max="1800" width="14.5703125" style="943" customWidth="1"/>
    <col min="1801" max="1817" width="6.28515625" style="943" customWidth="1"/>
    <col min="1818" max="2052" width="9.140625" style="943"/>
    <col min="2053" max="2053" width="3.7109375" style="943" customWidth="1"/>
    <col min="2054" max="2054" width="14.42578125" style="943" customWidth="1"/>
    <col min="2055" max="2055" width="3.7109375" style="943" customWidth="1"/>
    <col min="2056" max="2056" width="14.5703125" style="943" customWidth="1"/>
    <col min="2057" max="2073" width="6.28515625" style="943" customWidth="1"/>
    <col min="2074" max="2308" width="9.140625" style="943"/>
    <col min="2309" max="2309" width="3.7109375" style="943" customWidth="1"/>
    <col min="2310" max="2310" width="14.42578125" style="943" customWidth="1"/>
    <col min="2311" max="2311" width="3.7109375" style="943" customWidth="1"/>
    <col min="2312" max="2312" width="14.5703125" style="943" customWidth="1"/>
    <col min="2313" max="2329" width="6.28515625" style="943" customWidth="1"/>
    <col min="2330" max="2564" width="9.140625" style="943"/>
    <col min="2565" max="2565" width="3.7109375" style="943" customWidth="1"/>
    <col min="2566" max="2566" width="14.42578125" style="943" customWidth="1"/>
    <col min="2567" max="2567" width="3.7109375" style="943" customWidth="1"/>
    <col min="2568" max="2568" width="14.5703125" style="943" customWidth="1"/>
    <col min="2569" max="2585" width="6.28515625" style="943" customWidth="1"/>
    <col min="2586" max="2820" width="9.140625" style="943"/>
    <col min="2821" max="2821" width="3.7109375" style="943" customWidth="1"/>
    <col min="2822" max="2822" width="14.42578125" style="943" customWidth="1"/>
    <col min="2823" max="2823" width="3.7109375" style="943" customWidth="1"/>
    <col min="2824" max="2824" width="14.5703125" style="943" customWidth="1"/>
    <col min="2825" max="2841" width="6.28515625" style="943" customWidth="1"/>
    <col min="2842" max="3076" width="9.140625" style="943"/>
    <col min="3077" max="3077" width="3.7109375" style="943" customWidth="1"/>
    <col min="3078" max="3078" width="14.42578125" style="943" customWidth="1"/>
    <col min="3079" max="3079" width="3.7109375" style="943" customWidth="1"/>
    <col min="3080" max="3080" width="14.5703125" style="943" customWidth="1"/>
    <col min="3081" max="3097" width="6.28515625" style="943" customWidth="1"/>
    <col min="3098" max="3332" width="9.140625" style="943"/>
    <col min="3333" max="3333" width="3.7109375" style="943" customWidth="1"/>
    <col min="3334" max="3334" width="14.42578125" style="943" customWidth="1"/>
    <col min="3335" max="3335" width="3.7109375" style="943" customWidth="1"/>
    <col min="3336" max="3336" width="14.5703125" style="943" customWidth="1"/>
    <col min="3337" max="3353" width="6.28515625" style="943" customWidth="1"/>
    <col min="3354" max="3588" width="9.140625" style="943"/>
    <col min="3589" max="3589" width="3.7109375" style="943" customWidth="1"/>
    <col min="3590" max="3590" width="14.42578125" style="943" customWidth="1"/>
    <col min="3591" max="3591" width="3.7109375" style="943" customWidth="1"/>
    <col min="3592" max="3592" width="14.5703125" style="943" customWidth="1"/>
    <col min="3593" max="3609" width="6.28515625" style="943" customWidth="1"/>
    <col min="3610" max="3844" width="9.140625" style="943"/>
    <col min="3845" max="3845" width="3.7109375" style="943" customWidth="1"/>
    <col min="3846" max="3846" width="14.42578125" style="943" customWidth="1"/>
    <col min="3847" max="3847" width="3.7109375" style="943" customWidth="1"/>
    <col min="3848" max="3848" width="14.5703125" style="943" customWidth="1"/>
    <col min="3849" max="3865" width="6.28515625" style="943" customWidth="1"/>
    <col min="3866" max="4100" width="9.140625" style="943"/>
    <col min="4101" max="4101" width="3.7109375" style="943" customWidth="1"/>
    <col min="4102" max="4102" width="14.42578125" style="943" customWidth="1"/>
    <col min="4103" max="4103" width="3.7109375" style="943" customWidth="1"/>
    <col min="4104" max="4104" width="14.5703125" style="943" customWidth="1"/>
    <col min="4105" max="4121" width="6.28515625" style="943" customWidth="1"/>
    <col min="4122" max="4356" width="9.140625" style="943"/>
    <col min="4357" max="4357" width="3.7109375" style="943" customWidth="1"/>
    <col min="4358" max="4358" width="14.42578125" style="943" customWidth="1"/>
    <col min="4359" max="4359" width="3.7109375" style="943" customWidth="1"/>
    <col min="4360" max="4360" width="14.5703125" style="943" customWidth="1"/>
    <col min="4361" max="4377" width="6.28515625" style="943" customWidth="1"/>
    <col min="4378" max="4612" width="9.140625" style="943"/>
    <col min="4613" max="4613" width="3.7109375" style="943" customWidth="1"/>
    <col min="4614" max="4614" width="14.42578125" style="943" customWidth="1"/>
    <col min="4615" max="4615" width="3.7109375" style="943" customWidth="1"/>
    <col min="4616" max="4616" width="14.5703125" style="943" customWidth="1"/>
    <col min="4617" max="4633" width="6.28515625" style="943" customWidth="1"/>
    <col min="4634" max="4868" width="9.140625" style="943"/>
    <col min="4869" max="4869" width="3.7109375" style="943" customWidth="1"/>
    <col min="4870" max="4870" width="14.42578125" style="943" customWidth="1"/>
    <col min="4871" max="4871" width="3.7109375" style="943" customWidth="1"/>
    <col min="4872" max="4872" width="14.5703125" style="943" customWidth="1"/>
    <col min="4873" max="4889" width="6.28515625" style="943" customWidth="1"/>
    <col min="4890" max="5124" width="9.140625" style="943"/>
    <col min="5125" max="5125" width="3.7109375" style="943" customWidth="1"/>
    <col min="5126" max="5126" width="14.42578125" style="943" customWidth="1"/>
    <col min="5127" max="5127" width="3.7109375" style="943" customWidth="1"/>
    <col min="5128" max="5128" width="14.5703125" style="943" customWidth="1"/>
    <col min="5129" max="5145" width="6.28515625" style="943" customWidth="1"/>
    <col min="5146" max="5380" width="9.140625" style="943"/>
    <col min="5381" max="5381" width="3.7109375" style="943" customWidth="1"/>
    <col min="5382" max="5382" width="14.42578125" style="943" customWidth="1"/>
    <col min="5383" max="5383" width="3.7109375" style="943" customWidth="1"/>
    <col min="5384" max="5384" width="14.5703125" style="943" customWidth="1"/>
    <col min="5385" max="5401" width="6.28515625" style="943" customWidth="1"/>
    <col min="5402" max="5636" width="9.140625" style="943"/>
    <col min="5637" max="5637" width="3.7109375" style="943" customWidth="1"/>
    <col min="5638" max="5638" width="14.42578125" style="943" customWidth="1"/>
    <col min="5639" max="5639" width="3.7109375" style="943" customWidth="1"/>
    <col min="5640" max="5640" width="14.5703125" style="943" customWidth="1"/>
    <col min="5641" max="5657" width="6.28515625" style="943" customWidth="1"/>
    <col min="5658" max="5892" width="9.140625" style="943"/>
    <col min="5893" max="5893" width="3.7109375" style="943" customWidth="1"/>
    <col min="5894" max="5894" width="14.42578125" style="943" customWidth="1"/>
    <col min="5895" max="5895" width="3.7109375" style="943" customWidth="1"/>
    <col min="5896" max="5896" width="14.5703125" style="943" customWidth="1"/>
    <col min="5897" max="5913" width="6.28515625" style="943" customWidth="1"/>
    <col min="5914" max="6148" width="9.140625" style="943"/>
    <col min="6149" max="6149" width="3.7109375" style="943" customWidth="1"/>
    <col min="6150" max="6150" width="14.42578125" style="943" customWidth="1"/>
    <col min="6151" max="6151" width="3.7109375" style="943" customWidth="1"/>
    <col min="6152" max="6152" width="14.5703125" style="943" customWidth="1"/>
    <col min="6153" max="6169" width="6.28515625" style="943" customWidth="1"/>
    <col min="6170" max="6404" width="9.140625" style="943"/>
    <col min="6405" max="6405" width="3.7109375" style="943" customWidth="1"/>
    <col min="6406" max="6406" width="14.42578125" style="943" customWidth="1"/>
    <col min="6407" max="6407" width="3.7109375" style="943" customWidth="1"/>
    <col min="6408" max="6408" width="14.5703125" style="943" customWidth="1"/>
    <col min="6409" max="6425" width="6.28515625" style="943" customWidth="1"/>
    <col min="6426" max="6660" width="9.140625" style="943"/>
    <col min="6661" max="6661" width="3.7109375" style="943" customWidth="1"/>
    <col min="6662" max="6662" width="14.42578125" style="943" customWidth="1"/>
    <col min="6663" max="6663" width="3.7109375" style="943" customWidth="1"/>
    <col min="6664" max="6664" width="14.5703125" style="943" customWidth="1"/>
    <col min="6665" max="6681" width="6.28515625" style="943" customWidth="1"/>
    <col min="6682" max="6916" width="9.140625" style="943"/>
    <col min="6917" max="6917" width="3.7109375" style="943" customWidth="1"/>
    <col min="6918" max="6918" width="14.42578125" style="943" customWidth="1"/>
    <col min="6919" max="6919" width="3.7109375" style="943" customWidth="1"/>
    <col min="6920" max="6920" width="14.5703125" style="943" customWidth="1"/>
    <col min="6921" max="6937" width="6.28515625" style="943" customWidth="1"/>
    <col min="6938" max="7172" width="9.140625" style="943"/>
    <col min="7173" max="7173" width="3.7109375" style="943" customWidth="1"/>
    <col min="7174" max="7174" width="14.42578125" style="943" customWidth="1"/>
    <col min="7175" max="7175" width="3.7109375" style="943" customWidth="1"/>
    <col min="7176" max="7176" width="14.5703125" style="943" customWidth="1"/>
    <col min="7177" max="7193" width="6.28515625" style="943" customWidth="1"/>
    <col min="7194" max="7428" width="9.140625" style="943"/>
    <col min="7429" max="7429" width="3.7109375" style="943" customWidth="1"/>
    <col min="7430" max="7430" width="14.42578125" style="943" customWidth="1"/>
    <col min="7431" max="7431" width="3.7109375" style="943" customWidth="1"/>
    <col min="7432" max="7432" width="14.5703125" style="943" customWidth="1"/>
    <col min="7433" max="7449" width="6.28515625" style="943" customWidth="1"/>
    <col min="7450" max="7684" width="9.140625" style="943"/>
    <col min="7685" max="7685" width="3.7109375" style="943" customWidth="1"/>
    <col min="7686" max="7686" width="14.42578125" style="943" customWidth="1"/>
    <col min="7687" max="7687" width="3.7109375" style="943" customWidth="1"/>
    <col min="7688" max="7688" width="14.5703125" style="943" customWidth="1"/>
    <col min="7689" max="7705" width="6.28515625" style="943" customWidth="1"/>
    <col min="7706" max="7940" width="9.140625" style="943"/>
    <col min="7941" max="7941" width="3.7109375" style="943" customWidth="1"/>
    <col min="7942" max="7942" width="14.42578125" style="943" customWidth="1"/>
    <col min="7943" max="7943" width="3.7109375" style="943" customWidth="1"/>
    <col min="7944" max="7944" width="14.5703125" style="943" customWidth="1"/>
    <col min="7945" max="7961" width="6.28515625" style="943" customWidth="1"/>
    <col min="7962" max="8196" width="9.140625" style="943"/>
    <col min="8197" max="8197" width="3.7109375" style="943" customWidth="1"/>
    <col min="8198" max="8198" width="14.42578125" style="943" customWidth="1"/>
    <col min="8199" max="8199" width="3.7109375" style="943" customWidth="1"/>
    <col min="8200" max="8200" width="14.5703125" style="943" customWidth="1"/>
    <col min="8201" max="8217" width="6.28515625" style="943" customWidth="1"/>
    <col min="8218" max="8452" width="9.140625" style="943"/>
    <col min="8453" max="8453" width="3.7109375" style="943" customWidth="1"/>
    <col min="8454" max="8454" width="14.42578125" style="943" customWidth="1"/>
    <col min="8455" max="8455" width="3.7109375" style="943" customWidth="1"/>
    <col min="8456" max="8456" width="14.5703125" style="943" customWidth="1"/>
    <col min="8457" max="8473" width="6.28515625" style="943" customWidth="1"/>
    <col min="8474" max="8708" width="9.140625" style="943"/>
    <col min="8709" max="8709" width="3.7109375" style="943" customWidth="1"/>
    <col min="8710" max="8710" width="14.42578125" style="943" customWidth="1"/>
    <col min="8711" max="8711" width="3.7109375" style="943" customWidth="1"/>
    <col min="8712" max="8712" width="14.5703125" style="943" customWidth="1"/>
    <col min="8713" max="8729" width="6.28515625" style="943" customWidth="1"/>
    <col min="8730" max="8964" width="9.140625" style="943"/>
    <col min="8965" max="8965" width="3.7109375" style="943" customWidth="1"/>
    <col min="8966" max="8966" width="14.42578125" style="943" customWidth="1"/>
    <col min="8967" max="8967" width="3.7109375" style="943" customWidth="1"/>
    <col min="8968" max="8968" width="14.5703125" style="943" customWidth="1"/>
    <col min="8969" max="8985" width="6.28515625" style="943" customWidth="1"/>
    <col min="8986" max="9220" width="9.140625" style="943"/>
    <col min="9221" max="9221" width="3.7109375" style="943" customWidth="1"/>
    <col min="9222" max="9222" width="14.42578125" style="943" customWidth="1"/>
    <col min="9223" max="9223" width="3.7109375" style="943" customWidth="1"/>
    <col min="9224" max="9224" width="14.5703125" style="943" customWidth="1"/>
    <col min="9225" max="9241" width="6.28515625" style="943" customWidth="1"/>
    <col min="9242" max="9476" width="9.140625" style="943"/>
    <col min="9477" max="9477" width="3.7109375" style="943" customWidth="1"/>
    <col min="9478" max="9478" width="14.42578125" style="943" customWidth="1"/>
    <col min="9479" max="9479" width="3.7109375" style="943" customWidth="1"/>
    <col min="9480" max="9480" width="14.5703125" style="943" customWidth="1"/>
    <col min="9481" max="9497" width="6.28515625" style="943" customWidth="1"/>
    <col min="9498" max="9732" width="9.140625" style="943"/>
    <col min="9733" max="9733" width="3.7109375" style="943" customWidth="1"/>
    <col min="9734" max="9734" width="14.42578125" style="943" customWidth="1"/>
    <col min="9735" max="9735" width="3.7109375" style="943" customWidth="1"/>
    <col min="9736" max="9736" width="14.5703125" style="943" customWidth="1"/>
    <col min="9737" max="9753" width="6.28515625" style="943" customWidth="1"/>
    <col min="9754" max="9988" width="9.140625" style="943"/>
    <col min="9989" max="9989" width="3.7109375" style="943" customWidth="1"/>
    <col min="9990" max="9990" width="14.42578125" style="943" customWidth="1"/>
    <col min="9991" max="9991" width="3.7109375" style="943" customWidth="1"/>
    <col min="9992" max="9992" width="14.5703125" style="943" customWidth="1"/>
    <col min="9993" max="10009" width="6.28515625" style="943" customWidth="1"/>
    <col min="10010" max="10244" width="9.140625" style="943"/>
    <col min="10245" max="10245" width="3.7109375" style="943" customWidth="1"/>
    <col min="10246" max="10246" width="14.42578125" style="943" customWidth="1"/>
    <col min="10247" max="10247" width="3.7109375" style="943" customWidth="1"/>
    <col min="10248" max="10248" width="14.5703125" style="943" customWidth="1"/>
    <col min="10249" max="10265" width="6.28515625" style="943" customWidth="1"/>
    <col min="10266" max="10500" width="9.140625" style="943"/>
    <col min="10501" max="10501" width="3.7109375" style="943" customWidth="1"/>
    <col min="10502" max="10502" width="14.42578125" style="943" customWidth="1"/>
    <col min="10503" max="10503" width="3.7109375" style="943" customWidth="1"/>
    <col min="10504" max="10504" width="14.5703125" style="943" customWidth="1"/>
    <col min="10505" max="10521" width="6.28515625" style="943" customWidth="1"/>
    <col min="10522" max="10756" width="9.140625" style="943"/>
    <col min="10757" max="10757" width="3.7109375" style="943" customWidth="1"/>
    <col min="10758" max="10758" width="14.42578125" style="943" customWidth="1"/>
    <col min="10759" max="10759" width="3.7109375" style="943" customWidth="1"/>
    <col min="10760" max="10760" width="14.5703125" style="943" customWidth="1"/>
    <col min="10761" max="10777" width="6.28515625" style="943" customWidth="1"/>
    <col min="10778" max="11012" width="9.140625" style="943"/>
    <col min="11013" max="11013" width="3.7109375" style="943" customWidth="1"/>
    <col min="11014" max="11014" width="14.42578125" style="943" customWidth="1"/>
    <col min="11015" max="11015" width="3.7109375" style="943" customWidth="1"/>
    <col min="11016" max="11016" width="14.5703125" style="943" customWidth="1"/>
    <col min="11017" max="11033" width="6.28515625" style="943" customWidth="1"/>
    <col min="11034" max="11268" width="9.140625" style="943"/>
    <col min="11269" max="11269" width="3.7109375" style="943" customWidth="1"/>
    <col min="11270" max="11270" width="14.42578125" style="943" customWidth="1"/>
    <col min="11271" max="11271" width="3.7109375" style="943" customWidth="1"/>
    <col min="11272" max="11272" width="14.5703125" style="943" customWidth="1"/>
    <col min="11273" max="11289" width="6.28515625" style="943" customWidth="1"/>
    <col min="11290" max="11524" width="9.140625" style="943"/>
    <col min="11525" max="11525" width="3.7109375" style="943" customWidth="1"/>
    <col min="11526" max="11526" width="14.42578125" style="943" customWidth="1"/>
    <col min="11527" max="11527" width="3.7109375" style="943" customWidth="1"/>
    <col min="11528" max="11528" width="14.5703125" style="943" customWidth="1"/>
    <col min="11529" max="11545" width="6.28515625" style="943" customWidth="1"/>
    <col min="11546" max="11780" width="9.140625" style="943"/>
    <col min="11781" max="11781" width="3.7109375" style="943" customWidth="1"/>
    <col min="11782" max="11782" width="14.42578125" style="943" customWidth="1"/>
    <col min="11783" max="11783" width="3.7109375" style="943" customWidth="1"/>
    <col min="11784" max="11784" width="14.5703125" style="943" customWidth="1"/>
    <col min="11785" max="11801" width="6.28515625" style="943" customWidth="1"/>
    <col min="11802" max="12036" width="9.140625" style="943"/>
    <col min="12037" max="12037" width="3.7109375" style="943" customWidth="1"/>
    <col min="12038" max="12038" width="14.42578125" style="943" customWidth="1"/>
    <col min="12039" max="12039" width="3.7109375" style="943" customWidth="1"/>
    <col min="12040" max="12040" width="14.5703125" style="943" customWidth="1"/>
    <col min="12041" max="12057" width="6.28515625" style="943" customWidth="1"/>
    <col min="12058" max="12292" width="9.140625" style="943"/>
    <col min="12293" max="12293" width="3.7109375" style="943" customWidth="1"/>
    <col min="12294" max="12294" width="14.42578125" style="943" customWidth="1"/>
    <col min="12295" max="12295" width="3.7109375" style="943" customWidth="1"/>
    <col min="12296" max="12296" width="14.5703125" style="943" customWidth="1"/>
    <col min="12297" max="12313" width="6.28515625" style="943" customWidth="1"/>
    <col min="12314" max="12548" width="9.140625" style="943"/>
    <col min="12549" max="12549" width="3.7109375" style="943" customWidth="1"/>
    <col min="12550" max="12550" width="14.42578125" style="943" customWidth="1"/>
    <col min="12551" max="12551" width="3.7109375" style="943" customWidth="1"/>
    <col min="12552" max="12552" width="14.5703125" style="943" customWidth="1"/>
    <col min="12553" max="12569" width="6.28515625" style="943" customWidth="1"/>
    <col min="12570" max="12804" width="9.140625" style="943"/>
    <col min="12805" max="12805" width="3.7109375" style="943" customWidth="1"/>
    <col min="12806" max="12806" width="14.42578125" style="943" customWidth="1"/>
    <col min="12807" max="12807" width="3.7109375" style="943" customWidth="1"/>
    <col min="12808" max="12808" width="14.5703125" style="943" customWidth="1"/>
    <col min="12809" max="12825" width="6.28515625" style="943" customWidth="1"/>
    <col min="12826" max="13060" width="9.140625" style="943"/>
    <col min="13061" max="13061" width="3.7109375" style="943" customWidth="1"/>
    <col min="13062" max="13062" width="14.42578125" style="943" customWidth="1"/>
    <col min="13063" max="13063" width="3.7109375" style="943" customWidth="1"/>
    <col min="13064" max="13064" width="14.5703125" style="943" customWidth="1"/>
    <col min="13065" max="13081" width="6.28515625" style="943" customWidth="1"/>
    <col min="13082" max="13316" width="9.140625" style="943"/>
    <col min="13317" max="13317" width="3.7109375" style="943" customWidth="1"/>
    <col min="13318" max="13318" width="14.42578125" style="943" customWidth="1"/>
    <col min="13319" max="13319" width="3.7109375" style="943" customWidth="1"/>
    <col min="13320" max="13320" width="14.5703125" style="943" customWidth="1"/>
    <col min="13321" max="13337" width="6.28515625" style="943" customWidth="1"/>
    <col min="13338" max="13572" width="9.140625" style="943"/>
    <col min="13573" max="13573" width="3.7109375" style="943" customWidth="1"/>
    <col min="13574" max="13574" width="14.42578125" style="943" customWidth="1"/>
    <col min="13575" max="13575" width="3.7109375" style="943" customWidth="1"/>
    <col min="13576" max="13576" width="14.5703125" style="943" customWidth="1"/>
    <col min="13577" max="13593" width="6.28515625" style="943" customWidth="1"/>
    <col min="13594" max="13828" width="9.140625" style="943"/>
    <col min="13829" max="13829" width="3.7109375" style="943" customWidth="1"/>
    <col min="13830" max="13830" width="14.42578125" style="943" customWidth="1"/>
    <col min="13831" max="13831" width="3.7109375" style="943" customWidth="1"/>
    <col min="13832" max="13832" width="14.5703125" style="943" customWidth="1"/>
    <col min="13833" max="13849" width="6.28515625" style="943" customWidth="1"/>
    <col min="13850" max="14084" width="9.140625" style="943"/>
    <col min="14085" max="14085" width="3.7109375" style="943" customWidth="1"/>
    <col min="14086" max="14086" width="14.42578125" style="943" customWidth="1"/>
    <col min="14087" max="14087" width="3.7109375" style="943" customWidth="1"/>
    <col min="14088" max="14088" width="14.5703125" style="943" customWidth="1"/>
    <col min="14089" max="14105" width="6.28515625" style="943" customWidth="1"/>
    <col min="14106" max="14340" width="9.140625" style="943"/>
    <col min="14341" max="14341" width="3.7109375" style="943" customWidth="1"/>
    <col min="14342" max="14342" width="14.42578125" style="943" customWidth="1"/>
    <col min="14343" max="14343" width="3.7109375" style="943" customWidth="1"/>
    <col min="14344" max="14344" width="14.5703125" style="943" customWidth="1"/>
    <col min="14345" max="14361" width="6.28515625" style="943" customWidth="1"/>
    <col min="14362" max="14596" width="9.140625" style="943"/>
    <col min="14597" max="14597" width="3.7109375" style="943" customWidth="1"/>
    <col min="14598" max="14598" width="14.42578125" style="943" customWidth="1"/>
    <col min="14599" max="14599" width="3.7109375" style="943" customWidth="1"/>
    <col min="14600" max="14600" width="14.5703125" style="943" customWidth="1"/>
    <col min="14601" max="14617" width="6.28515625" style="943" customWidth="1"/>
    <col min="14618" max="14852" width="9.140625" style="943"/>
    <col min="14853" max="14853" width="3.7109375" style="943" customWidth="1"/>
    <col min="14854" max="14854" width="14.42578125" style="943" customWidth="1"/>
    <col min="14855" max="14855" width="3.7109375" style="943" customWidth="1"/>
    <col min="14856" max="14856" width="14.5703125" style="943" customWidth="1"/>
    <col min="14857" max="14873" width="6.28515625" style="943" customWidth="1"/>
    <col min="14874" max="15108" width="9.140625" style="943"/>
    <col min="15109" max="15109" width="3.7109375" style="943" customWidth="1"/>
    <col min="15110" max="15110" width="14.42578125" style="943" customWidth="1"/>
    <col min="15111" max="15111" width="3.7109375" style="943" customWidth="1"/>
    <col min="15112" max="15112" width="14.5703125" style="943" customWidth="1"/>
    <col min="15113" max="15129" width="6.28515625" style="943" customWidth="1"/>
    <col min="15130" max="15364" width="9.140625" style="943"/>
    <col min="15365" max="15365" width="3.7109375" style="943" customWidth="1"/>
    <col min="15366" max="15366" width="14.42578125" style="943" customWidth="1"/>
    <col min="15367" max="15367" width="3.7109375" style="943" customWidth="1"/>
    <col min="15368" max="15368" width="14.5703125" style="943" customWidth="1"/>
    <col min="15369" max="15385" width="6.28515625" style="943" customWidth="1"/>
    <col min="15386" max="15620" width="9.140625" style="943"/>
    <col min="15621" max="15621" width="3.7109375" style="943" customWidth="1"/>
    <col min="15622" max="15622" width="14.42578125" style="943" customWidth="1"/>
    <col min="15623" max="15623" width="3.7109375" style="943" customWidth="1"/>
    <col min="15624" max="15624" width="14.5703125" style="943" customWidth="1"/>
    <col min="15625" max="15641" width="6.28515625" style="943" customWidth="1"/>
    <col min="15642" max="15876" width="9.140625" style="943"/>
    <col min="15877" max="15877" width="3.7109375" style="943" customWidth="1"/>
    <col min="15878" max="15878" width="14.42578125" style="943" customWidth="1"/>
    <col min="15879" max="15879" width="3.7109375" style="943" customWidth="1"/>
    <col min="15880" max="15880" width="14.5703125" style="943" customWidth="1"/>
    <col min="15881" max="15897" width="6.28515625" style="943" customWidth="1"/>
    <col min="15898" max="16132" width="9.140625" style="943"/>
    <col min="16133" max="16133" width="3.7109375" style="943" customWidth="1"/>
    <col min="16134" max="16134" width="14.42578125" style="943" customWidth="1"/>
    <col min="16135" max="16135" width="3.7109375" style="943" customWidth="1"/>
    <col min="16136" max="16136" width="14.5703125" style="943" customWidth="1"/>
    <col min="16137" max="16153" width="6.28515625" style="943" customWidth="1"/>
    <col min="16154" max="16384" width="9.140625" style="943"/>
  </cols>
  <sheetData>
    <row r="2" spans="1:26" ht="15" customHeight="1" x14ac:dyDescent="0.2">
      <c r="A2" s="1">
        <v>1</v>
      </c>
      <c r="B2" s="1" t="s">
        <v>0</v>
      </c>
      <c r="C2" s="1">
        <v>37</v>
      </c>
      <c r="D2" s="4193" t="s">
        <v>879</v>
      </c>
      <c r="E2" s="4194"/>
      <c r="F2" s="4194"/>
      <c r="G2" s="4194"/>
      <c r="H2" s="4194"/>
      <c r="I2" s="4194"/>
      <c r="J2" s="4194"/>
      <c r="K2" s="4194"/>
      <c r="L2" s="4194"/>
      <c r="M2" s="4194"/>
      <c r="N2" s="4194"/>
      <c r="O2" s="4194"/>
      <c r="P2" s="4194"/>
      <c r="Q2" s="4194"/>
      <c r="R2" s="4194"/>
      <c r="S2" s="4194"/>
      <c r="T2" s="4194"/>
      <c r="U2" s="4194"/>
      <c r="V2" s="4194"/>
      <c r="W2" s="4194"/>
      <c r="X2" s="4194"/>
      <c r="Y2" s="4194"/>
      <c r="Z2" s="4195"/>
    </row>
    <row r="3" spans="1:26" ht="15" customHeight="1" x14ac:dyDescent="0.2">
      <c r="A3" s="1">
        <v>2</v>
      </c>
      <c r="B3" s="1" t="s">
        <v>2</v>
      </c>
      <c r="C3" s="1"/>
      <c r="D3" s="4140" t="s">
        <v>802</v>
      </c>
      <c r="E3" s="4141"/>
      <c r="F3" s="4141"/>
      <c r="G3" s="4141"/>
      <c r="H3" s="4141"/>
      <c r="I3" s="4141"/>
      <c r="J3" s="4141"/>
      <c r="K3" s="4141"/>
      <c r="L3" s="4141"/>
      <c r="M3" s="4141"/>
      <c r="N3" s="4141"/>
      <c r="O3" s="4141"/>
      <c r="P3" s="4141"/>
      <c r="Q3" s="4141"/>
      <c r="R3" s="4141"/>
      <c r="S3" s="4141"/>
      <c r="T3" s="4141"/>
      <c r="U3" s="4141"/>
      <c r="V3" s="4141"/>
      <c r="W3" s="4141"/>
      <c r="X3" s="4141"/>
      <c r="Y3" s="4141"/>
      <c r="Z3" s="4142"/>
    </row>
    <row r="4" spans="1:26" ht="15" customHeight="1" x14ac:dyDescent="0.2">
      <c r="A4" s="1">
        <v>3</v>
      </c>
      <c r="B4" s="1" t="s">
        <v>4</v>
      </c>
      <c r="C4" s="1"/>
      <c r="D4" s="4238" t="s">
        <v>880</v>
      </c>
      <c r="E4" s="4239"/>
      <c r="F4" s="4239"/>
      <c r="G4" s="4239"/>
      <c r="H4" s="4239"/>
      <c r="I4" s="4239"/>
      <c r="J4" s="4239"/>
      <c r="K4" s="4239"/>
      <c r="L4" s="4239"/>
      <c r="M4" s="4239"/>
      <c r="N4" s="4239"/>
      <c r="O4" s="4239"/>
      <c r="P4" s="4239"/>
      <c r="Q4" s="4239"/>
      <c r="R4" s="4239"/>
      <c r="S4" s="4239"/>
      <c r="T4" s="4239"/>
      <c r="U4" s="4239"/>
      <c r="V4" s="4239"/>
      <c r="W4" s="4239"/>
      <c r="X4" s="4239"/>
      <c r="Y4" s="4239"/>
      <c r="Z4" s="4240"/>
    </row>
    <row r="5" spans="1:26" ht="15" customHeight="1" x14ac:dyDescent="0.2">
      <c r="A5" s="1">
        <v>4</v>
      </c>
      <c r="B5" s="1" t="s">
        <v>804</v>
      </c>
      <c r="C5" s="1"/>
      <c r="D5" s="4238" t="s">
        <v>881</v>
      </c>
      <c r="E5" s="4239"/>
      <c r="F5" s="4239"/>
      <c r="G5" s="4239"/>
      <c r="H5" s="4239"/>
      <c r="I5" s="4239"/>
      <c r="J5" s="4239"/>
      <c r="K5" s="4239"/>
      <c r="L5" s="4239"/>
      <c r="M5" s="4239"/>
      <c r="N5" s="4239"/>
      <c r="O5" s="4239"/>
      <c r="P5" s="4239"/>
      <c r="Q5" s="4239"/>
      <c r="R5" s="4239"/>
      <c r="S5" s="4239"/>
      <c r="T5" s="4239"/>
      <c r="U5" s="4239"/>
      <c r="V5" s="4239"/>
      <c r="W5" s="4239"/>
      <c r="X5" s="4239"/>
      <c r="Y5" s="4239"/>
      <c r="Z5" s="4240"/>
    </row>
    <row r="6" spans="1:26" ht="15" customHeight="1" x14ac:dyDescent="0.2">
      <c r="C6" s="2195"/>
      <c r="D6" s="2196"/>
      <c r="E6" s="2196"/>
      <c r="F6" s="2196"/>
      <c r="G6" s="2196"/>
      <c r="H6" s="2196"/>
      <c r="I6" s="2196"/>
      <c r="J6" s="2196"/>
      <c r="K6" s="2196"/>
      <c r="L6" s="2196"/>
      <c r="M6" s="2196"/>
      <c r="N6" s="2196"/>
      <c r="O6" s="2196"/>
      <c r="P6" s="2196"/>
      <c r="Q6" s="2196"/>
      <c r="R6" s="2196"/>
      <c r="S6" s="2196"/>
      <c r="T6" s="2196"/>
      <c r="U6" s="2196"/>
      <c r="V6" s="2196"/>
      <c r="W6" s="2196"/>
      <c r="X6" s="2196"/>
      <c r="Y6" s="2196"/>
      <c r="Z6" s="2197"/>
    </row>
    <row r="7" spans="1:26" s="11" customFormat="1" ht="13.5" thickBot="1" x14ac:dyDescent="0.25">
      <c r="A7" s="1">
        <v>5</v>
      </c>
      <c r="B7" s="12" t="s">
        <v>5</v>
      </c>
      <c r="C7" s="6"/>
      <c r="D7" s="2089" t="s">
        <v>40</v>
      </c>
      <c r="E7" s="2089" t="s">
        <v>879</v>
      </c>
      <c r="F7" s="2089"/>
      <c r="G7" s="1405"/>
      <c r="H7" s="1405"/>
      <c r="I7" s="1405"/>
      <c r="J7" s="1405"/>
      <c r="K7" s="1405"/>
      <c r="L7" s="1405"/>
      <c r="M7" s="17"/>
      <c r="N7" s="17"/>
      <c r="O7" s="17"/>
      <c r="P7" s="17"/>
      <c r="Q7" s="17"/>
      <c r="R7" s="17"/>
      <c r="S7" s="17"/>
      <c r="T7" s="17"/>
      <c r="U7" s="17"/>
      <c r="V7" s="17"/>
      <c r="W7" s="17"/>
      <c r="X7" s="17"/>
      <c r="Y7" s="17"/>
    </row>
    <row r="8" spans="1:26" s="11" customFormat="1" ht="15" customHeight="1" thickBot="1" x14ac:dyDescent="0.3">
      <c r="A8" s="5"/>
      <c r="B8" s="6"/>
      <c r="C8" s="6"/>
      <c r="D8" s="2198" t="s">
        <v>69</v>
      </c>
      <c r="E8" s="3689"/>
      <c r="F8" s="3679">
        <v>2002</v>
      </c>
      <c r="G8" s="3680">
        <v>2003</v>
      </c>
      <c r="H8" s="3680">
        <v>2004</v>
      </c>
      <c r="I8" s="3680">
        <v>2005</v>
      </c>
      <c r="J8" s="3680">
        <v>2006</v>
      </c>
      <c r="K8" s="3680">
        <v>2007</v>
      </c>
      <c r="L8" s="3680">
        <v>2008</v>
      </c>
      <c r="M8" s="3680">
        <v>2009</v>
      </c>
      <c r="N8" s="3681">
        <v>2010</v>
      </c>
      <c r="O8" s="3681">
        <v>2011</v>
      </c>
      <c r="P8" s="3688">
        <v>2012</v>
      </c>
      <c r="Q8" s="3680">
        <v>2013</v>
      </c>
      <c r="R8" s="3680">
        <v>2014</v>
      </c>
      <c r="S8" s="3680">
        <v>2015</v>
      </c>
      <c r="T8" s="3680">
        <v>2016</v>
      </c>
      <c r="U8" s="3680">
        <v>2017</v>
      </c>
      <c r="V8" s="3682">
        <v>2018</v>
      </c>
      <c r="W8" s="2201"/>
    </row>
    <row r="9" spans="1:26" s="11" customFormat="1" ht="15.75" customHeight="1" x14ac:dyDescent="0.25">
      <c r="A9" s="5"/>
      <c r="B9" s="6"/>
      <c r="C9" s="2177">
        <v>1</v>
      </c>
      <c r="D9" s="2207" t="s">
        <v>882</v>
      </c>
      <c r="E9" s="2208"/>
      <c r="F9" s="3685">
        <v>6.74</v>
      </c>
      <c r="G9" s="3686">
        <v>6.61</v>
      </c>
      <c r="H9" s="3686">
        <v>6.5</v>
      </c>
      <c r="I9" s="3686">
        <v>6.43</v>
      </c>
      <c r="J9" s="3686">
        <v>6.33</v>
      </c>
      <c r="K9" s="3686">
        <v>6.24</v>
      </c>
      <c r="L9" s="3686">
        <v>6.16</v>
      </c>
      <c r="M9" s="3686">
        <v>6.1</v>
      </c>
      <c r="N9" s="3686">
        <v>6.03</v>
      </c>
      <c r="O9" s="3686">
        <v>5.98</v>
      </c>
      <c r="P9" s="3686">
        <v>5.94</v>
      </c>
      <c r="Q9" s="3686">
        <v>5.91</v>
      </c>
      <c r="R9" s="3686">
        <v>5.8</v>
      </c>
      <c r="S9" s="3686">
        <v>5.76</v>
      </c>
      <c r="T9" s="3686">
        <v>5.71</v>
      </c>
      <c r="U9" s="3686">
        <v>5.57</v>
      </c>
      <c r="V9" s="3687">
        <v>5.49</v>
      </c>
      <c r="W9" s="2201"/>
    </row>
    <row r="10" spans="1:26" s="11" customFormat="1" ht="15" customHeight="1" x14ac:dyDescent="0.25">
      <c r="A10" s="5"/>
      <c r="B10" s="6"/>
      <c r="C10" s="2177">
        <v>2</v>
      </c>
      <c r="D10" s="2207" t="s">
        <v>883</v>
      </c>
      <c r="E10" s="2208"/>
      <c r="F10" s="3674" t="s">
        <v>884</v>
      </c>
      <c r="G10" s="3675" t="s">
        <v>885</v>
      </c>
      <c r="H10" s="3675" t="s">
        <v>886</v>
      </c>
      <c r="I10" s="3675" t="s">
        <v>887</v>
      </c>
      <c r="J10" s="3675" t="s">
        <v>888</v>
      </c>
      <c r="K10" s="3675" t="s">
        <v>889</v>
      </c>
      <c r="L10" s="3675" t="s">
        <v>890</v>
      </c>
      <c r="M10" s="3675" t="s">
        <v>891</v>
      </c>
      <c r="N10" s="3675" t="s">
        <v>892</v>
      </c>
      <c r="O10" s="3675" t="s">
        <v>893</v>
      </c>
      <c r="P10" s="3675" t="s">
        <v>894</v>
      </c>
      <c r="Q10" s="3675" t="s">
        <v>895</v>
      </c>
      <c r="R10" s="3675" t="s">
        <v>896</v>
      </c>
      <c r="S10" s="3675" t="s">
        <v>897</v>
      </c>
      <c r="T10" s="3675" t="s">
        <v>898</v>
      </c>
      <c r="U10" s="3675" t="s">
        <v>899</v>
      </c>
      <c r="V10" s="3683" t="s">
        <v>900</v>
      </c>
      <c r="W10" s="2201"/>
    </row>
    <row r="11" spans="1:26" s="11" customFormat="1" ht="15" customHeight="1" x14ac:dyDescent="0.25">
      <c r="A11" s="5"/>
      <c r="B11" s="6"/>
      <c r="C11" s="2177">
        <v>3</v>
      </c>
      <c r="D11" s="2207" t="s">
        <v>901</v>
      </c>
      <c r="E11" s="2208"/>
      <c r="F11" s="3676">
        <v>18.608694081576441</v>
      </c>
      <c r="G11" s="3675">
        <v>19.143645481874355</v>
      </c>
      <c r="H11" s="3675">
        <v>19.540531806323653</v>
      </c>
      <c r="I11" s="3675">
        <v>19.835698157814143</v>
      </c>
      <c r="J11" s="3675">
        <v>20.071718580481487</v>
      </c>
      <c r="K11" s="3675">
        <v>20.337508855213599</v>
      </c>
      <c r="L11" s="3675">
        <v>20.670751029738273</v>
      </c>
      <c r="M11" s="3675">
        <v>21.051057338128214</v>
      </c>
      <c r="N11" s="3675">
        <v>21.470763502474711</v>
      </c>
      <c r="O11" s="3675">
        <v>21.913035727500539</v>
      </c>
      <c r="P11" s="3675">
        <v>22.394200874980843</v>
      </c>
      <c r="Q11" s="3675">
        <v>22.862369678652172</v>
      </c>
      <c r="R11" s="3675">
        <v>23.25435783990789</v>
      </c>
      <c r="S11" s="3675">
        <v>23.675032350324162</v>
      </c>
      <c r="T11" s="3675">
        <v>24.065671074202427</v>
      </c>
      <c r="U11" s="3675">
        <v>24.320093327513874</v>
      </c>
      <c r="V11" s="3683">
        <v>24.617550462826621</v>
      </c>
      <c r="W11" s="2201"/>
    </row>
    <row r="12" spans="1:26" s="11" customFormat="1" ht="15" customHeight="1" x14ac:dyDescent="0.25">
      <c r="A12" s="5"/>
      <c r="B12" s="6"/>
      <c r="C12" s="2177">
        <v>4</v>
      </c>
      <c r="D12" s="2207" t="s">
        <v>902</v>
      </c>
      <c r="E12" s="2208"/>
      <c r="F12" s="3676">
        <v>14.387637990303622</v>
      </c>
      <c r="G12" s="3675">
        <v>14.729072074316715</v>
      </c>
      <c r="H12" s="3675">
        <v>14.963402452640953</v>
      </c>
      <c r="I12" s="3675">
        <v>15.107310246880246</v>
      </c>
      <c r="J12" s="3675">
        <v>15.198654351096483</v>
      </c>
      <c r="K12" s="3675">
        <v>15.292116324562654</v>
      </c>
      <c r="L12" s="3675">
        <v>15.415337558024126</v>
      </c>
      <c r="M12" s="3675">
        <v>15.605692529840622</v>
      </c>
      <c r="N12" s="3675">
        <v>15.865705710118238</v>
      </c>
      <c r="O12" s="3675">
        <v>16.161657799515243</v>
      </c>
      <c r="P12" s="3675">
        <v>16.437921824146983</v>
      </c>
      <c r="Q12" s="3675">
        <v>16.70253418089656</v>
      </c>
      <c r="R12" s="3675">
        <v>16.926015562538385</v>
      </c>
      <c r="S12" s="3675">
        <v>17.191664639508378</v>
      </c>
      <c r="T12" s="3675">
        <v>17.435145630182632</v>
      </c>
      <c r="U12" s="3675">
        <v>17.597776934943379</v>
      </c>
      <c r="V12" s="3683">
        <v>17.78387011774192</v>
      </c>
      <c r="W12" s="2201"/>
    </row>
    <row r="13" spans="1:26" s="11" customFormat="1" ht="15" customHeight="1" x14ac:dyDescent="0.25">
      <c r="A13" s="5"/>
      <c r="B13" s="6"/>
      <c r="C13" s="2177">
        <v>5</v>
      </c>
      <c r="D13" s="2207" t="s">
        <v>903</v>
      </c>
      <c r="E13" s="2208"/>
      <c r="F13" s="3674" t="s">
        <v>904</v>
      </c>
      <c r="G13" s="3675" t="s">
        <v>905</v>
      </c>
      <c r="H13" s="3675" t="s">
        <v>906</v>
      </c>
      <c r="I13" s="3675" t="s">
        <v>907</v>
      </c>
      <c r="J13" s="3675" t="s">
        <v>908</v>
      </c>
      <c r="K13" s="3675" t="s">
        <v>909</v>
      </c>
      <c r="L13" s="3675" t="s">
        <v>910</v>
      </c>
      <c r="M13" s="3675" t="s">
        <v>911</v>
      </c>
      <c r="N13" s="3675" t="s">
        <v>912</v>
      </c>
      <c r="O13" s="3675" t="s">
        <v>884</v>
      </c>
      <c r="P13" s="3675" t="s">
        <v>913</v>
      </c>
      <c r="Q13" s="3675" t="s">
        <v>914</v>
      </c>
      <c r="R13" s="3675" t="s">
        <v>915</v>
      </c>
      <c r="S13" s="3675" t="s">
        <v>916</v>
      </c>
      <c r="T13" s="3675" t="s">
        <v>917</v>
      </c>
      <c r="U13" s="3675" t="s">
        <v>918</v>
      </c>
      <c r="V13" s="3683" t="s">
        <v>919</v>
      </c>
      <c r="W13" s="2201"/>
    </row>
    <row r="14" spans="1:26" s="11" customFormat="1" ht="15" customHeight="1" x14ac:dyDescent="0.25">
      <c r="A14" s="5"/>
      <c r="B14" s="6"/>
      <c r="C14" s="2177">
        <v>6</v>
      </c>
      <c r="D14" s="2210" t="s">
        <v>920</v>
      </c>
      <c r="E14" s="2208"/>
      <c r="F14" s="3674">
        <v>16.575020106538275</v>
      </c>
      <c r="G14" s="3675">
        <v>17.012048102304998</v>
      </c>
      <c r="H14" s="3675">
        <v>17.32532877940849</v>
      </c>
      <c r="I14" s="3675">
        <v>17.542668923749321</v>
      </c>
      <c r="J14" s="3675">
        <v>17.701504540207104</v>
      </c>
      <c r="K14" s="3675">
        <v>17.878219029479585</v>
      </c>
      <c r="L14" s="3675">
        <v>18.10463507532349</v>
      </c>
      <c r="M14" s="3675">
        <v>18.387561979857754</v>
      </c>
      <c r="N14" s="3675">
        <v>18.725460195150742</v>
      </c>
      <c r="O14" s="3675">
        <v>19.09200426905084</v>
      </c>
      <c r="P14" s="3675">
        <v>19.469761058160913</v>
      </c>
      <c r="Q14" s="3675">
        <v>19.83555515378254</v>
      </c>
      <c r="R14" s="3675">
        <v>20.142716438361568</v>
      </c>
      <c r="S14" s="3675">
        <v>20.485130954665916</v>
      </c>
      <c r="T14" s="3675">
        <v>20.800631763481949</v>
      </c>
      <c r="U14" s="3675">
        <v>21.003285184599598</v>
      </c>
      <c r="V14" s="3683">
        <v>21.242922665795554</v>
      </c>
      <c r="W14" s="2201"/>
    </row>
    <row r="15" spans="1:26" s="11" customFormat="1" ht="15" customHeight="1" x14ac:dyDescent="0.25">
      <c r="A15" s="5"/>
      <c r="B15" s="6"/>
      <c r="C15" s="2177">
        <v>7</v>
      </c>
      <c r="D15" s="2211" t="s">
        <v>921</v>
      </c>
      <c r="E15" s="2208"/>
      <c r="F15" s="3676">
        <v>10.502205082432631</v>
      </c>
      <c r="G15" s="3675">
        <v>10.893139029388532</v>
      </c>
      <c r="H15" s="3675">
        <v>11.210064846561481</v>
      </c>
      <c r="I15" s="3675">
        <v>11.473076279925538</v>
      </c>
      <c r="J15" s="3675">
        <v>11.700056512781678</v>
      </c>
      <c r="K15" s="3675">
        <v>11.947335537918729</v>
      </c>
      <c r="L15" s="3675">
        <v>12.238693066084684</v>
      </c>
      <c r="M15" s="3675">
        <v>12.532264411908248</v>
      </c>
      <c r="N15" s="3675">
        <v>12.838384061782616</v>
      </c>
      <c r="O15" s="3675">
        <v>13.163300316560417</v>
      </c>
      <c r="P15" s="3675">
        <v>13.514079245189109</v>
      </c>
      <c r="Q15" s="3675">
        <v>13.851716757717494</v>
      </c>
      <c r="R15" s="3675">
        <v>14.133697452052395</v>
      </c>
      <c r="S15" s="3675">
        <v>14.436165109767519</v>
      </c>
      <c r="T15" s="3675">
        <v>14.708457879923223</v>
      </c>
      <c r="U15" s="3675">
        <v>14.857195948917395</v>
      </c>
      <c r="V15" s="3683">
        <v>15.05518684219348</v>
      </c>
      <c r="W15" s="2201"/>
    </row>
    <row r="16" spans="1:26" s="11" customFormat="1" ht="15" customHeight="1" x14ac:dyDescent="0.25">
      <c r="A16" s="5"/>
      <c r="B16" s="6"/>
      <c r="C16" s="2177">
        <v>8</v>
      </c>
      <c r="D16" s="2211" t="s">
        <v>922</v>
      </c>
      <c r="E16" s="2208"/>
      <c r="F16" s="3676">
        <v>7.9960950758186113</v>
      </c>
      <c r="G16" s="3675">
        <v>8.2801329069808105</v>
      </c>
      <c r="H16" s="3675">
        <v>8.5070741896168851</v>
      </c>
      <c r="I16" s="3675">
        <v>8.6827678464668399</v>
      </c>
      <c r="J16" s="3675">
        <v>8.8404041285397597</v>
      </c>
      <c r="K16" s="3675">
        <v>8.9919089775851369</v>
      </c>
      <c r="L16" s="3675">
        <v>9.1621997543333702</v>
      </c>
      <c r="M16" s="3675">
        <v>9.3430577403692272</v>
      </c>
      <c r="N16" s="3675">
        <v>9.5476113532484383</v>
      </c>
      <c r="O16" s="3675">
        <v>9.7800255546425241</v>
      </c>
      <c r="P16" s="3675">
        <v>10.001826653827573</v>
      </c>
      <c r="Q16" s="3675">
        <v>10.20869965975257</v>
      </c>
      <c r="R16" s="3675">
        <v>10.380507088937923</v>
      </c>
      <c r="S16" s="3675">
        <v>10.578579349810111</v>
      </c>
      <c r="T16" s="3675">
        <v>10.755756933175917</v>
      </c>
      <c r="U16" s="3675">
        <v>10.870652741937882</v>
      </c>
      <c r="V16" s="3683">
        <v>10.997597656832301</v>
      </c>
      <c r="W16" s="2201"/>
    </row>
    <row r="17" spans="1:28" s="11" customFormat="1" ht="13.5" thickBot="1" x14ac:dyDescent="0.3">
      <c r="A17" s="5"/>
      <c r="B17" s="6"/>
      <c r="C17" s="2177">
        <v>9</v>
      </c>
      <c r="D17" s="2212" t="s">
        <v>923</v>
      </c>
      <c r="E17" s="2213"/>
      <c r="F17" s="3677">
        <v>9.2899999999999991</v>
      </c>
      <c r="G17" s="3678">
        <v>9.6199999999999992</v>
      </c>
      <c r="H17" s="3678">
        <v>9.9</v>
      </c>
      <c r="I17" s="3678">
        <v>10.11</v>
      </c>
      <c r="J17" s="3678">
        <v>10.31</v>
      </c>
      <c r="K17" s="3678">
        <v>10.51</v>
      </c>
      <c r="L17" s="3678">
        <v>10.74</v>
      </c>
      <c r="M17" s="3678">
        <v>10.97</v>
      </c>
      <c r="N17" s="3678">
        <v>11.23</v>
      </c>
      <c r="O17" s="3678">
        <v>11.51</v>
      </c>
      <c r="P17" s="3678">
        <v>11.79</v>
      </c>
      <c r="Q17" s="3678">
        <v>12.07</v>
      </c>
      <c r="R17" s="3678">
        <v>12.29</v>
      </c>
      <c r="S17" s="3678">
        <v>12.54</v>
      </c>
      <c r="T17" s="3678">
        <v>12.77</v>
      </c>
      <c r="U17" s="3678">
        <v>12.9</v>
      </c>
      <c r="V17" s="3684">
        <v>13.06</v>
      </c>
      <c r="W17" s="2201"/>
    </row>
    <row r="18" spans="1:28" s="11" customFormat="1" ht="12.75" x14ac:dyDescent="0.25">
      <c r="A18" s="5"/>
      <c r="B18" s="6"/>
      <c r="C18" s="2177"/>
      <c r="D18" s="614"/>
      <c r="E18" s="2217"/>
      <c r="F18" s="2218"/>
      <c r="G18" s="2218"/>
      <c r="H18" s="2218"/>
      <c r="I18" s="2218"/>
      <c r="J18" s="2218"/>
      <c r="K18" s="2218"/>
      <c r="L18" s="2218"/>
      <c r="M18" s="2218"/>
      <c r="N18" s="2218"/>
      <c r="O18" s="2218"/>
      <c r="P18" s="2218"/>
      <c r="Q18" s="2218"/>
      <c r="R18" s="2218"/>
      <c r="S18" s="2218"/>
      <c r="T18" s="2218"/>
      <c r="U18" s="2218"/>
      <c r="V18" s="2219"/>
      <c r="W18" s="2201"/>
    </row>
    <row r="19" spans="1:28" s="11" customFormat="1" ht="16.350000000000001" customHeight="1" x14ac:dyDescent="0.2">
      <c r="A19" s="1">
        <v>6</v>
      </c>
      <c r="B19" s="1" t="s">
        <v>90</v>
      </c>
      <c r="C19" s="2056"/>
      <c r="D19" s="2085"/>
      <c r="E19" s="2220"/>
      <c r="F19" s="2220"/>
      <c r="G19" s="2220"/>
      <c r="H19" s="2220"/>
      <c r="I19" s="2220"/>
      <c r="J19" s="2220"/>
      <c r="K19" s="2220"/>
      <c r="L19" s="2220"/>
      <c r="M19" s="2220"/>
      <c r="N19" s="2220"/>
      <c r="O19" s="2220"/>
      <c r="P19" s="2220"/>
      <c r="Q19" s="2221"/>
      <c r="R19" s="2221"/>
      <c r="S19" s="2221"/>
      <c r="T19" s="2221"/>
      <c r="U19" s="17"/>
      <c r="V19" s="17"/>
      <c r="W19" s="17"/>
      <c r="X19" s="17"/>
      <c r="Y19" s="17"/>
    </row>
    <row r="20" spans="1:28" s="11" customFormat="1" ht="16.350000000000001" hidden="1" customHeight="1" x14ac:dyDescent="0.2">
      <c r="A20" s="35"/>
      <c r="B20" s="6"/>
      <c r="C20" s="2056"/>
      <c r="D20" s="2085"/>
      <c r="E20" s="2220"/>
      <c r="F20" s="2220"/>
      <c r="G20" s="2220"/>
      <c r="H20" s="2220"/>
      <c r="I20" s="2220"/>
      <c r="J20" s="2220"/>
      <c r="K20" s="2220"/>
      <c r="L20" s="2220"/>
      <c r="M20" s="2220"/>
      <c r="N20" s="2220"/>
      <c r="O20" s="2220"/>
      <c r="P20" s="2220"/>
      <c r="Q20" s="2221"/>
      <c r="R20" s="2221"/>
      <c r="S20" s="2221"/>
      <c r="T20" s="2221"/>
      <c r="U20" s="17"/>
      <c r="V20" s="17"/>
      <c r="W20" s="17"/>
      <c r="X20" s="17"/>
      <c r="Y20" s="17"/>
    </row>
    <row r="21" spans="1:28" s="11" customFormat="1" ht="16.350000000000001" hidden="1" customHeight="1" x14ac:dyDescent="0.2">
      <c r="A21" s="35"/>
      <c r="B21" s="6"/>
      <c r="C21" s="2056"/>
      <c r="D21" s="2089" t="s">
        <v>67</v>
      </c>
      <c r="E21" s="2089" t="s">
        <v>924</v>
      </c>
      <c r="F21" s="2220"/>
      <c r="G21" s="2220"/>
      <c r="H21" s="2220"/>
      <c r="I21" s="2220"/>
      <c r="J21" s="2220"/>
      <c r="K21" s="2220"/>
      <c r="L21" s="2220"/>
      <c r="M21" s="2220"/>
      <c r="N21" s="2220"/>
      <c r="O21" s="2220"/>
      <c r="P21" s="2220"/>
      <c r="Q21" s="2221"/>
      <c r="R21" s="2221"/>
      <c r="S21" s="2221"/>
      <c r="T21" s="2221"/>
      <c r="U21" s="17"/>
      <c r="V21" s="17"/>
      <c r="W21" s="17"/>
      <c r="X21" s="17"/>
      <c r="Y21" s="17"/>
    </row>
    <row r="22" spans="1:28" s="11" customFormat="1" ht="15" hidden="1" customHeight="1" x14ac:dyDescent="0.25">
      <c r="A22" s="5"/>
      <c r="B22" s="6"/>
      <c r="C22" s="6"/>
      <c r="D22" s="2066" t="s">
        <v>69</v>
      </c>
      <c r="E22" s="2223">
        <v>1994</v>
      </c>
      <c r="F22" s="2223">
        <v>1995</v>
      </c>
      <c r="G22" s="2223">
        <v>1996</v>
      </c>
      <c r="H22" s="2223">
        <v>1997</v>
      </c>
      <c r="I22" s="2224">
        <v>1998</v>
      </c>
      <c r="J22" s="2224">
        <v>1999</v>
      </c>
      <c r="K22" s="2224">
        <v>2000</v>
      </c>
      <c r="L22" s="2225">
        <v>2001</v>
      </c>
      <c r="M22" s="2225">
        <v>2002</v>
      </c>
      <c r="N22" s="2225">
        <v>2003</v>
      </c>
      <c r="O22" s="2225">
        <v>2004</v>
      </c>
      <c r="P22" s="2225">
        <v>2005</v>
      </c>
      <c r="Q22" s="2225">
        <v>2006</v>
      </c>
      <c r="R22" s="2225">
        <v>2007</v>
      </c>
      <c r="S22" s="2225">
        <v>2008</v>
      </c>
      <c r="T22" s="2225">
        <v>2009</v>
      </c>
      <c r="U22" s="2225">
        <v>2010</v>
      </c>
      <c r="V22" s="2225">
        <v>2011</v>
      </c>
      <c r="W22" s="2225">
        <v>2012</v>
      </c>
      <c r="X22" s="2225">
        <v>2013</v>
      </c>
      <c r="Y22" s="2225">
        <v>2014</v>
      </c>
      <c r="Z22" s="2225">
        <v>2015</v>
      </c>
      <c r="AB22" s="2201"/>
    </row>
    <row r="23" spans="1:28" s="11" customFormat="1" ht="12.6" hidden="1" customHeight="1" x14ac:dyDescent="0.2">
      <c r="A23" s="35"/>
      <c r="B23" s="6"/>
      <c r="C23" s="2056">
        <v>11</v>
      </c>
      <c r="D23" s="1355" t="s">
        <v>925</v>
      </c>
      <c r="E23" s="2226"/>
      <c r="F23" s="2226"/>
      <c r="G23" s="2226"/>
      <c r="H23" s="2226"/>
      <c r="I23" s="2226"/>
      <c r="J23" s="2226"/>
      <c r="K23" s="2226"/>
      <c r="L23" s="2226"/>
      <c r="M23" s="2226"/>
      <c r="N23" s="2226"/>
      <c r="O23" s="2226"/>
      <c r="P23" s="2226"/>
      <c r="Q23" s="2227"/>
      <c r="R23" s="2227"/>
      <c r="S23" s="2227"/>
      <c r="T23" s="2227"/>
      <c r="U23" s="2228">
        <v>31.4</v>
      </c>
      <c r="V23" s="2228">
        <v>32.200000000000003</v>
      </c>
      <c r="W23" s="2229"/>
      <c r="X23" s="2229"/>
      <c r="Y23" s="2229"/>
      <c r="Z23" s="2229"/>
    </row>
    <row r="24" spans="1:28" s="11" customFormat="1" ht="20.45" hidden="1" customHeight="1" x14ac:dyDescent="0.2">
      <c r="A24" s="35"/>
      <c r="B24" s="6"/>
      <c r="C24" s="2056">
        <v>12</v>
      </c>
      <c r="D24" s="2096" t="s">
        <v>926</v>
      </c>
      <c r="E24" s="2230"/>
      <c r="F24" s="2230"/>
      <c r="G24" s="2230"/>
      <c r="H24" s="2230"/>
      <c r="I24" s="2230"/>
      <c r="J24" s="2230"/>
      <c r="K24" s="2230"/>
      <c r="L24" s="2230"/>
      <c r="M24" s="2230"/>
      <c r="N24" s="2230"/>
      <c r="O24" s="2230"/>
      <c r="P24" s="2230"/>
      <c r="Q24" s="2231"/>
      <c r="R24" s="2231"/>
      <c r="S24" s="2231"/>
      <c r="T24" s="2231"/>
      <c r="U24" s="2232">
        <v>3.5</v>
      </c>
      <c r="V24" s="2232">
        <v>2.67</v>
      </c>
      <c r="W24" s="2233"/>
      <c r="X24" s="2233"/>
      <c r="Y24" s="2233"/>
      <c r="Z24" s="2233"/>
    </row>
    <row r="25" spans="1:28" s="11" customFormat="1" ht="16.350000000000001" hidden="1" customHeight="1" x14ac:dyDescent="0.2">
      <c r="A25" s="35"/>
      <c r="B25" s="6"/>
      <c r="C25" s="2056"/>
      <c r="D25" s="2085"/>
      <c r="E25" s="2220"/>
      <c r="F25" s="2220"/>
      <c r="G25" s="2220"/>
      <c r="H25" s="2220"/>
      <c r="I25" s="2220"/>
      <c r="J25" s="2220"/>
      <c r="K25" s="2220"/>
      <c r="L25" s="2220"/>
      <c r="M25" s="2220"/>
      <c r="N25" s="2220"/>
      <c r="O25" s="2220"/>
      <c r="P25" s="2220"/>
      <c r="Q25" s="2221"/>
      <c r="R25" s="2221"/>
      <c r="S25" s="2221"/>
      <c r="T25" s="2221"/>
      <c r="U25" s="17"/>
      <c r="V25" s="17"/>
      <c r="W25" s="17"/>
      <c r="X25" s="17"/>
      <c r="Y25" s="17"/>
    </row>
    <row r="26" spans="1:28" s="11" customFormat="1" ht="11.25" hidden="1" x14ac:dyDescent="0.2">
      <c r="A26" s="35"/>
      <c r="B26" s="6"/>
      <c r="C26" s="2056"/>
      <c r="D26" s="2085"/>
      <c r="E26" s="2220"/>
      <c r="F26" s="2220"/>
      <c r="G26" s="2220"/>
      <c r="H26" s="2220"/>
      <c r="I26" s="2220"/>
      <c r="J26" s="2220"/>
      <c r="K26" s="2220"/>
      <c r="L26" s="2220"/>
      <c r="M26" s="2220"/>
      <c r="N26" s="2220"/>
      <c r="O26" s="2220"/>
      <c r="P26" s="2220"/>
      <c r="Q26" s="2221"/>
      <c r="R26" s="2221"/>
      <c r="S26" s="2221"/>
      <c r="T26" s="2221"/>
      <c r="U26" s="17"/>
      <c r="V26" s="17"/>
      <c r="W26" s="17"/>
      <c r="X26" s="17"/>
      <c r="Y26" s="17"/>
    </row>
    <row r="27" spans="1:28" s="11" customFormat="1" ht="11.25" x14ac:dyDescent="0.2">
      <c r="A27" s="35"/>
      <c r="B27" s="6"/>
      <c r="C27" s="6"/>
      <c r="D27" s="2234"/>
      <c r="E27" s="2235"/>
      <c r="F27" s="2235"/>
      <c r="G27" s="2235"/>
      <c r="H27" s="2235"/>
      <c r="I27" s="2235"/>
      <c r="J27" s="2235"/>
      <c r="K27" s="2235"/>
      <c r="L27" s="2235"/>
      <c r="M27" s="2235"/>
      <c r="N27" s="2235"/>
      <c r="O27" s="2235"/>
      <c r="P27" s="2235"/>
      <c r="Q27" s="2236"/>
      <c r="R27" s="2236"/>
    </row>
    <row r="28" spans="1:28" ht="14.25" x14ac:dyDescent="0.2">
      <c r="A28" s="943"/>
      <c r="B28" s="943"/>
      <c r="C28" s="1"/>
    </row>
    <row r="33" spans="1:25" x14ac:dyDescent="0.2">
      <c r="N33" s="2237"/>
    </row>
    <row r="42" spans="1:25" ht="14.25" x14ac:dyDescent="0.2">
      <c r="A42" s="1">
        <v>7</v>
      </c>
      <c r="B42" s="1" t="s">
        <v>29</v>
      </c>
      <c r="C42" s="1"/>
      <c r="D42" s="4258" t="s">
        <v>392</v>
      </c>
      <c r="E42" s="4259"/>
      <c r="F42" s="4259"/>
      <c r="G42" s="4259"/>
      <c r="H42" s="4259"/>
      <c r="I42" s="4259"/>
      <c r="J42" s="4259"/>
      <c r="K42" s="4259"/>
      <c r="L42" s="4259"/>
      <c r="M42" s="4259"/>
      <c r="N42" s="4259"/>
      <c r="O42" s="4259"/>
      <c r="P42" s="4259"/>
      <c r="Q42" s="4259"/>
      <c r="R42" s="4259"/>
      <c r="S42" s="4259"/>
      <c r="T42" s="4259"/>
      <c r="U42" s="4259"/>
      <c r="V42" s="4259"/>
      <c r="W42" s="4259"/>
      <c r="X42" s="4259"/>
      <c r="Y42" s="4260"/>
    </row>
    <row r="43" spans="1:25" ht="20.100000000000001" customHeight="1" x14ac:dyDescent="0.2">
      <c r="A43" s="40">
        <v>8</v>
      </c>
      <c r="B43" s="40" t="s">
        <v>32</v>
      </c>
      <c r="C43" s="40"/>
      <c r="D43" s="4255" t="s">
        <v>927</v>
      </c>
      <c r="E43" s="4256"/>
      <c r="F43" s="4256"/>
      <c r="G43" s="4256"/>
      <c r="H43" s="4256"/>
      <c r="I43" s="4256"/>
      <c r="J43" s="4256"/>
      <c r="K43" s="4256"/>
      <c r="L43" s="4256"/>
      <c r="M43" s="4256"/>
      <c r="N43" s="4256"/>
      <c r="O43" s="4256"/>
      <c r="P43" s="4256"/>
      <c r="Q43" s="4256"/>
      <c r="R43" s="4256"/>
      <c r="S43" s="4256"/>
      <c r="T43" s="4256"/>
      <c r="U43" s="4256"/>
      <c r="V43" s="4256"/>
      <c r="W43" s="4256"/>
      <c r="X43" s="4256"/>
      <c r="Y43" s="4257"/>
    </row>
    <row r="44" spans="1:25" ht="17.45" customHeight="1" x14ac:dyDescent="0.2">
      <c r="A44" s="1">
        <v>9</v>
      </c>
      <c r="B44" s="1" t="s">
        <v>31</v>
      </c>
      <c r="C44" s="40"/>
      <c r="D44" s="4258" t="s">
        <v>928</v>
      </c>
      <c r="E44" s="4259"/>
      <c r="F44" s="4259"/>
      <c r="G44" s="4259"/>
      <c r="H44" s="4259"/>
      <c r="I44" s="4259"/>
      <c r="J44" s="4259"/>
      <c r="K44" s="4259"/>
      <c r="L44" s="4259"/>
      <c r="M44" s="4259"/>
      <c r="N44" s="4259"/>
      <c r="O44" s="4259"/>
      <c r="P44" s="4259"/>
      <c r="Q44" s="4259"/>
      <c r="R44" s="4259"/>
      <c r="S44" s="4259"/>
      <c r="T44" s="4259"/>
      <c r="U44" s="4259"/>
      <c r="V44" s="4259"/>
      <c r="W44" s="4259"/>
      <c r="X44" s="4259"/>
      <c r="Y44" s="4260"/>
    </row>
    <row r="45" spans="1:25" hidden="1" x14ac:dyDescent="0.2">
      <c r="A45" s="2035">
        <v>9</v>
      </c>
      <c r="B45" s="1" t="s">
        <v>157</v>
      </c>
      <c r="D45" s="4140" t="s">
        <v>929</v>
      </c>
      <c r="E45" s="4141"/>
      <c r="F45" s="4141"/>
      <c r="G45" s="4141"/>
      <c r="H45" s="4141"/>
      <c r="I45" s="4141"/>
      <c r="J45" s="4141"/>
      <c r="K45" s="4141"/>
      <c r="L45" s="4141"/>
      <c r="M45" s="4141"/>
      <c r="N45" s="4141"/>
      <c r="O45" s="4141"/>
      <c r="P45" s="4141"/>
      <c r="Q45" s="4141"/>
      <c r="R45" s="4141"/>
      <c r="S45" s="4141"/>
      <c r="T45" s="4141"/>
      <c r="U45" s="4141"/>
      <c r="V45" s="4141"/>
      <c r="W45" s="4141"/>
      <c r="X45" s="4141"/>
      <c r="Y45" s="4142"/>
    </row>
    <row r="49" spans="4:22" ht="15.75" thickBot="1" x14ac:dyDescent="0.25"/>
    <row r="50" spans="4:22" ht="15.75" thickBot="1" x14ac:dyDescent="0.3">
      <c r="D50" s="2198" t="s">
        <v>69</v>
      </c>
      <c r="E50" s="2198"/>
      <c r="F50" s="2199">
        <v>2002</v>
      </c>
      <c r="G50" s="2199">
        <v>2003</v>
      </c>
      <c r="H50" s="2199">
        <v>2004</v>
      </c>
      <c r="I50" s="2199">
        <v>2005</v>
      </c>
      <c r="J50" s="2199">
        <v>2006</v>
      </c>
      <c r="K50" s="2199">
        <v>2007</v>
      </c>
      <c r="L50" s="2199">
        <v>2008</v>
      </c>
      <c r="M50" s="2199">
        <v>2009</v>
      </c>
      <c r="N50" s="2199">
        <v>2010</v>
      </c>
      <c r="O50" s="2199">
        <v>2011</v>
      </c>
      <c r="P50" s="2199">
        <v>2012</v>
      </c>
      <c r="Q50" s="2199">
        <v>2013</v>
      </c>
      <c r="R50" s="2199">
        <v>2014</v>
      </c>
      <c r="S50" s="2199">
        <v>2015</v>
      </c>
      <c r="T50" s="2199">
        <v>2016</v>
      </c>
      <c r="U50" s="2199">
        <v>2017</v>
      </c>
      <c r="V50" s="2200">
        <v>2018</v>
      </c>
    </row>
    <row r="51" spans="4:22" x14ac:dyDescent="0.25">
      <c r="D51" s="2202" t="s">
        <v>882</v>
      </c>
      <c r="E51" s="2203"/>
      <c r="F51" s="2204"/>
      <c r="G51" s="2205"/>
      <c r="H51" s="2205"/>
      <c r="I51" s="2205"/>
      <c r="J51" s="2205"/>
      <c r="K51" s="2205"/>
      <c r="L51" s="2205"/>
      <c r="M51" s="2205"/>
      <c r="N51" s="2205"/>
      <c r="O51" s="2205"/>
      <c r="P51" s="2205"/>
      <c r="Q51" s="2205"/>
      <c r="R51" s="2205"/>
      <c r="S51" s="2205"/>
      <c r="T51" s="2205"/>
      <c r="U51" s="2205"/>
      <c r="V51" s="2206"/>
    </row>
    <row r="52" spans="4:22" x14ac:dyDescent="0.25">
      <c r="D52" s="2207" t="s">
        <v>883</v>
      </c>
      <c r="E52" s="2208"/>
      <c r="F52" s="2204"/>
      <c r="G52" s="2205"/>
      <c r="H52" s="2205"/>
      <c r="I52" s="2205"/>
      <c r="J52" s="2205"/>
      <c r="K52" s="2205"/>
      <c r="L52" s="2205"/>
      <c r="M52" s="2205"/>
      <c r="N52" s="2205"/>
      <c r="O52" s="2205"/>
      <c r="P52" s="2205"/>
      <c r="Q52" s="2205"/>
      <c r="R52" s="2205"/>
      <c r="S52" s="2205"/>
      <c r="T52" s="2205"/>
      <c r="U52" s="2205">
        <v>26.3</v>
      </c>
      <c r="V52" s="2206"/>
    </row>
    <row r="53" spans="4:22" x14ac:dyDescent="0.25">
      <c r="D53" s="2207" t="s">
        <v>901</v>
      </c>
      <c r="E53" s="2208"/>
      <c r="F53" s="2209"/>
      <c r="G53" s="2205"/>
      <c r="H53" s="2205"/>
      <c r="I53" s="2205"/>
      <c r="J53" s="2205"/>
      <c r="K53" s="2205"/>
      <c r="L53" s="2205"/>
      <c r="M53" s="2205"/>
      <c r="N53" s="2205"/>
      <c r="O53" s="2205"/>
      <c r="P53" s="2205"/>
      <c r="Q53" s="2205"/>
      <c r="R53" s="2205"/>
      <c r="S53" s="2205"/>
      <c r="T53" s="2205"/>
      <c r="U53" s="2205"/>
      <c r="V53" s="2206"/>
    </row>
    <row r="54" spans="4:22" x14ac:dyDescent="0.25">
      <c r="D54" s="2207" t="s">
        <v>902</v>
      </c>
      <c r="E54" s="2208"/>
      <c r="F54" s="2209"/>
      <c r="G54" s="2205"/>
      <c r="H54" s="2205"/>
      <c r="I54" s="2205"/>
      <c r="J54" s="2205"/>
      <c r="K54" s="2205"/>
      <c r="L54" s="2205"/>
      <c r="M54" s="2205"/>
      <c r="N54" s="2205"/>
      <c r="O54" s="2205"/>
      <c r="P54" s="2205"/>
      <c r="Q54" s="2205"/>
      <c r="R54" s="2205"/>
      <c r="S54" s="2205"/>
      <c r="T54" s="2205"/>
      <c r="U54" s="2205"/>
      <c r="V54" s="2206"/>
    </row>
    <row r="55" spans="4:22" x14ac:dyDescent="0.25">
      <c r="D55" s="2207" t="s">
        <v>903</v>
      </c>
      <c r="E55" s="2208"/>
      <c r="F55" s="2204"/>
      <c r="G55" s="2205"/>
      <c r="H55" s="2205"/>
      <c r="I55" s="2205"/>
      <c r="J55" s="2205"/>
      <c r="K55" s="2205"/>
      <c r="L55" s="2205"/>
      <c r="M55" s="2205"/>
      <c r="N55" s="2205"/>
      <c r="O55" s="2205"/>
      <c r="P55" s="2205"/>
      <c r="Q55" s="2205"/>
      <c r="R55" s="2205"/>
      <c r="S55" s="2205"/>
      <c r="T55" s="2205"/>
      <c r="U55" s="2205">
        <v>20.6</v>
      </c>
      <c r="V55" s="2206"/>
    </row>
    <row r="56" spans="4:22" x14ac:dyDescent="0.25">
      <c r="D56" s="2210" t="s">
        <v>920</v>
      </c>
      <c r="E56" s="2208"/>
      <c r="F56" s="2204"/>
      <c r="G56" s="2205"/>
      <c r="H56" s="2205"/>
      <c r="I56" s="2205"/>
      <c r="J56" s="2205"/>
      <c r="K56" s="2205"/>
      <c r="L56" s="2205"/>
      <c r="M56" s="2205"/>
      <c r="N56" s="2205"/>
      <c r="O56" s="2205"/>
      <c r="P56" s="2205"/>
      <c r="Q56" s="2205"/>
      <c r="R56" s="2205"/>
      <c r="S56" s="2205"/>
      <c r="T56" s="2205"/>
      <c r="U56" s="2205"/>
      <c r="V56" s="2206"/>
    </row>
    <row r="57" spans="4:22" x14ac:dyDescent="0.25">
      <c r="D57" s="2211" t="s">
        <v>921</v>
      </c>
      <c r="E57" s="2208"/>
      <c r="F57" s="2209"/>
      <c r="G57" s="2205"/>
      <c r="H57" s="2205"/>
      <c r="I57" s="2205"/>
      <c r="J57" s="2205"/>
      <c r="K57" s="2205"/>
      <c r="L57" s="2205"/>
      <c r="M57" s="2205"/>
      <c r="N57" s="2205"/>
      <c r="O57" s="2205"/>
      <c r="P57" s="2205"/>
      <c r="Q57" s="2205"/>
      <c r="R57" s="2205"/>
      <c r="S57" s="2205"/>
      <c r="T57" s="2205"/>
      <c r="U57" s="2205"/>
      <c r="V57" s="2206"/>
    </row>
    <row r="58" spans="4:22" x14ac:dyDescent="0.25">
      <c r="D58" s="2211" t="s">
        <v>922</v>
      </c>
      <c r="E58" s="2208"/>
      <c r="F58" s="2209"/>
      <c r="G58" s="2205"/>
      <c r="H58" s="2205"/>
      <c r="I58" s="2205"/>
      <c r="J58" s="2205"/>
      <c r="K58" s="2205"/>
      <c r="L58" s="2205"/>
      <c r="M58" s="2205"/>
      <c r="N58" s="2205"/>
      <c r="O58" s="2205"/>
      <c r="P58" s="2205"/>
      <c r="Q58" s="2205"/>
      <c r="R58" s="2205"/>
      <c r="S58" s="2205"/>
      <c r="T58" s="2205"/>
      <c r="U58" s="2205"/>
      <c r="V58" s="2206"/>
    </row>
    <row r="59" spans="4:22" ht="15.75" thickBot="1" x14ac:dyDescent="0.3">
      <c r="D59" s="2212" t="s">
        <v>923</v>
      </c>
      <c r="E59" s="2213"/>
      <c r="F59" s="2214">
        <v>11.4</v>
      </c>
      <c r="G59" s="2215"/>
      <c r="H59" s="2215"/>
      <c r="I59" s="2215">
        <v>10.8</v>
      </c>
      <c r="J59" s="2215"/>
      <c r="K59" s="2215"/>
      <c r="L59" s="2215">
        <v>10.9</v>
      </c>
      <c r="M59" s="2215"/>
      <c r="N59" s="2215"/>
      <c r="O59" s="2215"/>
      <c r="P59" s="2215">
        <v>12.2</v>
      </c>
      <c r="Q59" s="2215"/>
      <c r="R59" s="2215"/>
      <c r="S59" s="2215"/>
      <c r="T59" s="2215"/>
      <c r="U59" s="2215"/>
      <c r="V59" s="2216"/>
    </row>
    <row r="62" spans="4:22" x14ac:dyDescent="0.2">
      <c r="D62" s="943" t="s">
        <v>930</v>
      </c>
    </row>
  </sheetData>
  <mergeCells count="8">
    <mergeCell ref="D43:Y43"/>
    <mergeCell ref="D44:Y44"/>
    <mergeCell ref="D45:Y45"/>
    <mergeCell ref="D42:Y42"/>
    <mergeCell ref="D2:Z2"/>
    <mergeCell ref="D3:Z3"/>
    <mergeCell ref="D4:Z4"/>
    <mergeCell ref="D5:Z5"/>
  </mergeCells>
  <pageMargins left="0.74803149606299213" right="0.74803149606299213" top="4.3124999999999997E-2" bottom="0.98425196850393704" header="0.51181102362204722" footer="0.51181102362204722"/>
  <pageSetup paperSize="9" scale="65" orientation="landscape" r:id="rId1"/>
  <headerFooter alignWithMargins="0">
    <oddFooter>&amp;LDepartment of Planning, Monitoring and Evaluation (DPME). &amp;CPage &amp;P of &amp;N&amp;R&amp;D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F81"/>
  <sheetViews>
    <sheetView showGridLines="0" view="pageBreakPreview" zoomScaleNormal="100" zoomScaleSheetLayoutView="100" workbookViewId="0">
      <selection activeCell="G10" sqref="G10"/>
    </sheetView>
  </sheetViews>
  <sheetFormatPr defaultColWidth="9.140625" defaultRowHeight="15" x14ac:dyDescent="0.2"/>
  <cols>
    <col min="1" max="1" width="3.7109375" style="2035" customWidth="1"/>
    <col min="2" max="2" width="14.42578125" style="2036" customWidth="1"/>
    <col min="3" max="3" width="3.7109375" style="2036" customWidth="1"/>
    <col min="4" max="4" width="17.5703125" style="943" customWidth="1"/>
    <col min="5" max="5" width="6.85546875" style="943" customWidth="1"/>
    <col min="6" max="8" width="11.42578125" style="943" bestFit="1" customWidth="1"/>
    <col min="9" max="10" width="9.7109375" style="943" bestFit="1" customWidth="1"/>
    <col min="11" max="11" width="9.7109375" style="943" customWidth="1"/>
    <col min="12" max="12" width="9.42578125" style="943" customWidth="1"/>
    <col min="13" max="13" width="9.85546875" style="943" customWidth="1"/>
    <col min="14" max="14" width="9" style="943" customWidth="1"/>
    <col min="15" max="16" width="6.85546875" style="943" customWidth="1"/>
    <col min="17" max="17" width="8.85546875" style="943" bestFit="1" customWidth="1"/>
    <col min="18" max="23" width="6.85546875" style="943" customWidth="1"/>
    <col min="24" max="259" width="9.140625" style="943"/>
    <col min="260" max="260" width="3.7109375" style="943" customWidth="1"/>
    <col min="261" max="261" width="14.42578125" style="943" customWidth="1"/>
    <col min="262" max="262" width="3.7109375" style="943" customWidth="1"/>
    <col min="263" max="263" width="14.140625" style="943" customWidth="1"/>
    <col min="264" max="278" width="6.85546875" style="943" customWidth="1"/>
    <col min="279" max="515" width="9.140625" style="943"/>
    <col min="516" max="516" width="3.7109375" style="943" customWidth="1"/>
    <col min="517" max="517" width="14.42578125" style="943" customWidth="1"/>
    <col min="518" max="518" width="3.7109375" style="943" customWidth="1"/>
    <col min="519" max="519" width="14.140625" style="943" customWidth="1"/>
    <col min="520" max="534" width="6.85546875" style="943" customWidth="1"/>
    <col min="535" max="771" width="9.140625" style="943"/>
    <col min="772" max="772" width="3.7109375" style="943" customWidth="1"/>
    <col min="773" max="773" width="14.42578125" style="943" customWidth="1"/>
    <col min="774" max="774" width="3.7109375" style="943" customWidth="1"/>
    <col min="775" max="775" width="14.140625" style="943" customWidth="1"/>
    <col min="776" max="790" width="6.85546875" style="943" customWidth="1"/>
    <col min="791" max="1027" width="9.140625" style="943"/>
    <col min="1028" max="1028" width="3.7109375" style="943" customWidth="1"/>
    <col min="1029" max="1029" width="14.42578125" style="943" customWidth="1"/>
    <col min="1030" max="1030" width="3.7109375" style="943" customWidth="1"/>
    <col min="1031" max="1031" width="14.140625" style="943" customWidth="1"/>
    <col min="1032" max="1046" width="6.85546875" style="943" customWidth="1"/>
    <col min="1047" max="1283" width="9.140625" style="943"/>
    <col min="1284" max="1284" width="3.7109375" style="943" customWidth="1"/>
    <col min="1285" max="1285" width="14.42578125" style="943" customWidth="1"/>
    <col min="1286" max="1286" width="3.7109375" style="943" customWidth="1"/>
    <col min="1287" max="1287" width="14.140625" style="943" customWidth="1"/>
    <col min="1288" max="1302" width="6.85546875" style="943" customWidth="1"/>
    <col min="1303" max="1539" width="9.140625" style="943"/>
    <col min="1540" max="1540" width="3.7109375" style="943" customWidth="1"/>
    <col min="1541" max="1541" width="14.42578125" style="943" customWidth="1"/>
    <col min="1542" max="1542" width="3.7109375" style="943" customWidth="1"/>
    <col min="1543" max="1543" width="14.140625" style="943" customWidth="1"/>
    <col min="1544" max="1558" width="6.85546875" style="943" customWidth="1"/>
    <col min="1559" max="1795" width="9.140625" style="943"/>
    <col min="1796" max="1796" width="3.7109375" style="943" customWidth="1"/>
    <col min="1797" max="1797" width="14.42578125" style="943" customWidth="1"/>
    <col min="1798" max="1798" width="3.7109375" style="943" customWidth="1"/>
    <col min="1799" max="1799" width="14.140625" style="943" customWidth="1"/>
    <col min="1800" max="1814" width="6.85546875" style="943" customWidth="1"/>
    <col min="1815" max="2051" width="9.140625" style="943"/>
    <col min="2052" max="2052" width="3.7109375" style="943" customWidth="1"/>
    <col min="2053" max="2053" width="14.42578125" style="943" customWidth="1"/>
    <col min="2054" max="2054" width="3.7109375" style="943" customWidth="1"/>
    <col min="2055" max="2055" width="14.140625" style="943" customWidth="1"/>
    <col min="2056" max="2070" width="6.85546875" style="943" customWidth="1"/>
    <col min="2071" max="2307" width="9.140625" style="943"/>
    <col min="2308" max="2308" width="3.7109375" style="943" customWidth="1"/>
    <col min="2309" max="2309" width="14.42578125" style="943" customWidth="1"/>
    <col min="2310" max="2310" width="3.7109375" style="943" customWidth="1"/>
    <col min="2311" max="2311" width="14.140625" style="943" customWidth="1"/>
    <col min="2312" max="2326" width="6.85546875" style="943" customWidth="1"/>
    <col min="2327" max="2563" width="9.140625" style="943"/>
    <col min="2564" max="2564" width="3.7109375" style="943" customWidth="1"/>
    <col min="2565" max="2565" width="14.42578125" style="943" customWidth="1"/>
    <col min="2566" max="2566" width="3.7109375" style="943" customWidth="1"/>
    <col min="2567" max="2567" width="14.140625" style="943" customWidth="1"/>
    <col min="2568" max="2582" width="6.85546875" style="943" customWidth="1"/>
    <col min="2583" max="2819" width="9.140625" style="943"/>
    <col min="2820" max="2820" width="3.7109375" style="943" customWidth="1"/>
    <col min="2821" max="2821" width="14.42578125" style="943" customWidth="1"/>
    <col min="2822" max="2822" width="3.7109375" style="943" customWidth="1"/>
    <col min="2823" max="2823" width="14.140625" style="943" customWidth="1"/>
    <col min="2824" max="2838" width="6.85546875" style="943" customWidth="1"/>
    <col min="2839" max="3075" width="9.140625" style="943"/>
    <col min="3076" max="3076" width="3.7109375" style="943" customWidth="1"/>
    <col min="3077" max="3077" width="14.42578125" style="943" customWidth="1"/>
    <col min="3078" max="3078" width="3.7109375" style="943" customWidth="1"/>
    <col min="3079" max="3079" width="14.140625" style="943" customWidth="1"/>
    <col min="3080" max="3094" width="6.85546875" style="943" customWidth="1"/>
    <col min="3095" max="3331" width="9.140625" style="943"/>
    <col min="3332" max="3332" width="3.7109375" style="943" customWidth="1"/>
    <col min="3333" max="3333" width="14.42578125" style="943" customWidth="1"/>
    <col min="3334" max="3334" width="3.7109375" style="943" customWidth="1"/>
    <col min="3335" max="3335" width="14.140625" style="943" customWidth="1"/>
    <col min="3336" max="3350" width="6.85546875" style="943" customWidth="1"/>
    <col min="3351" max="3587" width="9.140625" style="943"/>
    <col min="3588" max="3588" width="3.7109375" style="943" customWidth="1"/>
    <col min="3589" max="3589" width="14.42578125" style="943" customWidth="1"/>
    <col min="3590" max="3590" width="3.7109375" style="943" customWidth="1"/>
    <col min="3591" max="3591" width="14.140625" style="943" customWidth="1"/>
    <col min="3592" max="3606" width="6.85546875" style="943" customWidth="1"/>
    <col min="3607" max="3843" width="9.140625" style="943"/>
    <col min="3844" max="3844" width="3.7109375" style="943" customWidth="1"/>
    <col min="3845" max="3845" width="14.42578125" style="943" customWidth="1"/>
    <col min="3846" max="3846" width="3.7109375" style="943" customWidth="1"/>
    <col min="3847" max="3847" width="14.140625" style="943" customWidth="1"/>
    <col min="3848" max="3862" width="6.85546875" style="943" customWidth="1"/>
    <col min="3863" max="4099" width="9.140625" style="943"/>
    <col min="4100" max="4100" width="3.7109375" style="943" customWidth="1"/>
    <col min="4101" max="4101" width="14.42578125" style="943" customWidth="1"/>
    <col min="4102" max="4102" width="3.7109375" style="943" customWidth="1"/>
    <col min="4103" max="4103" width="14.140625" style="943" customWidth="1"/>
    <col min="4104" max="4118" width="6.85546875" style="943" customWidth="1"/>
    <col min="4119" max="4355" width="9.140625" style="943"/>
    <col min="4356" max="4356" width="3.7109375" style="943" customWidth="1"/>
    <col min="4357" max="4357" width="14.42578125" style="943" customWidth="1"/>
    <col min="4358" max="4358" width="3.7109375" style="943" customWidth="1"/>
    <col min="4359" max="4359" width="14.140625" style="943" customWidth="1"/>
    <col min="4360" max="4374" width="6.85546875" style="943" customWidth="1"/>
    <col min="4375" max="4611" width="9.140625" style="943"/>
    <col min="4612" max="4612" width="3.7109375" style="943" customWidth="1"/>
    <col min="4613" max="4613" width="14.42578125" style="943" customWidth="1"/>
    <col min="4614" max="4614" width="3.7109375" style="943" customWidth="1"/>
    <col min="4615" max="4615" width="14.140625" style="943" customWidth="1"/>
    <col min="4616" max="4630" width="6.85546875" style="943" customWidth="1"/>
    <col min="4631" max="4867" width="9.140625" style="943"/>
    <col min="4868" max="4868" width="3.7109375" style="943" customWidth="1"/>
    <col min="4869" max="4869" width="14.42578125" style="943" customWidth="1"/>
    <col min="4870" max="4870" width="3.7109375" style="943" customWidth="1"/>
    <col min="4871" max="4871" width="14.140625" style="943" customWidth="1"/>
    <col min="4872" max="4886" width="6.85546875" style="943" customWidth="1"/>
    <col min="4887" max="5123" width="9.140625" style="943"/>
    <col min="5124" max="5124" width="3.7109375" style="943" customWidth="1"/>
    <col min="5125" max="5125" width="14.42578125" style="943" customWidth="1"/>
    <col min="5126" max="5126" width="3.7109375" style="943" customWidth="1"/>
    <col min="5127" max="5127" width="14.140625" style="943" customWidth="1"/>
    <col min="5128" max="5142" width="6.85546875" style="943" customWidth="1"/>
    <col min="5143" max="5379" width="9.140625" style="943"/>
    <col min="5380" max="5380" width="3.7109375" style="943" customWidth="1"/>
    <col min="5381" max="5381" width="14.42578125" style="943" customWidth="1"/>
    <col min="5382" max="5382" width="3.7109375" style="943" customWidth="1"/>
    <col min="5383" max="5383" width="14.140625" style="943" customWidth="1"/>
    <col min="5384" max="5398" width="6.85546875" style="943" customWidth="1"/>
    <col min="5399" max="5635" width="9.140625" style="943"/>
    <col min="5636" max="5636" width="3.7109375" style="943" customWidth="1"/>
    <col min="5637" max="5637" width="14.42578125" style="943" customWidth="1"/>
    <col min="5638" max="5638" width="3.7109375" style="943" customWidth="1"/>
    <col min="5639" max="5639" width="14.140625" style="943" customWidth="1"/>
    <col min="5640" max="5654" width="6.85546875" style="943" customWidth="1"/>
    <col min="5655" max="5891" width="9.140625" style="943"/>
    <col min="5892" max="5892" width="3.7109375" style="943" customWidth="1"/>
    <col min="5893" max="5893" width="14.42578125" style="943" customWidth="1"/>
    <col min="5894" max="5894" width="3.7109375" style="943" customWidth="1"/>
    <col min="5895" max="5895" width="14.140625" style="943" customWidth="1"/>
    <col min="5896" max="5910" width="6.85546875" style="943" customWidth="1"/>
    <col min="5911" max="6147" width="9.140625" style="943"/>
    <col min="6148" max="6148" width="3.7109375" style="943" customWidth="1"/>
    <col min="6149" max="6149" width="14.42578125" style="943" customWidth="1"/>
    <col min="6150" max="6150" width="3.7109375" style="943" customWidth="1"/>
    <col min="6151" max="6151" width="14.140625" style="943" customWidth="1"/>
    <col min="6152" max="6166" width="6.85546875" style="943" customWidth="1"/>
    <col min="6167" max="6403" width="9.140625" style="943"/>
    <col min="6404" max="6404" width="3.7109375" style="943" customWidth="1"/>
    <col min="6405" max="6405" width="14.42578125" style="943" customWidth="1"/>
    <col min="6406" max="6406" width="3.7109375" style="943" customWidth="1"/>
    <col min="6407" max="6407" width="14.140625" style="943" customWidth="1"/>
    <col min="6408" max="6422" width="6.85546875" style="943" customWidth="1"/>
    <col min="6423" max="6659" width="9.140625" style="943"/>
    <col min="6660" max="6660" width="3.7109375" style="943" customWidth="1"/>
    <col min="6661" max="6661" width="14.42578125" style="943" customWidth="1"/>
    <col min="6662" max="6662" width="3.7109375" style="943" customWidth="1"/>
    <col min="6663" max="6663" width="14.140625" style="943" customWidth="1"/>
    <col min="6664" max="6678" width="6.85546875" style="943" customWidth="1"/>
    <col min="6679" max="6915" width="9.140625" style="943"/>
    <col min="6916" max="6916" width="3.7109375" style="943" customWidth="1"/>
    <col min="6917" max="6917" width="14.42578125" style="943" customWidth="1"/>
    <col min="6918" max="6918" width="3.7109375" style="943" customWidth="1"/>
    <col min="6919" max="6919" width="14.140625" style="943" customWidth="1"/>
    <col min="6920" max="6934" width="6.85546875" style="943" customWidth="1"/>
    <col min="6935" max="7171" width="9.140625" style="943"/>
    <col min="7172" max="7172" width="3.7109375" style="943" customWidth="1"/>
    <col min="7173" max="7173" width="14.42578125" style="943" customWidth="1"/>
    <col min="7174" max="7174" width="3.7109375" style="943" customWidth="1"/>
    <col min="7175" max="7175" width="14.140625" style="943" customWidth="1"/>
    <col min="7176" max="7190" width="6.85546875" style="943" customWidth="1"/>
    <col min="7191" max="7427" width="9.140625" style="943"/>
    <col min="7428" max="7428" width="3.7109375" style="943" customWidth="1"/>
    <col min="7429" max="7429" width="14.42578125" style="943" customWidth="1"/>
    <col min="7430" max="7430" width="3.7109375" style="943" customWidth="1"/>
    <col min="7431" max="7431" width="14.140625" style="943" customWidth="1"/>
    <col min="7432" max="7446" width="6.85546875" style="943" customWidth="1"/>
    <col min="7447" max="7683" width="9.140625" style="943"/>
    <col min="7684" max="7684" width="3.7109375" style="943" customWidth="1"/>
    <col min="7685" max="7685" width="14.42578125" style="943" customWidth="1"/>
    <col min="7686" max="7686" width="3.7109375" style="943" customWidth="1"/>
    <col min="7687" max="7687" width="14.140625" style="943" customWidth="1"/>
    <col min="7688" max="7702" width="6.85546875" style="943" customWidth="1"/>
    <col min="7703" max="7939" width="9.140625" style="943"/>
    <col min="7940" max="7940" width="3.7109375" style="943" customWidth="1"/>
    <col min="7941" max="7941" width="14.42578125" style="943" customWidth="1"/>
    <col min="7942" max="7942" width="3.7109375" style="943" customWidth="1"/>
    <col min="7943" max="7943" width="14.140625" style="943" customWidth="1"/>
    <col min="7944" max="7958" width="6.85546875" style="943" customWidth="1"/>
    <col min="7959" max="8195" width="9.140625" style="943"/>
    <col min="8196" max="8196" width="3.7109375" style="943" customWidth="1"/>
    <col min="8197" max="8197" width="14.42578125" style="943" customWidth="1"/>
    <col min="8198" max="8198" width="3.7109375" style="943" customWidth="1"/>
    <col min="8199" max="8199" width="14.140625" style="943" customWidth="1"/>
    <col min="8200" max="8214" width="6.85546875" style="943" customWidth="1"/>
    <col min="8215" max="8451" width="9.140625" style="943"/>
    <col min="8452" max="8452" width="3.7109375" style="943" customWidth="1"/>
    <col min="8453" max="8453" width="14.42578125" style="943" customWidth="1"/>
    <col min="8454" max="8454" width="3.7109375" style="943" customWidth="1"/>
    <col min="8455" max="8455" width="14.140625" style="943" customWidth="1"/>
    <col min="8456" max="8470" width="6.85546875" style="943" customWidth="1"/>
    <col min="8471" max="8707" width="9.140625" style="943"/>
    <col min="8708" max="8708" width="3.7109375" style="943" customWidth="1"/>
    <col min="8709" max="8709" width="14.42578125" style="943" customWidth="1"/>
    <col min="8710" max="8710" width="3.7109375" style="943" customWidth="1"/>
    <col min="8711" max="8711" width="14.140625" style="943" customWidth="1"/>
    <col min="8712" max="8726" width="6.85546875" style="943" customWidth="1"/>
    <col min="8727" max="8963" width="9.140625" style="943"/>
    <col min="8964" max="8964" width="3.7109375" style="943" customWidth="1"/>
    <col min="8965" max="8965" width="14.42578125" style="943" customWidth="1"/>
    <col min="8966" max="8966" width="3.7109375" style="943" customWidth="1"/>
    <col min="8967" max="8967" width="14.140625" style="943" customWidth="1"/>
    <col min="8968" max="8982" width="6.85546875" style="943" customWidth="1"/>
    <col min="8983" max="9219" width="9.140625" style="943"/>
    <col min="9220" max="9220" width="3.7109375" style="943" customWidth="1"/>
    <col min="9221" max="9221" width="14.42578125" style="943" customWidth="1"/>
    <col min="9222" max="9222" width="3.7109375" style="943" customWidth="1"/>
    <col min="9223" max="9223" width="14.140625" style="943" customWidth="1"/>
    <col min="9224" max="9238" width="6.85546875" style="943" customWidth="1"/>
    <col min="9239" max="9475" width="9.140625" style="943"/>
    <col min="9476" max="9476" width="3.7109375" style="943" customWidth="1"/>
    <col min="9477" max="9477" width="14.42578125" style="943" customWidth="1"/>
    <col min="9478" max="9478" width="3.7109375" style="943" customWidth="1"/>
    <col min="9479" max="9479" width="14.140625" style="943" customWidth="1"/>
    <col min="9480" max="9494" width="6.85546875" style="943" customWidth="1"/>
    <col min="9495" max="9731" width="9.140625" style="943"/>
    <col min="9732" max="9732" width="3.7109375" style="943" customWidth="1"/>
    <col min="9733" max="9733" width="14.42578125" style="943" customWidth="1"/>
    <col min="9734" max="9734" width="3.7109375" style="943" customWidth="1"/>
    <col min="9735" max="9735" width="14.140625" style="943" customWidth="1"/>
    <col min="9736" max="9750" width="6.85546875" style="943" customWidth="1"/>
    <col min="9751" max="9987" width="9.140625" style="943"/>
    <col min="9988" max="9988" width="3.7109375" style="943" customWidth="1"/>
    <col min="9989" max="9989" width="14.42578125" style="943" customWidth="1"/>
    <col min="9990" max="9990" width="3.7109375" style="943" customWidth="1"/>
    <col min="9991" max="9991" width="14.140625" style="943" customWidth="1"/>
    <col min="9992" max="10006" width="6.85546875" style="943" customWidth="1"/>
    <col min="10007" max="10243" width="9.140625" style="943"/>
    <col min="10244" max="10244" width="3.7109375" style="943" customWidth="1"/>
    <col min="10245" max="10245" width="14.42578125" style="943" customWidth="1"/>
    <col min="10246" max="10246" width="3.7109375" style="943" customWidth="1"/>
    <col min="10247" max="10247" width="14.140625" style="943" customWidth="1"/>
    <col min="10248" max="10262" width="6.85546875" style="943" customWidth="1"/>
    <col min="10263" max="10499" width="9.140625" style="943"/>
    <col min="10500" max="10500" width="3.7109375" style="943" customWidth="1"/>
    <col min="10501" max="10501" width="14.42578125" style="943" customWidth="1"/>
    <col min="10502" max="10502" width="3.7109375" style="943" customWidth="1"/>
    <col min="10503" max="10503" width="14.140625" style="943" customWidth="1"/>
    <col min="10504" max="10518" width="6.85546875" style="943" customWidth="1"/>
    <col min="10519" max="10755" width="9.140625" style="943"/>
    <col min="10756" max="10756" width="3.7109375" style="943" customWidth="1"/>
    <col min="10757" max="10757" width="14.42578125" style="943" customWidth="1"/>
    <col min="10758" max="10758" width="3.7109375" style="943" customWidth="1"/>
    <col min="10759" max="10759" width="14.140625" style="943" customWidth="1"/>
    <col min="10760" max="10774" width="6.85546875" style="943" customWidth="1"/>
    <col min="10775" max="11011" width="9.140625" style="943"/>
    <col min="11012" max="11012" width="3.7109375" style="943" customWidth="1"/>
    <col min="11013" max="11013" width="14.42578125" style="943" customWidth="1"/>
    <col min="11014" max="11014" width="3.7109375" style="943" customWidth="1"/>
    <col min="11015" max="11015" width="14.140625" style="943" customWidth="1"/>
    <col min="11016" max="11030" width="6.85546875" style="943" customWidth="1"/>
    <col min="11031" max="11267" width="9.140625" style="943"/>
    <col min="11268" max="11268" width="3.7109375" style="943" customWidth="1"/>
    <col min="11269" max="11269" width="14.42578125" style="943" customWidth="1"/>
    <col min="11270" max="11270" width="3.7109375" style="943" customWidth="1"/>
    <col min="11271" max="11271" width="14.140625" style="943" customWidth="1"/>
    <col min="11272" max="11286" width="6.85546875" style="943" customWidth="1"/>
    <col min="11287" max="11523" width="9.140625" style="943"/>
    <col min="11524" max="11524" width="3.7109375" style="943" customWidth="1"/>
    <col min="11525" max="11525" width="14.42578125" style="943" customWidth="1"/>
    <col min="11526" max="11526" width="3.7109375" style="943" customWidth="1"/>
    <col min="11527" max="11527" width="14.140625" style="943" customWidth="1"/>
    <col min="11528" max="11542" width="6.85546875" style="943" customWidth="1"/>
    <col min="11543" max="11779" width="9.140625" style="943"/>
    <col min="11780" max="11780" width="3.7109375" style="943" customWidth="1"/>
    <col min="11781" max="11781" width="14.42578125" style="943" customWidth="1"/>
    <col min="11782" max="11782" width="3.7109375" style="943" customWidth="1"/>
    <col min="11783" max="11783" width="14.140625" style="943" customWidth="1"/>
    <col min="11784" max="11798" width="6.85546875" style="943" customWidth="1"/>
    <col min="11799" max="12035" width="9.140625" style="943"/>
    <col min="12036" max="12036" width="3.7109375" style="943" customWidth="1"/>
    <col min="12037" max="12037" width="14.42578125" style="943" customWidth="1"/>
    <col min="12038" max="12038" width="3.7109375" style="943" customWidth="1"/>
    <col min="12039" max="12039" width="14.140625" style="943" customWidth="1"/>
    <col min="12040" max="12054" width="6.85546875" style="943" customWidth="1"/>
    <col min="12055" max="12291" width="9.140625" style="943"/>
    <col min="12292" max="12292" width="3.7109375" style="943" customWidth="1"/>
    <col min="12293" max="12293" width="14.42578125" style="943" customWidth="1"/>
    <col min="12294" max="12294" width="3.7109375" style="943" customWidth="1"/>
    <col min="12295" max="12295" width="14.140625" style="943" customWidth="1"/>
    <col min="12296" max="12310" width="6.85546875" style="943" customWidth="1"/>
    <col min="12311" max="12547" width="9.140625" style="943"/>
    <col min="12548" max="12548" width="3.7109375" style="943" customWidth="1"/>
    <col min="12549" max="12549" width="14.42578125" style="943" customWidth="1"/>
    <col min="12550" max="12550" width="3.7109375" style="943" customWidth="1"/>
    <col min="12551" max="12551" width="14.140625" style="943" customWidth="1"/>
    <col min="12552" max="12566" width="6.85546875" style="943" customWidth="1"/>
    <col min="12567" max="12803" width="9.140625" style="943"/>
    <col min="12804" max="12804" width="3.7109375" style="943" customWidth="1"/>
    <col min="12805" max="12805" width="14.42578125" style="943" customWidth="1"/>
    <col min="12806" max="12806" width="3.7109375" style="943" customWidth="1"/>
    <col min="12807" max="12807" width="14.140625" style="943" customWidth="1"/>
    <col min="12808" max="12822" width="6.85546875" style="943" customWidth="1"/>
    <col min="12823" max="13059" width="9.140625" style="943"/>
    <col min="13060" max="13060" width="3.7109375" style="943" customWidth="1"/>
    <col min="13061" max="13061" width="14.42578125" style="943" customWidth="1"/>
    <col min="13062" max="13062" width="3.7109375" style="943" customWidth="1"/>
    <col min="13063" max="13063" width="14.140625" style="943" customWidth="1"/>
    <col min="13064" max="13078" width="6.85546875" style="943" customWidth="1"/>
    <col min="13079" max="13315" width="9.140625" style="943"/>
    <col min="13316" max="13316" width="3.7109375" style="943" customWidth="1"/>
    <col min="13317" max="13317" width="14.42578125" style="943" customWidth="1"/>
    <col min="13318" max="13318" width="3.7109375" style="943" customWidth="1"/>
    <col min="13319" max="13319" width="14.140625" style="943" customWidth="1"/>
    <col min="13320" max="13334" width="6.85546875" style="943" customWidth="1"/>
    <col min="13335" max="13571" width="9.140625" style="943"/>
    <col min="13572" max="13572" width="3.7109375" style="943" customWidth="1"/>
    <col min="13573" max="13573" width="14.42578125" style="943" customWidth="1"/>
    <col min="13574" max="13574" width="3.7109375" style="943" customWidth="1"/>
    <col min="13575" max="13575" width="14.140625" style="943" customWidth="1"/>
    <col min="13576" max="13590" width="6.85546875" style="943" customWidth="1"/>
    <col min="13591" max="13827" width="9.140625" style="943"/>
    <col min="13828" max="13828" width="3.7109375" style="943" customWidth="1"/>
    <col min="13829" max="13829" width="14.42578125" style="943" customWidth="1"/>
    <col min="13830" max="13830" width="3.7109375" style="943" customWidth="1"/>
    <col min="13831" max="13831" width="14.140625" style="943" customWidth="1"/>
    <col min="13832" max="13846" width="6.85546875" style="943" customWidth="1"/>
    <col min="13847" max="14083" width="9.140625" style="943"/>
    <col min="14084" max="14084" width="3.7109375" style="943" customWidth="1"/>
    <col min="14085" max="14085" width="14.42578125" style="943" customWidth="1"/>
    <col min="14086" max="14086" width="3.7109375" style="943" customWidth="1"/>
    <col min="14087" max="14087" width="14.140625" style="943" customWidth="1"/>
    <col min="14088" max="14102" width="6.85546875" style="943" customWidth="1"/>
    <col min="14103" max="14339" width="9.140625" style="943"/>
    <col min="14340" max="14340" width="3.7109375" style="943" customWidth="1"/>
    <col min="14341" max="14341" width="14.42578125" style="943" customWidth="1"/>
    <col min="14342" max="14342" width="3.7109375" style="943" customWidth="1"/>
    <col min="14343" max="14343" width="14.140625" style="943" customWidth="1"/>
    <col min="14344" max="14358" width="6.85546875" style="943" customWidth="1"/>
    <col min="14359" max="14595" width="9.140625" style="943"/>
    <col min="14596" max="14596" width="3.7109375" style="943" customWidth="1"/>
    <col min="14597" max="14597" width="14.42578125" style="943" customWidth="1"/>
    <col min="14598" max="14598" width="3.7109375" style="943" customWidth="1"/>
    <col min="14599" max="14599" width="14.140625" style="943" customWidth="1"/>
    <col min="14600" max="14614" width="6.85546875" style="943" customWidth="1"/>
    <col min="14615" max="14851" width="9.140625" style="943"/>
    <col min="14852" max="14852" width="3.7109375" style="943" customWidth="1"/>
    <col min="14853" max="14853" width="14.42578125" style="943" customWidth="1"/>
    <col min="14854" max="14854" width="3.7109375" style="943" customWidth="1"/>
    <col min="14855" max="14855" width="14.140625" style="943" customWidth="1"/>
    <col min="14856" max="14870" width="6.85546875" style="943" customWidth="1"/>
    <col min="14871" max="15107" width="9.140625" style="943"/>
    <col min="15108" max="15108" width="3.7109375" style="943" customWidth="1"/>
    <col min="15109" max="15109" width="14.42578125" style="943" customWidth="1"/>
    <col min="15110" max="15110" width="3.7109375" style="943" customWidth="1"/>
    <col min="15111" max="15111" width="14.140625" style="943" customWidth="1"/>
    <col min="15112" max="15126" width="6.85546875" style="943" customWidth="1"/>
    <col min="15127" max="15363" width="9.140625" style="943"/>
    <col min="15364" max="15364" width="3.7109375" style="943" customWidth="1"/>
    <col min="15365" max="15365" width="14.42578125" style="943" customWidth="1"/>
    <col min="15366" max="15366" width="3.7109375" style="943" customWidth="1"/>
    <col min="15367" max="15367" width="14.140625" style="943" customWidth="1"/>
    <col min="15368" max="15382" width="6.85546875" style="943" customWidth="1"/>
    <col min="15383" max="15619" width="9.140625" style="943"/>
    <col min="15620" max="15620" width="3.7109375" style="943" customWidth="1"/>
    <col min="15621" max="15621" width="14.42578125" style="943" customWidth="1"/>
    <col min="15622" max="15622" width="3.7109375" style="943" customWidth="1"/>
    <col min="15623" max="15623" width="14.140625" style="943" customWidth="1"/>
    <col min="15624" max="15638" width="6.85546875" style="943" customWidth="1"/>
    <col min="15639" max="15875" width="9.140625" style="943"/>
    <col min="15876" max="15876" width="3.7109375" style="943" customWidth="1"/>
    <col min="15877" max="15877" width="14.42578125" style="943" customWidth="1"/>
    <col min="15878" max="15878" width="3.7109375" style="943" customWidth="1"/>
    <col min="15879" max="15879" width="14.140625" style="943" customWidth="1"/>
    <col min="15880" max="15894" width="6.85546875" style="943" customWidth="1"/>
    <col min="15895" max="16131" width="9.140625" style="943"/>
    <col min="16132" max="16132" width="3.7109375" style="943" customWidth="1"/>
    <col min="16133" max="16133" width="14.42578125" style="943" customWidth="1"/>
    <col min="16134" max="16134" width="3.7109375" style="943" customWidth="1"/>
    <col min="16135" max="16135" width="14.140625" style="943" customWidth="1"/>
    <col min="16136" max="16150" width="6.85546875" style="943" customWidth="1"/>
    <col min="16151" max="16384" width="9.140625" style="943"/>
  </cols>
  <sheetData>
    <row r="2" spans="1:27" ht="12" customHeight="1" x14ac:dyDescent="0.25">
      <c r="A2" s="1">
        <v>1</v>
      </c>
      <c r="B2" s="1" t="s">
        <v>931</v>
      </c>
      <c r="C2" s="1">
        <f>1+'HIV Prevalance '!C2</f>
        <v>38</v>
      </c>
      <c r="D2" s="4148" t="s">
        <v>932</v>
      </c>
      <c r="E2" s="4149"/>
      <c r="F2" s="4149"/>
      <c r="G2" s="4149"/>
      <c r="H2" s="4149"/>
      <c r="I2" s="4149"/>
      <c r="J2" s="4149"/>
      <c r="K2" s="4149"/>
      <c r="L2" s="4149"/>
      <c r="M2" s="4149"/>
      <c r="N2" s="4149"/>
      <c r="O2" s="4149"/>
      <c r="P2" s="4149"/>
      <c r="Q2" s="4149"/>
      <c r="R2" s="4149"/>
      <c r="S2" s="4149"/>
      <c r="T2" s="4149"/>
      <c r="U2" s="4149"/>
      <c r="V2" s="4150"/>
      <c r="W2" s="2238"/>
    </row>
    <row r="3" spans="1:27" ht="14.1" customHeight="1" x14ac:dyDescent="0.25">
      <c r="A3" s="1">
        <v>2</v>
      </c>
      <c r="B3" s="1" t="s">
        <v>933</v>
      </c>
      <c r="C3" s="1"/>
      <c r="D3" s="4156" t="s">
        <v>802</v>
      </c>
      <c r="E3" s="4157"/>
      <c r="F3" s="4157"/>
      <c r="G3" s="4157"/>
      <c r="H3" s="4157"/>
      <c r="I3" s="4157"/>
      <c r="J3" s="4157"/>
      <c r="K3" s="4157"/>
      <c r="L3" s="4157"/>
      <c r="M3" s="4157"/>
      <c r="N3" s="4157"/>
      <c r="O3" s="4157"/>
      <c r="P3" s="4157"/>
      <c r="Q3" s="4157"/>
      <c r="R3" s="4157"/>
      <c r="S3" s="4157"/>
      <c r="T3" s="4157"/>
      <c r="U3" s="4157"/>
      <c r="V3" s="4158"/>
      <c r="W3" s="2238"/>
    </row>
    <row r="4" spans="1:27" ht="14.25" customHeight="1" x14ac:dyDescent="0.25">
      <c r="A4" s="1">
        <v>3</v>
      </c>
      <c r="B4" s="1" t="s">
        <v>4</v>
      </c>
      <c r="C4" s="1"/>
      <c r="D4" s="4156" t="s">
        <v>803</v>
      </c>
      <c r="E4" s="4157"/>
      <c r="F4" s="4157"/>
      <c r="G4" s="4157"/>
      <c r="H4" s="4157"/>
      <c r="I4" s="4157"/>
      <c r="J4" s="4157"/>
      <c r="K4" s="4157"/>
      <c r="L4" s="4157"/>
      <c r="M4" s="4157"/>
      <c r="N4" s="4157"/>
      <c r="O4" s="4157"/>
      <c r="P4" s="4157"/>
      <c r="Q4" s="4157"/>
      <c r="R4" s="4157"/>
      <c r="S4" s="4157"/>
      <c r="T4" s="4157"/>
      <c r="U4" s="4157"/>
      <c r="V4" s="4158"/>
      <c r="W4" s="2238"/>
      <c r="X4" s="2239"/>
      <c r="Y4" s="2239"/>
      <c r="Z4" s="2239"/>
      <c r="AA4" s="2240"/>
    </row>
    <row r="5" spans="1:27" ht="14.25" customHeight="1" x14ac:dyDescent="0.25">
      <c r="A5" s="1">
        <v>4</v>
      </c>
      <c r="B5" s="1" t="s">
        <v>804</v>
      </c>
      <c r="C5" s="1"/>
      <c r="D5" s="4238" t="s">
        <v>934</v>
      </c>
      <c r="E5" s="4239"/>
      <c r="F5" s="4239"/>
      <c r="G5" s="4239"/>
      <c r="H5" s="4239"/>
      <c r="I5" s="4239"/>
      <c r="J5" s="4239"/>
      <c r="K5" s="4239"/>
      <c r="L5" s="4239"/>
      <c r="M5" s="4239"/>
      <c r="N5" s="4239"/>
      <c r="O5" s="4239"/>
      <c r="P5" s="4239"/>
      <c r="Q5" s="4239"/>
      <c r="R5" s="4239"/>
      <c r="S5" s="4239"/>
      <c r="T5" s="4239"/>
      <c r="U5" s="4239"/>
      <c r="V5" s="4240"/>
      <c r="W5" s="2238"/>
      <c r="X5" s="2083"/>
      <c r="Y5" s="2083"/>
      <c r="Z5" s="2083"/>
      <c r="AA5" s="2083"/>
    </row>
    <row r="6" spans="1:27" x14ac:dyDescent="0.25">
      <c r="A6" s="943"/>
      <c r="B6" s="943"/>
      <c r="C6" s="12"/>
      <c r="W6" s="2238"/>
    </row>
    <row r="7" spans="1:27" s="11" customFormat="1" ht="12.75" x14ac:dyDescent="0.2">
      <c r="A7" s="1">
        <v>5</v>
      </c>
      <c r="B7" s="12" t="s">
        <v>5</v>
      </c>
      <c r="C7" s="6"/>
      <c r="D7" s="1405" t="s">
        <v>40</v>
      </c>
      <c r="E7" s="1405" t="s">
        <v>935</v>
      </c>
      <c r="F7" s="1405"/>
      <c r="G7" s="1405"/>
      <c r="H7" s="1405"/>
      <c r="I7" s="1405"/>
      <c r="J7" s="1405"/>
      <c r="K7" s="1405"/>
      <c r="L7" s="1405"/>
      <c r="M7" s="17"/>
      <c r="N7" s="17"/>
      <c r="O7" s="17"/>
      <c r="P7" s="17"/>
      <c r="Q7" s="17"/>
      <c r="R7" s="17"/>
      <c r="S7" s="17"/>
      <c r="T7" s="17"/>
      <c r="U7" s="17"/>
      <c r="V7" s="17"/>
    </row>
    <row r="8" spans="1:27" s="11" customFormat="1" ht="12.75" x14ac:dyDescent="0.25">
      <c r="A8" s="5"/>
      <c r="B8" s="6"/>
      <c r="C8" s="6"/>
      <c r="D8" s="19"/>
      <c r="E8" s="2093">
        <v>2005</v>
      </c>
      <c r="F8" s="2093">
        <v>2006</v>
      </c>
      <c r="G8" s="2093">
        <v>2007</v>
      </c>
      <c r="H8" s="1696">
        <v>2008</v>
      </c>
      <c r="I8" s="1696">
        <v>2009</v>
      </c>
      <c r="J8" s="1696">
        <v>2010</v>
      </c>
      <c r="K8" s="1696">
        <v>2011</v>
      </c>
      <c r="L8" s="1696">
        <v>2012</v>
      </c>
      <c r="M8" s="1696">
        <v>2013</v>
      </c>
      <c r="N8" s="1696">
        <v>2014</v>
      </c>
      <c r="O8" s="1696">
        <v>2015</v>
      </c>
      <c r="P8" s="1697">
        <v>2016</v>
      </c>
      <c r="Q8" s="1697">
        <v>2017</v>
      </c>
      <c r="S8" s="2241"/>
      <c r="T8" s="2241"/>
      <c r="U8" s="2241"/>
      <c r="V8" s="2241"/>
      <c r="W8" s="2241"/>
    </row>
    <row r="9" spans="1:27" ht="23.25" x14ac:dyDescent="0.25">
      <c r="D9" s="2242" t="s">
        <v>936</v>
      </c>
      <c r="E9" s="2243">
        <v>113375</v>
      </c>
      <c r="F9" s="2243">
        <v>173705</v>
      </c>
      <c r="G9" s="2243">
        <v>318447</v>
      </c>
      <c r="H9" s="2243">
        <v>532693</v>
      </c>
      <c r="I9" s="2243">
        <v>695293</v>
      </c>
      <c r="J9" s="2243">
        <v>1204269</v>
      </c>
      <c r="K9" s="2243">
        <v>1308602</v>
      </c>
      <c r="L9" s="2243">
        <v>2029233</v>
      </c>
      <c r="M9" s="2243">
        <v>2469236</v>
      </c>
      <c r="N9" s="2243">
        <v>2761519</v>
      </c>
      <c r="O9" s="2243">
        <v>3182343</v>
      </c>
      <c r="P9" s="2244">
        <v>3499630</v>
      </c>
      <c r="Q9" s="2244">
        <v>3923464</v>
      </c>
      <c r="S9" s="2245"/>
      <c r="T9" s="2246"/>
      <c r="U9" s="2246"/>
      <c r="V9" s="2246"/>
      <c r="W9" s="2246"/>
    </row>
    <row r="10" spans="1:27" ht="23.25" x14ac:dyDescent="0.25">
      <c r="D10" s="2242" t="s">
        <v>937</v>
      </c>
      <c r="E10" s="2247">
        <v>11959</v>
      </c>
      <c r="F10" s="2247">
        <v>22369</v>
      </c>
      <c r="G10" s="2247">
        <v>37694</v>
      </c>
      <c r="H10" s="2247">
        <v>59523</v>
      </c>
      <c r="I10" s="2247">
        <v>85630</v>
      </c>
      <c r="J10" s="2247">
        <v>113759</v>
      </c>
      <c r="K10" s="2247">
        <v>98188</v>
      </c>
      <c r="L10" s="2247">
        <v>142023</v>
      </c>
      <c r="M10" s="2247">
        <v>156816</v>
      </c>
      <c r="N10" s="2247">
        <v>159707</v>
      </c>
      <c r="O10" s="2247">
        <v>165816</v>
      </c>
      <c r="P10" s="2248">
        <v>169711</v>
      </c>
      <c r="Q10" s="2248">
        <v>162764</v>
      </c>
      <c r="S10" s="2245"/>
      <c r="T10" s="2246"/>
      <c r="U10" s="2246"/>
      <c r="V10" s="2246"/>
      <c r="W10" s="2246"/>
    </row>
    <row r="11" spans="1:27" ht="21.75" customHeight="1" x14ac:dyDescent="0.25">
      <c r="D11" s="2249" t="s">
        <v>938</v>
      </c>
      <c r="E11" s="2250">
        <f>SUM(E9:E10)</f>
        <v>125334</v>
      </c>
      <c r="F11" s="2250">
        <f>SUM(F9:F10)</f>
        <v>196074</v>
      </c>
      <c r="G11" s="2250">
        <f t="shared" ref="G11:Q11" si="0">SUM(G9:G10)</f>
        <v>356141</v>
      </c>
      <c r="H11" s="2250">
        <f t="shared" si="0"/>
        <v>592216</v>
      </c>
      <c r="I11" s="2250">
        <f t="shared" si="0"/>
        <v>780923</v>
      </c>
      <c r="J11" s="2250">
        <f t="shared" si="0"/>
        <v>1318028</v>
      </c>
      <c r="K11" s="2250">
        <f t="shared" si="0"/>
        <v>1406790</v>
      </c>
      <c r="L11" s="2250">
        <f t="shared" si="0"/>
        <v>2171256</v>
      </c>
      <c r="M11" s="2250">
        <f t="shared" si="0"/>
        <v>2626052</v>
      </c>
      <c r="N11" s="2250">
        <f t="shared" si="0"/>
        <v>2921226</v>
      </c>
      <c r="O11" s="2250">
        <f t="shared" si="0"/>
        <v>3348159</v>
      </c>
      <c r="P11" s="2251">
        <f t="shared" si="0"/>
        <v>3669341</v>
      </c>
      <c r="Q11" s="2251">
        <f t="shared" si="0"/>
        <v>4086228</v>
      </c>
      <c r="S11" s="2252"/>
      <c r="T11" s="2253"/>
      <c r="U11" s="2253"/>
      <c r="V11" s="2253"/>
      <c r="W11" s="2253"/>
    </row>
    <row r="12" spans="1:27" ht="21.75" customHeight="1" x14ac:dyDescent="0.25">
      <c r="D12" s="1889"/>
      <c r="E12" s="2254"/>
      <c r="F12" s="2254"/>
      <c r="G12" s="2254"/>
      <c r="H12" s="2254"/>
      <c r="I12" s="2254"/>
      <c r="J12" s="2254"/>
      <c r="K12" s="2254"/>
      <c r="L12" s="2254"/>
      <c r="M12" s="2254"/>
      <c r="N12" s="2254"/>
      <c r="O12" s="2254"/>
      <c r="P12" s="2254"/>
      <c r="Q12" s="2254"/>
      <c r="S12" s="2252"/>
      <c r="T12" s="2253"/>
      <c r="U12" s="2253"/>
      <c r="V12" s="2253"/>
      <c r="W12" s="2253"/>
    </row>
    <row r="13" spans="1:27" ht="14.25" x14ac:dyDescent="0.2">
      <c r="A13" s="1"/>
      <c r="B13" s="1"/>
      <c r="C13" s="1"/>
      <c r="E13" s="2255"/>
    </row>
    <row r="14" spans="1:27" ht="14.25" x14ac:dyDescent="0.2">
      <c r="A14" s="1">
        <v>6</v>
      </c>
      <c r="B14" s="12" t="s">
        <v>90</v>
      </c>
    </row>
    <row r="17" spans="1:25" x14ac:dyDescent="0.2">
      <c r="B17" s="2073"/>
      <c r="C17" s="2073"/>
    </row>
    <row r="20" spans="1:25" x14ac:dyDescent="0.2">
      <c r="Y20" s="2256"/>
    </row>
    <row r="23" spans="1:25" x14ac:dyDescent="0.2">
      <c r="Y23" s="2257"/>
    </row>
    <row r="25" spans="1:25" x14ac:dyDescent="0.2">
      <c r="X25" s="2258"/>
    </row>
    <row r="27" spans="1:25" ht="65.25" customHeight="1" x14ac:dyDescent="0.2"/>
    <row r="29" spans="1:25" x14ac:dyDescent="0.2">
      <c r="A29" s="2035">
        <v>7</v>
      </c>
      <c r="B29" s="1" t="s">
        <v>29</v>
      </c>
      <c r="D29" s="4140" t="s">
        <v>939</v>
      </c>
      <c r="E29" s="4141"/>
      <c r="F29" s="4141"/>
      <c r="G29" s="4141"/>
      <c r="H29" s="4141"/>
      <c r="I29" s="4141"/>
      <c r="J29" s="4141"/>
      <c r="K29" s="4141"/>
      <c r="L29" s="4141"/>
      <c r="M29" s="4141"/>
      <c r="N29" s="4141"/>
      <c r="O29" s="4141"/>
      <c r="P29" s="4141"/>
      <c r="Q29" s="4141"/>
      <c r="R29" s="4141"/>
      <c r="S29" s="4141"/>
      <c r="T29" s="4141"/>
      <c r="U29" s="4141"/>
      <c r="V29" s="4142"/>
    </row>
    <row r="30" spans="1:25" ht="41.25" customHeight="1" x14ac:dyDescent="0.2">
      <c r="A30" s="1">
        <v>8</v>
      </c>
      <c r="B30" s="1" t="s">
        <v>32</v>
      </c>
      <c r="C30" s="1"/>
      <c r="D30" s="4235" t="s">
        <v>940</v>
      </c>
      <c r="E30" s="4236"/>
      <c r="F30" s="4236"/>
      <c r="G30" s="4236"/>
      <c r="H30" s="4236"/>
      <c r="I30" s="4236"/>
      <c r="J30" s="4236"/>
      <c r="K30" s="4236"/>
      <c r="L30" s="4236"/>
      <c r="M30" s="4236"/>
      <c r="N30" s="4236"/>
      <c r="O30" s="4236"/>
      <c r="P30" s="4236"/>
      <c r="Q30" s="4236"/>
      <c r="R30" s="4236"/>
      <c r="S30" s="4236"/>
      <c r="T30" s="4236"/>
      <c r="U30" s="4236"/>
      <c r="V30" s="4237"/>
    </row>
    <row r="31" spans="1:25" ht="14.25" customHeight="1" x14ac:dyDescent="0.2">
      <c r="A31" s="40">
        <v>9</v>
      </c>
      <c r="B31" s="40" t="s">
        <v>31</v>
      </c>
      <c r="C31" s="40"/>
      <c r="D31" s="4235" t="s">
        <v>872</v>
      </c>
      <c r="E31" s="4236"/>
      <c r="F31" s="4236"/>
      <c r="G31" s="4236"/>
      <c r="H31" s="4236"/>
      <c r="I31" s="4236"/>
      <c r="J31" s="4236"/>
      <c r="K31" s="4236"/>
      <c r="L31" s="4236"/>
      <c r="M31" s="4236"/>
      <c r="N31" s="4236"/>
      <c r="O31" s="4236"/>
      <c r="P31" s="4236"/>
      <c r="Q31" s="4236"/>
      <c r="R31" s="4236"/>
      <c r="S31" s="4236"/>
      <c r="T31" s="4236"/>
      <c r="U31" s="4236"/>
      <c r="V31" s="4237"/>
    </row>
    <row r="32" spans="1:25" ht="27.75" customHeight="1" x14ac:dyDescent="0.2">
      <c r="A32" s="40">
        <v>10</v>
      </c>
      <c r="B32" s="1" t="s">
        <v>157</v>
      </c>
      <c r="C32" s="1"/>
      <c r="D32" s="4140" t="s">
        <v>941</v>
      </c>
      <c r="E32" s="4141"/>
      <c r="F32" s="4141"/>
      <c r="G32" s="4141"/>
      <c r="H32" s="4141"/>
      <c r="I32" s="4141"/>
      <c r="J32" s="4141"/>
      <c r="K32" s="4141"/>
      <c r="L32" s="4141"/>
      <c r="M32" s="4141"/>
      <c r="N32" s="4141"/>
      <c r="O32" s="4141"/>
      <c r="P32" s="4141"/>
      <c r="Q32" s="4141"/>
      <c r="R32" s="4141"/>
      <c r="S32" s="4141"/>
      <c r="T32" s="4141"/>
      <c r="U32" s="4141"/>
      <c r="V32" s="4142"/>
    </row>
    <row r="33" spans="1:32" ht="14.25" x14ac:dyDescent="0.2">
      <c r="A33" s="943"/>
    </row>
    <row r="34" spans="1:32" s="2041" customFormat="1" ht="14.25" x14ac:dyDescent="0.2">
      <c r="B34" s="2259"/>
      <c r="C34" s="2259"/>
    </row>
    <row r="35" spans="1:32" s="2041" customFormat="1" x14ac:dyDescent="0.2">
      <c r="A35" s="2260"/>
      <c r="B35" s="2259"/>
      <c r="C35" s="2259"/>
    </row>
    <row r="36" spans="1:32" s="2041" customFormat="1" ht="14.25" x14ac:dyDescent="0.2">
      <c r="B36" s="1322"/>
      <c r="C36" s="1322"/>
      <c r="D36" s="1322"/>
      <c r="E36" s="1322"/>
      <c r="F36" s="1322"/>
      <c r="G36" s="1322"/>
      <c r="H36" s="1322"/>
      <c r="I36" s="1322"/>
      <c r="J36" s="1322"/>
      <c r="K36" s="1322"/>
      <c r="L36" s="1322"/>
      <c r="M36" s="1322"/>
      <c r="N36" s="1322"/>
      <c r="O36" s="1322"/>
      <c r="P36" s="1322"/>
      <c r="Q36" s="1322"/>
      <c r="R36" s="1322"/>
      <c r="S36" s="1322"/>
      <c r="T36" s="1322"/>
      <c r="U36" s="1322"/>
      <c r="V36" s="1322"/>
      <c r="W36" s="1322"/>
      <c r="X36" s="1322"/>
      <c r="Y36" s="1322"/>
      <c r="Z36" s="1322"/>
      <c r="AA36" s="1322"/>
      <c r="AB36" s="1322"/>
      <c r="AC36" s="1322"/>
      <c r="AD36" s="1322"/>
      <c r="AE36" s="1322"/>
      <c r="AF36" s="1322"/>
    </row>
    <row r="37" spans="1:32" s="2041" customFormat="1" ht="14.25" x14ac:dyDescent="0.2">
      <c r="B37" s="1462"/>
      <c r="C37" s="1322"/>
      <c r="D37" s="1322"/>
      <c r="E37" s="1322"/>
      <c r="F37" s="1322"/>
      <c r="G37" s="1462"/>
      <c r="H37" s="1322"/>
      <c r="I37" s="1322"/>
      <c r="J37" s="1322"/>
      <c r="K37" s="1322"/>
      <c r="L37" s="1322"/>
      <c r="M37" s="1322"/>
      <c r="N37" s="1322"/>
      <c r="O37" s="1322"/>
      <c r="P37" s="1322"/>
      <c r="Q37" s="1322"/>
      <c r="R37" s="1322"/>
      <c r="S37" s="1322"/>
      <c r="T37" s="1322"/>
      <c r="U37" s="1322"/>
      <c r="V37" s="1322"/>
      <c r="W37" s="1322"/>
      <c r="X37" s="1322"/>
      <c r="Y37" s="1322"/>
      <c r="Z37" s="1322"/>
      <c r="AA37" s="1322"/>
      <c r="AB37" s="1322"/>
      <c r="AC37" s="1322"/>
      <c r="AD37" s="1322"/>
      <c r="AE37" s="1322"/>
      <c r="AF37" s="1322"/>
    </row>
    <row r="38" spans="1:32" s="2041" customFormat="1" ht="14.25" x14ac:dyDescent="0.2">
      <c r="B38" s="1322"/>
      <c r="C38" s="1322"/>
      <c r="D38" s="1322"/>
      <c r="E38" s="1322"/>
      <c r="F38" s="1322"/>
      <c r="G38" s="1322"/>
      <c r="H38" s="1322"/>
      <c r="I38" s="1322"/>
      <c r="J38" s="1322"/>
      <c r="K38" s="1322"/>
      <c r="L38" s="1322"/>
      <c r="M38" s="1322"/>
      <c r="N38" s="1322"/>
      <c r="O38" s="1322"/>
      <c r="P38" s="1322"/>
      <c r="Q38" s="1322"/>
      <c r="R38" s="1322"/>
      <c r="S38" s="1322"/>
      <c r="T38" s="1322"/>
      <c r="U38" s="1322"/>
      <c r="V38" s="1322"/>
      <c r="W38" s="1322"/>
      <c r="X38" s="1322"/>
      <c r="Y38" s="1322"/>
      <c r="Z38" s="1322"/>
      <c r="AA38" s="1322"/>
      <c r="AB38" s="1322"/>
      <c r="AC38" s="1322"/>
      <c r="AD38" s="1322"/>
      <c r="AE38" s="1322"/>
      <c r="AF38" s="1322"/>
    </row>
    <row r="39" spans="1:32" s="2041" customFormat="1" ht="14.25" x14ac:dyDescent="0.2">
      <c r="B39" s="2261"/>
      <c r="C39" s="4261"/>
      <c r="D39" s="4261"/>
      <c r="E39" s="4261"/>
      <c r="F39" s="4261"/>
      <c r="G39" s="4261"/>
      <c r="H39" s="4261"/>
      <c r="I39" s="4261"/>
      <c r="J39" s="4261"/>
      <c r="K39" s="4261"/>
      <c r="L39" s="4261"/>
      <c r="M39" s="4261"/>
      <c r="N39" s="4261"/>
      <c r="O39" s="4261"/>
      <c r="P39" s="4261"/>
      <c r="Q39" s="4261"/>
      <c r="R39" s="4261"/>
      <c r="S39" s="4261"/>
      <c r="T39" s="4261"/>
      <c r="U39" s="4261"/>
      <c r="V39" s="4261"/>
      <c r="W39" s="4261"/>
      <c r="X39" s="4261"/>
      <c r="Y39" s="4261"/>
      <c r="Z39" s="4261"/>
      <c r="AA39" s="4261"/>
      <c r="AB39" s="4261"/>
      <c r="AC39" s="2262"/>
      <c r="AD39" s="2262"/>
      <c r="AE39" s="2262"/>
    </row>
    <row r="40" spans="1:32" s="2041" customFormat="1" ht="14.25" x14ac:dyDescent="0.2">
      <c r="B40" s="2262"/>
      <c r="C40" s="2263"/>
      <c r="D40" s="2263"/>
      <c r="E40" s="2263"/>
      <c r="F40" s="2263"/>
      <c r="G40" s="2263"/>
      <c r="H40" s="2263"/>
      <c r="I40" s="2263"/>
      <c r="J40" s="2263"/>
      <c r="K40" s="2263"/>
      <c r="L40" s="2263"/>
      <c r="M40" s="2263"/>
      <c r="N40" s="2263"/>
      <c r="O40" s="2263"/>
      <c r="P40" s="2263"/>
      <c r="Q40" s="2263"/>
      <c r="R40" s="2263"/>
      <c r="S40" s="2263"/>
      <c r="T40" s="2263"/>
      <c r="U40" s="2264"/>
      <c r="V40" s="2263"/>
      <c r="W40" s="2263"/>
      <c r="X40" s="2263"/>
      <c r="Y40" s="2263"/>
      <c r="Z40" s="2263"/>
      <c r="AA40" s="2263"/>
      <c r="AB40" s="2263"/>
      <c r="AC40" s="2262"/>
      <c r="AD40" s="2262"/>
      <c r="AE40" s="2265"/>
    </row>
    <row r="41" spans="1:32" s="2041" customFormat="1" ht="14.25" x14ac:dyDescent="0.2">
      <c r="B41" s="2262"/>
      <c r="C41" s="1450"/>
      <c r="D41" s="1450"/>
      <c r="E41" s="1450"/>
      <c r="F41" s="1450"/>
      <c r="G41" s="1450"/>
      <c r="H41" s="1450"/>
      <c r="I41" s="1450"/>
      <c r="J41" s="1450"/>
      <c r="K41" s="1322"/>
      <c r="L41" s="1322"/>
      <c r="M41" s="1450"/>
      <c r="N41" s="1450"/>
      <c r="O41" s="1450"/>
      <c r="P41" s="1450"/>
      <c r="Q41" s="1450"/>
      <c r="R41" s="1450"/>
      <c r="S41" s="1450"/>
      <c r="T41" s="1450"/>
      <c r="U41" s="1450"/>
      <c r="V41" s="1450"/>
      <c r="W41" s="1322"/>
      <c r="X41" s="1322"/>
      <c r="Y41" s="1322"/>
      <c r="Z41" s="1322"/>
      <c r="AA41" s="1322"/>
      <c r="AB41" s="1322"/>
      <c r="AC41" s="1450"/>
      <c r="AD41" s="1450"/>
      <c r="AE41" s="1450"/>
    </row>
    <row r="42" spans="1:32" s="2041" customFormat="1" ht="14.25" x14ac:dyDescent="0.2">
      <c r="B42" s="2262"/>
      <c r="C42" s="1450"/>
      <c r="D42" s="1450"/>
      <c r="E42" s="1450"/>
      <c r="F42" s="1450"/>
      <c r="G42" s="1450"/>
      <c r="H42" s="1450"/>
      <c r="I42" s="1450"/>
      <c r="J42" s="1450"/>
      <c r="K42" s="1322"/>
      <c r="L42" s="1322"/>
      <c r="M42" s="1450"/>
      <c r="N42" s="1450"/>
      <c r="O42" s="1450"/>
      <c r="P42" s="1450"/>
      <c r="Q42" s="1450"/>
      <c r="R42" s="1450"/>
      <c r="S42" s="1450"/>
      <c r="T42" s="1450"/>
      <c r="U42" s="1450"/>
      <c r="V42" s="1450"/>
      <c r="W42" s="1322"/>
      <c r="X42" s="1322"/>
      <c r="Y42" s="1322"/>
      <c r="Z42" s="1322"/>
      <c r="AA42" s="1462"/>
      <c r="AB42" s="1322"/>
      <c r="AC42" s="1450"/>
      <c r="AD42" s="1450"/>
      <c r="AE42" s="1450"/>
    </row>
    <row r="43" spans="1:32" s="2041" customFormat="1" ht="14.25" x14ac:dyDescent="0.2">
      <c r="B43" s="2262"/>
      <c r="C43" s="1450"/>
      <c r="D43" s="1450"/>
      <c r="E43" s="1450"/>
      <c r="F43" s="1450"/>
      <c r="G43" s="1450"/>
      <c r="H43" s="1450"/>
      <c r="I43" s="1450"/>
      <c r="J43" s="1450"/>
      <c r="K43" s="1322"/>
      <c r="L43" s="1322"/>
      <c r="M43" s="1450"/>
      <c r="N43" s="1450"/>
      <c r="O43" s="1450"/>
      <c r="P43" s="1450"/>
      <c r="Q43" s="1450"/>
      <c r="R43" s="1450"/>
      <c r="S43" s="1450"/>
      <c r="T43" s="1450"/>
      <c r="U43" s="1450"/>
      <c r="V43" s="1450"/>
      <c r="W43" s="1322"/>
      <c r="X43" s="1322"/>
      <c r="Y43" s="1322"/>
      <c r="Z43" s="1322"/>
      <c r="AA43" s="1462"/>
      <c r="AB43" s="1322"/>
      <c r="AC43" s="1450"/>
      <c r="AD43" s="1450"/>
      <c r="AE43" s="1450"/>
    </row>
    <row r="44" spans="1:32" s="2041" customFormat="1" ht="14.25" x14ac:dyDescent="0.2">
      <c r="B44" s="2262"/>
      <c r="C44" s="1322"/>
      <c r="D44" s="1322"/>
      <c r="E44" s="1322"/>
      <c r="F44" s="1322"/>
      <c r="G44" s="1322"/>
      <c r="H44" s="1322"/>
      <c r="I44" s="1322"/>
      <c r="J44" s="1322"/>
      <c r="K44" s="1322"/>
      <c r="L44" s="1322"/>
      <c r="M44" s="1322"/>
      <c r="N44" s="1322"/>
      <c r="O44" s="1450"/>
      <c r="P44" s="1450"/>
      <c r="Q44" s="1450"/>
      <c r="R44" s="1450"/>
      <c r="S44" s="1322"/>
      <c r="T44" s="1322"/>
      <c r="U44" s="1322"/>
      <c r="V44" s="1450"/>
      <c r="W44" s="1322"/>
      <c r="X44" s="1322"/>
      <c r="Y44" s="1322"/>
      <c r="Z44" s="1322"/>
      <c r="AA44" s="1462"/>
      <c r="AB44" s="1322"/>
      <c r="AC44" s="1450"/>
      <c r="AD44" s="1450"/>
      <c r="AE44" s="1450"/>
    </row>
    <row r="45" spans="1:32" s="2041" customFormat="1" ht="14.25" x14ac:dyDescent="0.2">
      <c r="B45" s="2262"/>
      <c r="C45" s="1450"/>
      <c r="D45" s="1450"/>
      <c r="E45" s="1450"/>
      <c r="F45" s="1450"/>
      <c r="G45" s="1450"/>
      <c r="H45" s="1450"/>
      <c r="I45" s="1450"/>
      <c r="J45" s="1450"/>
      <c r="K45" s="1322"/>
      <c r="L45" s="1322"/>
      <c r="M45" s="1450"/>
      <c r="N45" s="1450"/>
      <c r="O45" s="1450"/>
      <c r="P45" s="1450"/>
      <c r="Q45" s="1450"/>
      <c r="R45" s="1450"/>
      <c r="S45" s="1450"/>
      <c r="T45" s="1450"/>
      <c r="U45" s="1450"/>
      <c r="V45" s="1450"/>
      <c r="W45" s="1322"/>
      <c r="X45" s="1322"/>
      <c r="Y45" s="1322"/>
      <c r="Z45" s="1322"/>
      <c r="AA45" s="1462"/>
      <c r="AB45" s="1322"/>
      <c r="AC45" s="1462"/>
      <c r="AD45" s="1450"/>
      <c r="AE45" s="1450"/>
    </row>
    <row r="46" spans="1:32" s="2041" customFormat="1" ht="14.25" x14ac:dyDescent="0.2">
      <c r="B46" s="2262"/>
      <c r="C46" s="1450"/>
      <c r="D46" s="1450"/>
      <c r="E46" s="1450"/>
      <c r="F46" s="1450"/>
      <c r="G46" s="1450"/>
      <c r="H46" s="1450"/>
      <c r="I46" s="1450"/>
      <c r="J46" s="1450"/>
      <c r="K46" s="1322"/>
      <c r="L46" s="1322"/>
      <c r="M46" s="1450"/>
      <c r="N46" s="1450"/>
      <c r="O46" s="1450"/>
      <c r="P46" s="1450"/>
      <c r="Q46" s="1450"/>
      <c r="R46" s="1450"/>
      <c r="S46" s="1450"/>
      <c r="T46" s="1450"/>
      <c r="U46" s="1450"/>
      <c r="V46" s="1450"/>
      <c r="W46" s="1322"/>
      <c r="X46" s="1322"/>
      <c r="Y46" s="1322"/>
      <c r="Z46" s="1322"/>
      <c r="AA46" s="1322"/>
      <c r="AB46" s="1322"/>
      <c r="AC46" s="1462"/>
      <c r="AD46" s="1450"/>
      <c r="AE46" s="1450"/>
    </row>
    <row r="47" spans="1:32" s="2041" customFormat="1" ht="14.25" x14ac:dyDescent="0.2">
      <c r="B47" s="2262"/>
      <c r="C47" s="1450"/>
      <c r="D47" s="1450"/>
      <c r="E47" s="1450"/>
      <c r="F47" s="1450"/>
      <c r="G47" s="1450"/>
      <c r="H47" s="1450"/>
      <c r="I47" s="1450"/>
      <c r="J47" s="1450"/>
      <c r="K47" s="1322"/>
      <c r="L47" s="1322"/>
      <c r="M47" s="1450"/>
      <c r="N47" s="1450"/>
      <c r="O47" s="1450"/>
      <c r="P47" s="1450"/>
      <c r="Q47" s="1450"/>
      <c r="R47" s="1450"/>
      <c r="S47" s="1450"/>
      <c r="T47" s="1450"/>
      <c r="U47" s="1450"/>
      <c r="V47" s="1450"/>
      <c r="W47" s="1450"/>
      <c r="X47" s="1450"/>
      <c r="Y47" s="1450"/>
      <c r="Z47" s="1450"/>
      <c r="AA47" s="1462"/>
      <c r="AB47" s="1450"/>
      <c r="AC47" s="1462"/>
      <c r="AD47" s="1450"/>
      <c r="AE47" s="1450"/>
    </row>
    <row r="48" spans="1:32" s="2041" customFormat="1" ht="14.25" x14ac:dyDescent="0.2">
      <c r="B48" s="2262"/>
      <c r="C48" s="1450"/>
      <c r="D48" s="1450"/>
      <c r="E48" s="1450"/>
      <c r="F48" s="1450"/>
      <c r="G48" s="1450"/>
      <c r="H48" s="1450"/>
      <c r="I48" s="1450"/>
      <c r="J48" s="1450"/>
      <c r="K48" s="1322"/>
      <c r="L48" s="1322"/>
      <c r="M48" s="1450"/>
      <c r="N48" s="1450"/>
      <c r="O48" s="1450"/>
      <c r="P48" s="1450"/>
      <c r="Q48" s="1450"/>
      <c r="R48" s="1450"/>
      <c r="S48" s="1450"/>
      <c r="T48" s="1450"/>
      <c r="U48" s="1450"/>
      <c r="V48" s="1450"/>
      <c r="W48" s="1450"/>
      <c r="X48" s="1450"/>
      <c r="Y48" s="1450"/>
      <c r="Z48" s="1450"/>
      <c r="AA48" s="1450"/>
      <c r="AB48" s="1450"/>
      <c r="AC48" s="1450"/>
      <c r="AD48" s="1450"/>
      <c r="AE48" s="1450"/>
    </row>
    <row r="49" spans="1:32" s="2041" customFormat="1" ht="14.25" x14ac:dyDescent="0.2">
      <c r="B49" s="2262"/>
      <c r="C49" s="1450"/>
      <c r="D49" s="1450"/>
      <c r="E49" s="1450"/>
      <c r="F49" s="1450"/>
      <c r="G49" s="1450"/>
      <c r="H49" s="1450"/>
      <c r="I49" s="1450"/>
      <c r="J49" s="1450"/>
      <c r="K49" s="1450"/>
      <c r="L49" s="1450"/>
      <c r="M49" s="1450"/>
      <c r="N49" s="1450"/>
      <c r="O49" s="1450"/>
      <c r="P49" s="1450"/>
      <c r="Q49" s="1450"/>
      <c r="R49" s="1450"/>
      <c r="S49" s="1450"/>
      <c r="T49" s="1450"/>
      <c r="U49" s="1450"/>
      <c r="V49" s="1450"/>
      <c r="W49" s="1450"/>
      <c r="X49" s="1450"/>
      <c r="Y49" s="1450"/>
      <c r="Z49" s="1450"/>
      <c r="AA49" s="1450"/>
      <c r="AB49" s="1450"/>
      <c r="AC49" s="1450"/>
      <c r="AD49" s="1450"/>
      <c r="AE49" s="1450"/>
    </row>
    <row r="50" spans="1:32" s="2041" customFormat="1" x14ac:dyDescent="0.2">
      <c r="A50" s="2260"/>
      <c r="B50" s="2259"/>
      <c r="C50" s="2259"/>
    </row>
    <row r="51" spans="1:32" s="2041" customFormat="1" x14ac:dyDescent="0.25">
      <c r="B51" s="2266"/>
      <c r="C51" s="2266"/>
      <c r="D51" s="2266"/>
      <c r="E51" s="2266"/>
      <c r="F51" s="2267"/>
      <c r="G51" s="2267"/>
      <c r="H51" s="2267"/>
      <c r="I51" s="2267"/>
      <c r="J51" s="2267"/>
      <c r="K51" s="2267"/>
      <c r="L51" s="2267"/>
      <c r="M51" s="2267"/>
      <c r="N51" s="2267"/>
      <c r="O51" s="2267"/>
      <c r="P51" s="2267"/>
      <c r="Q51" s="2267"/>
      <c r="R51" s="2267"/>
      <c r="S51" s="2267"/>
      <c r="T51" s="2267"/>
      <c r="U51" s="2267"/>
      <c r="V51" s="2267"/>
      <c r="W51" s="2267"/>
      <c r="X51" s="2267"/>
      <c r="Y51" s="2267"/>
      <c r="Z51" s="2267"/>
      <c r="AA51" s="2267"/>
      <c r="AB51" s="2267"/>
      <c r="AC51" s="2267"/>
      <c r="AD51" s="2267"/>
      <c r="AE51" s="2267"/>
      <c r="AF51" s="2267"/>
    </row>
    <row r="52" spans="1:32" s="2041" customFormat="1" ht="14.25" x14ac:dyDescent="0.2">
      <c r="B52" s="1462"/>
      <c r="C52" s="2268"/>
      <c r="D52" s="2268"/>
      <c r="E52" s="2268"/>
      <c r="F52" s="2268"/>
      <c r="G52" s="2268"/>
      <c r="H52" s="2268"/>
      <c r="I52" s="2268"/>
      <c r="J52" s="2268"/>
      <c r="K52" s="2268"/>
      <c r="L52" s="2268"/>
      <c r="M52" s="2268"/>
      <c r="N52" s="2268"/>
      <c r="O52" s="2268"/>
      <c r="P52" s="2268"/>
      <c r="Q52" s="2268"/>
      <c r="R52" s="2268"/>
      <c r="S52" s="2268"/>
      <c r="T52" s="2268"/>
      <c r="U52" s="2268"/>
      <c r="V52" s="2268"/>
      <c r="W52" s="2268"/>
      <c r="X52" s="2268"/>
      <c r="Y52" s="2268"/>
      <c r="Z52" s="2268"/>
      <c r="AA52" s="2268"/>
      <c r="AB52" s="2268"/>
      <c r="AC52" s="1462"/>
      <c r="AD52" s="1462"/>
      <c r="AE52" s="1462"/>
    </row>
    <row r="53" spans="1:32" s="2041" customFormat="1" ht="14.25" x14ac:dyDescent="0.2">
      <c r="B53" s="1462"/>
      <c r="C53" s="1462"/>
      <c r="D53" s="1462"/>
      <c r="E53" s="1462"/>
      <c r="F53" s="1462"/>
      <c r="G53" s="1462"/>
      <c r="H53" s="1462"/>
      <c r="I53" s="1462"/>
      <c r="J53" s="1462"/>
      <c r="K53" s="1462"/>
      <c r="L53" s="1462"/>
      <c r="M53" s="1462"/>
      <c r="N53" s="1462"/>
      <c r="O53" s="1462"/>
      <c r="P53" s="1462"/>
      <c r="Q53" s="1462"/>
      <c r="R53" s="1462"/>
      <c r="S53" s="1462"/>
      <c r="T53" s="1462"/>
      <c r="U53" s="1462"/>
      <c r="V53" s="1462"/>
      <c r="W53" s="1462"/>
      <c r="X53" s="1462"/>
      <c r="Y53" s="1462"/>
      <c r="Z53" s="1462"/>
      <c r="AA53" s="1462"/>
      <c r="AB53" s="1462"/>
      <c r="AC53" s="1462"/>
      <c r="AD53" s="1462"/>
      <c r="AE53" s="1462"/>
    </row>
    <row r="54" spans="1:32" s="2041" customFormat="1" ht="14.25" x14ac:dyDescent="0.2">
      <c r="B54" s="1462"/>
      <c r="C54" s="1322"/>
      <c r="D54" s="1322"/>
      <c r="E54" s="1322"/>
      <c r="F54" s="1322"/>
      <c r="G54" s="1322"/>
      <c r="H54" s="1322"/>
      <c r="I54" s="1322"/>
      <c r="J54" s="1322"/>
      <c r="K54" s="1322"/>
      <c r="L54" s="1322"/>
      <c r="M54" s="1322"/>
      <c r="N54" s="1322"/>
      <c r="O54" s="1322"/>
      <c r="P54" s="1322"/>
      <c r="Q54" s="1322"/>
      <c r="R54" s="1322"/>
      <c r="S54" s="1322"/>
      <c r="T54" s="1322"/>
      <c r="U54" s="1322"/>
      <c r="V54" s="1322"/>
      <c r="W54" s="1322"/>
      <c r="X54" s="1322"/>
      <c r="Y54" s="1322"/>
      <c r="Z54" s="1322"/>
      <c r="AA54" s="1322"/>
      <c r="AB54" s="1322"/>
      <c r="AC54" s="1322"/>
      <c r="AD54" s="1322"/>
      <c r="AE54" s="1322"/>
    </row>
    <row r="55" spans="1:32" s="2041" customFormat="1" ht="14.25" x14ac:dyDescent="0.2">
      <c r="B55" s="1462"/>
      <c r="C55" s="1322"/>
      <c r="D55" s="1322"/>
      <c r="E55" s="1322"/>
      <c r="F55" s="1322"/>
      <c r="G55" s="1322"/>
      <c r="H55" s="1322"/>
      <c r="I55" s="1322"/>
      <c r="J55" s="1322"/>
      <c r="K55" s="1322"/>
      <c r="L55" s="1322"/>
      <c r="M55" s="1322"/>
      <c r="N55" s="1322"/>
      <c r="O55" s="1322"/>
      <c r="P55" s="1322"/>
      <c r="Q55" s="1322"/>
      <c r="R55" s="1322"/>
      <c r="S55" s="1322"/>
      <c r="T55" s="1322"/>
      <c r="U55" s="1322"/>
      <c r="V55" s="1322"/>
      <c r="W55" s="1322"/>
      <c r="X55" s="1322"/>
      <c r="Y55" s="1322"/>
      <c r="Z55" s="1322"/>
      <c r="AA55" s="1322"/>
      <c r="AB55" s="1322"/>
      <c r="AC55" s="1322"/>
      <c r="AD55" s="1322"/>
      <c r="AE55" s="1322"/>
    </row>
    <row r="56" spans="1:32" s="2041" customFormat="1" ht="14.25" x14ac:dyDescent="0.2">
      <c r="B56" s="1462"/>
      <c r="C56" s="1322"/>
      <c r="D56" s="1322"/>
      <c r="E56" s="1322"/>
      <c r="F56" s="1322"/>
      <c r="G56" s="1322"/>
      <c r="H56" s="1322"/>
      <c r="I56" s="1322"/>
      <c r="J56" s="1322"/>
      <c r="K56" s="1322"/>
      <c r="L56" s="1322"/>
      <c r="M56" s="1322"/>
      <c r="N56" s="1322"/>
      <c r="O56" s="1322"/>
      <c r="P56" s="1322"/>
      <c r="Q56" s="1322"/>
      <c r="R56" s="1322"/>
      <c r="S56" s="1322"/>
      <c r="T56" s="1322"/>
      <c r="U56" s="1322"/>
      <c r="V56" s="1322"/>
      <c r="W56" s="1322"/>
      <c r="X56" s="1322"/>
      <c r="Y56" s="1322"/>
      <c r="Z56" s="1322"/>
      <c r="AA56" s="1322"/>
      <c r="AB56" s="1322"/>
      <c r="AC56" s="1322"/>
      <c r="AD56" s="1322"/>
      <c r="AE56" s="1322"/>
    </row>
    <row r="57" spans="1:32" s="2041" customFormat="1" ht="14.25" x14ac:dyDescent="0.2">
      <c r="B57" s="1462"/>
      <c r="C57" s="1322"/>
      <c r="D57" s="1322"/>
      <c r="E57" s="1322"/>
      <c r="F57" s="1322"/>
      <c r="G57" s="1322"/>
      <c r="H57" s="1322"/>
      <c r="I57" s="1322"/>
      <c r="J57" s="1322"/>
      <c r="K57" s="1322"/>
      <c r="L57" s="1322"/>
      <c r="M57" s="1322"/>
      <c r="N57" s="1322"/>
      <c r="O57" s="1322"/>
      <c r="P57" s="1322"/>
      <c r="Q57" s="1322"/>
      <c r="R57" s="1322"/>
      <c r="S57" s="1322"/>
      <c r="T57" s="1322"/>
      <c r="U57" s="1322"/>
      <c r="V57" s="1322"/>
      <c r="W57" s="1322"/>
      <c r="X57" s="1322"/>
      <c r="Y57" s="1322"/>
      <c r="Z57" s="1322"/>
      <c r="AA57" s="1322"/>
      <c r="AB57" s="1322"/>
      <c r="AC57" s="1322"/>
      <c r="AD57" s="1322"/>
      <c r="AE57" s="1322"/>
    </row>
    <row r="58" spans="1:32" s="2041" customFormat="1" ht="14.25" x14ac:dyDescent="0.2">
      <c r="B58" s="1462"/>
      <c r="C58" s="1322"/>
      <c r="D58" s="1322"/>
      <c r="E58" s="1322"/>
      <c r="F58" s="1322"/>
      <c r="G58" s="1322"/>
      <c r="H58" s="1322"/>
      <c r="I58" s="1322"/>
      <c r="J58" s="1322"/>
      <c r="K58" s="1322"/>
      <c r="L58" s="1322"/>
      <c r="M58" s="1322"/>
      <c r="N58" s="1322"/>
      <c r="O58" s="2269"/>
      <c r="P58" s="2269"/>
      <c r="Q58" s="2269"/>
      <c r="R58" s="1322"/>
      <c r="S58" s="1322"/>
      <c r="T58" s="1322"/>
      <c r="U58" s="1322"/>
      <c r="V58" s="1322"/>
      <c r="W58" s="1322"/>
      <c r="X58" s="1322"/>
      <c r="Y58" s="1322"/>
      <c r="Z58" s="1322"/>
      <c r="AA58" s="1322"/>
      <c r="AB58" s="1322"/>
      <c r="AC58" s="1322"/>
      <c r="AD58" s="1322"/>
      <c r="AE58" s="1322"/>
    </row>
    <row r="59" spans="1:32" s="2041" customFormat="1" ht="14.25" x14ac:dyDescent="0.2">
      <c r="B59" s="1462"/>
      <c r="C59" s="1322"/>
      <c r="D59" s="1322"/>
      <c r="E59" s="1322"/>
      <c r="F59" s="1322"/>
      <c r="G59" s="1322"/>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row>
    <row r="60" spans="1:32" s="2041" customFormat="1" ht="14.25" x14ac:dyDescent="0.2">
      <c r="B60" s="1462"/>
      <c r="C60" s="1322"/>
      <c r="D60" s="1322"/>
      <c r="E60" s="1322"/>
      <c r="F60" s="1322"/>
      <c r="G60" s="1322"/>
      <c r="H60" s="1322"/>
      <c r="I60" s="1322"/>
      <c r="J60" s="1322"/>
      <c r="K60" s="1322"/>
      <c r="L60" s="1322"/>
      <c r="M60" s="1322"/>
      <c r="N60" s="1322"/>
      <c r="O60" s="1322"/>
      <c r="P60" s="1322"/>
      <c r="Q60" s="1322"/>
      <c r="R60" s="1322"/>
      <c r="S60" s="1322"/>
      <c r="T60" s="1322"/>
      <c r="U60" s="1322"/>
      <c r="V60" s="1322"/>
      <c r="W60" s="1322"/>
      <c r="X60" s="1322"/>
      <c r="Y60" s="1322"/>
      <c r="Z60" s="1322"/>
      <c r="AA60" s="1322"/>
      <c r="AB60" s="1322"/>
      <c r="AC60" s="1322"/>
      <c r="AD60" s="1322"/>
      <c r="AE60" s="1322"/>
    </row>
    <row r="61" spans="1:32" s="2041" customFormat="1" ht="14.25" x14ac:dyDescent="0.2">
      <c r="B61" s="1462"/>
      <c r="C61" s="1322"/>
      <c r="D61" s="1322"/>
      <c r="E61" s="1322"/>
      <c r="F61" s="1322"/>
      <c r="G61" s="1322"/>
      <c r="H61" s="1322"/>
      <c r="I61" s="1322"/>
      <c r="J61" s="1322"/>
      <c r="K61" s="1322"/>
      <c r="L61" s="1322"/>
      <c r="M61" s="1322"/>
      <c r="N61" s="1322"/>
      <c r="O61" s="1322"/>
      <c r="P61" s="1322"/>
      <c r="Q61" s="1322"/>
      <c r="R61" s="1322"/>
      <c r="S61" s="1322"/>
      <c r="T61" s="1322"/>
      <c r="U61" s="1322"/>
      <c r="V61" s="1322"/>
      <c r="W61" s="1322"/>
      <c r="X61" s="1322"/>
      <c r="Y61" s="1322"/>
      <c r="Z61" s="1322"/>
      <c r="AA61" s="1322"/>
      <c r="AB61" s="1322"/>
      <c r="AC61" s="1322"/>
      <c r="AD61" s="1322"/>
      <c r="AE61" s="1322"/>
    </row>
    <row r="62" spans="1:32" s="2041" customFormat="1" ht="14.25" x14ac:dyDescent="0.2">
      <c r="B62" s="1462"/>
      <c r="C62" s="1322"/>
      <c r="D62" s="1322"/>
      <c r="E62" s="1322"/>
      <c r="F62" s="1322"/>
      <c r="G62" s="1322"/>
      <c r="H62" s="1322"/>
      <c r="I62" s="1322"/>
      <c r="J62" s="1322"/>
      <c r="K62" s="1322"/>
      <c r="L62" s="1322"/>
      <c r="M62" s="1322"/>
      <c r="N62" s="1322"/>
      <c r="O62" s="1322"/>
      <c r="P62" s="1322"/>
      <c r="Q62" s="1322"/>
      <c r="R62" s="1322"/>
      <c r="S62" s="1322"/>
      <c r="T62" s="1322"/>
      <c r="U62" s="1322"/>
      <c r="V62" s="1322"/>
      <c r="W62" s="1322"/>
      <c r="X62" s="1322"/>
      <c r="Y62" s="1322"/>
      <c r="Z62" s="1322"/>
      <c r="AA62" s="1322"/>
      <c r="AB62" s="1322"/>
      <c r="AC62" s="1322"/>
      <c r="AD62" s="1322"/>
      <c r="AE62" s="1322"/>
    </row>
    <row r="63" spans="1:32" s="2041" customFormat="1" ht="14.25" x14ac:dyDescent="0.2">
      <c r="B63" s="1462"/>
      <c r="C63" s="1322"/>
      <c r="D63" s="1322"/>
      <c r="E63" s="1322"/>
      <c r="F63" s="1322"/>
      <c r="G63" s="1322"/>
      <c r="H63" s="1322"/>
      <c r="I63" s="1322"/>
      <c r="J63" s="1322"/>
      <c r="K63" s="1322"/>
      <c r="L63" s="1322"/>
      <c r="M63" s="1322"/>
      <c r="N63" s="1322"/>
      <c r="O63" s="1322"/>
      <c r="P63" s="1322"/>
      <c r="Q63" s="1322"/>
      <c r="R63" s="1322"/>
      <c r="S63" s="1322"/>
      <c r="T63" s="1322"/>
      <c r="U63" s="1322"/>
      <c r="V63" s="1322"/>
      <c r="W63" s="1322"/>
      <c r="X63" s="1322"/>
      <c r="Y63" s="1322"/>
      <c r="Z63" s="1322"/>
      <c r="AA63" s="1322"/>
      <c r="AB63" s="1322"/>
      <c r="AC63" s="1322"/>
      <c r="AD63" s="1322"/>
      <c r="AE63" s="1322"/>
    </row>
    <row r="64" spans="1:32" s="2041" customFormat="1" ht="14.25" x14ac:dyDescent="0.2">
      <c r="B64" s="1462"/>
      <c r="C64" s="1322"/>
      <c r="D64" s="1322"/>
      <c r="E64" s="1322"/>
      <c r="F64" s="1322"/>
      <c r="G64" s="1322"/>
      <c r="H64" s="1322"/>
      <c r="I64" s="1322"/>
      <c r="J64" s="1322"/>
      <c r="K64" s="1322"/>
      <c r="L64" s="1322"/>
      <c r="M64" s="1322"/>
      <c r="N64" s="1322"/>
      <c r="O64" s="1322"/>
      <c r="P64" s="1322"/>
      <c r="Q64" s="1322"/>
      <c r="R64" s="1322"/>
      <c r="S64" s="1322"/>
      <c r="T64" s="1322"/>
      <c r="U64" s="1322"/>
      <c r="V64" s="1322"/>
      <c r="W64" s="1322"/>
      <c r="X64" s="1322"/>
      <c r="Y64" s="1322"/>
      <c r="Z64" s="1322"/>
      <c r="AA64" s="1322"/>
      <c r="AB64" s="1322"/>
      <c r="AC64" s="1322"/>
      <c r="AD64" s="1322"/>
      <c r="AE64" s="1322"/>
    </row>
    <row r="65" spans="1:32" s="2041" customFormat="1" x14ac:dyDescent="0.2">
      <c r="A65" s="2260"/>
      <c r="B65" s="2259"/>
      <c r="C65" s="2259"/>
    </row>
    <row r="66" spans="1:32" s="2041" customFormat="1" x14ac:dyDescent="0.25">
      <c r="B66" s="2266"/>
      <c r="C66" s="2266"/>
      <c r="D66" s="2266"/>
      <c r="E66" s="2266"/>
      <c r="F66" s="2267"/>
      <c r="G66" s="2267"/>
      <c r="H66" s="2267"/>
      <c r="I66" s="2267"/>
      <c r="J66" s="2267"/>
      <c r="K66" s="2267"/>
      <c r="L66" s="2267"/>
      <c r="M66" s="2267"/>
      <c r="N66" s="2267"/>
      <c r="O66" s="2267"/>
      <c r="P66" s="2267"/>
      <c r="Q66" s="2267"/>
      <c r="R66" s="2267"/>
      <c r="S66" s="2267"/>
      <c r="T66" s="2267"/>
      <c r="U66" s="2267"/>
      <c r="V66" s="2267"/>
      <c r="W66" s="2267"/>
      <c r="X66" s="2267"/>
      <c r="Y66" s="2267"/>
      <c r="Z66" s="2267"/>
      <c r="AA66" s="2267"/>
      <c r="AB66" s="2267"/>
      <c r="AC66" s="2267"/>
      <c r="AD66" s="2267"/>
      <c r="AE66" s="2267"/>
      <c r="AF66" s="2267"/>
    </row>
    <row r="67" spans="1:32" s="2041" customFormat="1" ht="14.25" x14ac:dyDescent="0.2">
      <c r="B67" s="1462"/>
      <c r="C67" s="2268"/>
      <c r="D67" s="2268"/>
      <c r="E67" s="2268"/>
      <c r="F67" s="2268"/>
      <c r="G67" s="2268"/>
      <c r="H67" s="2268"/>
      <c r="I67" s="2268"/>
      <c r="J67" s="2268"/>
      <c r="K67" s="2268"/>
      <c r="L67" s="2268"/>
      <c r="M67" s="2268"/>
      <c r="N67" s="2268"/>
      <c r="O67" s="2268"/>
      <c r="P67" s="2268"/>
      <c r="Q67" s="2268"/>
      <c r="R67" s="2268"/>
      <c r="S67" s="2268"/>
      <c r="T67" s="2268"/>
      <c r="U67" s="2268"/>
      <c r="V67" s="2268"/>
      <c r="W67" s="2268"/>
      <c r="X67" s="2268"/>
      <c r="Y67" s="2268"/>
      <c r="Z67" s="2268"/>
      <c r="AA67" s="2268"/>
      <c r="AB67" s="2268"/>
      <c r="AC67" s="1462"/>
      <c r="AD67" s="1462"/>
      <c r="AE67" s="1462"/>
    </row>
    <row r="68" spans="1:32" s="2041" customFormat="1" ht="14.25" x14ac:dyDescent="0.2">
      <c r="B68" s="1462"/>
      <c r="C68" s="1462"/>
      <c r="D68" s="1462"/>
      <c r="E68" s="1462"/>
      <c r="F68" s="1462"/>
      <c r="G68" s="1462"/>
      <c r="H68" s="1462"/>
      <c r="I68" s="1462"/>
      <c r="J68" s="1462"/>
      <c r="K68" s="1462"/>
      <c r="L68" s="1462"/>
      <c r="M68" s="1462"/>
      <c r="N68" s="1462"/>
      <c r="O68" s="1462"/>
      <c r="P68" s="1462"/>
      <c r="Q68" s="1462"/>
      <c r="R68" s="1462"/>
      <c r="S68" s="1462"/>
      <c r="T68" s="1462"/>
      <c r="U68" s="1462"/>
      <c r="V68" s="1462"/>
      <c r="W68" s="1462"/>
      <c r="X68" s="1462"/>
      <c r="Y68" s="1462"/>
      <c r="Z68" s="1462"/>
      <c r="AA68" s="1462"/>
      <c r="AB68" s="1462"/>
      <c r="AC68" s="1462"/>
      <c r="AD68" s="1462"/>
      <c r="AE68" s="1462"/>
    </row>
    <row r="69" spans="1:32" s="2041" customFormat="1" ht="14.25" x14ac:dyDescent="0.2">
      <c r="B69" s="1462"/>
      <c r="C69" s="2270"/>
      <c r="D69" s="2270"/>
      <c r="E69" s="2270"/>
      <c r="F69" s="2270"/>
      <c r="G69" s="2270"/>
      <c r="H69" s="2270"/>
      <c r="I69" s="2270"/>
      <c r="J69" s="2270"/>
      <c r="K69" s="2270"/>
      <c r="L69" s="2270"/>
      <c r="M69" s="2270"/>
      <c r="N69" s="2270"/>
      <c r="O69" s="2270"/>
      <c r="P69" s="2270"/>
      <c r="Q69" s="2270"/>
      <c r="R69" s="2270"/>
      <c r="S69" s="2270"/>
      <c r="T69" s="2270"/>
      <c r="U69" s="2270"/>
      <c r="V69" s="2270"/>
      <c r="W69" s="2270"/>
      <c r="X69" s="2270"/>
      <c r="Y69" s="2270"/>
      <c r="Z69" s="2270"/>
      <c r="AA69" s="2270"/>
      <c r="AB69" s="2270"/>
      <c r="AC69" s="2270"/>
      <c r="AD69" s="2270"/>
      <c r="AE69" s="2270"/>
    </row>
    <row r="70" spans="1:32" s="2041" customFormat="1" ht="14.25" x14ac:dyDescent="0.2">
      <c r="B70" s="1462"/>
      <c r="C70" s="2270"/>
      <c r="D70" s="2270"/>
      <c r="E70" s="2270"/>
      <c r="F70" s="2270"/>
      <c r="G70" s="2270"/>
      <c r="H70" s="2270"/>
      <c r="I70" s="2270"/>
      <c r="J70" s="2270"/>
      <c r="K70" s="2270"/>
      <c r="L70" s="2270"/>
      <c r="M70" s="2270"/>
      <c r="N70" s="2270"/>
      <c r="O70" s="2270"/>
      <c r="P70" s="2270"/>
      <c r="Q70" s="2270"/>
      <c r="R70" s="2270"/>
      <c r="S70" s="2270"/>
      <c r="T70" s="2270"/>
      <c r="U70" s="2270"/>
      <c r="V70" s="2270"/>
      <c r="W70" s="2270"/>
      <c r="X70" s="2270"/>
      <c r="Y70" s="2270"/>
      <c r="Z70" s="2270"/>
      <c r="AA70" s="2270"/>
      <c r="AB70" s="2270"/>
      <c r="AC70" s="2270"/>
      <c r="AD70" s="2270"/>
      <c r="AE70" s="2270"/>
    </row>
    <row r="71" spans="1:32" s="2041" customFormat="1" ht="14.25" x14ac:dyDescent="0.2">
      <c r="B71" s="1462"/>
      <c r="C71" s="2270"/>
      <c r="D71" s="2270"/>
      <c r="E71" s="2270"/>
      <c r="F71" s="2270"/>
      <c r="G71" s="2270"/>
      <c r="H71" s="2270"/>
      <c r="I71" s="1322"/>
      <c r="J71" s="1322"/>
      <c r="K71" s="1322"/>
      <c r="L71" s="1322"/>
      <c r="M71" s="1322"/>
      <c r="N71" s="1322"/>
      <c r="O71" s="2270"/>
      <c r="P71" s="2270"/>
      <c r="Q71" s="2270"/>
      <c r="R71" s="2270"/>
      <c r="S71" s="2270"/>
      <c r="T71" s="2270"/>
      <c r="U71" s="2270"/>
      <c r="V71" s="2270"/>
      <c r="W71" s="2270"/>
      <c r="X71" s="2270"/>
      <c r="Y71" s="2270"/>
      <c r="Z71" s="2270"/>
      <c r="AA71" s="2270"/>
      <c r="AB71" s="2270"/>
      <c r="AC71" s="2270"/>
      <c r="AD71" s="2270"/>
      <c r="AE71" s="2270"/>
    </row>
    <row r="72" spans="1:32" s="2041" customFormat="1" ht="14.25" x14ac:dyDescent="0.2">
      <c r="B72" s="1462"/>
      <c r="C72" s="2270"/>
      <c r="D72" s="227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2270"/>
      <c r="AB72" s="2270"/>
      <c r="AC72" s="2270"/>
      <c r="AD72" s="2270"/>
      <c r="AE72" s="2270"/>
    </row>
    <row r="73" spans="1:32" s="2041" customFormat="1" ht="14.25" x14ac:dyDescent="0.2">
      <c r="B73" s="1462"/>
      <c r="C73" s="2270"/>
      <c r="D73" s="227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2270"/>
      <c r="AC73" s="2270"/>
      <c r="AD73" s="2270"/>
      <c r="AE73" s="2270"/>
    </row>
    <row r="74" spans="1:32" s="2041" customFormat="1" ht="14.25" x14ac:dyDescent="0.2">
      <c r="B74" s="1462"/>
      <c r="C74" s="2270"/>
      <c r="D74" s="2270"/>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2270"/>
      <c r="AC74" s="2270"/>
      <c r="AD74" s="2270"/>
      <c r="AE74" s="2270"/>
    </row>
    <row r="75" spans="1:32" s="2041" customFormat="1" ht="14.25" x14ac:dyDescent="0.2">
      <c r="B75" s="1462"/>
      <c r="C75" s="2270"/>
      <c r="D75" s="2270"/>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2270"/>
      <c r="AC75" s="2270"/>
      <c r="AD75" s="2270"/>
      <c r="AE75" s="2270"/>
    </row>
    <row r="76" spans="1:32" s="2041" customFormat="1" ht="14.25" x14ac:dyDescent="0.2">
      <c r="B76" s="1462"/>
      <c r="C76" s="1450"/>
      <c r="D76" s="1450"/>
      <c r="E76" s="1450"/>
      <c r="F76" s="1450"/>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2270"/>
      <c r="AD76" s="2270"/>
      <c r="AE76" s="1450"/>
    </row>
    <row r="77" spans="1:32" s="2041" customFormat="1" ht="14.25" x14ac:dyDescent="0.2">
      <c r="B77" s="1462"/>
      <c r="C77" s="2270"/>
      <c r="D77" s="2270"/>
      <c r="E77" s="2270"/>
      <c r="F77" s="2270"/>
      <c r="G77" s="2270"/>
      <c r="H77" s="2270"/>
      <c r="I77" s="2270"/>
      <c r="J77" s="2270"/>
      <c r="K77" s="2270"/>
      <c r="L77" s="2270"/>
      <c r="M77" s="2270"/>
      <c r="N77" s="2270"/>
      <c r="O77" s="2270"/>
      <c r="P77" s="2270"/>
      <c r="Q77" s="2270"/>
      <c r="R77" s="2270"/>
      <c r="S77" s="2270"/>
      <c r="T77" s="2270"/>
      <c r="U77" s="2270"/>
      <c r="V77" s="2270"/>
      <c r="W77" s="2270"/>
      <c r="X77" s="2270"/>
      <c r="Y77" s="2270"/>
      <c r="Z77" s="2270"/>
      <c r="AA77" s="2270"/>
      <c r="AB77" s="2270"/>
      <c r="AC77" s="2270"/>
      <c r="AD77" s="2270"/>
      <c r="AE77" s="2270"/>
    </row>
    <row r="78" spans="1:32" s="2041" customFormat="1" ht="14.25" x14ac:dyDescent="0.2">
      <c r="B78" s="1462"/>
      <c r="C78" s="2270"/>
      <c r="D78" s="2270"/>
      <c r="E78" s="2270"/>
      <c r="F78" s="2270"/>
      <c r="G78" s="2270"/>
      <c r="H78" s="2270"/>
      <c r="I78" s="2270"/>
      <c r="J78" s="2270"/>
      <c r="K78" s="2270"/>
      <c r="L78" s="2270"/>
      <c r="M78" s="2270"/>
      <c r="N78" s="2270"/>
      <c r="O78" s="2270"/>
      <c r="P78" s="2270"/>
      <c r="Q78" s="2270"/>
      <c r="R78" s="2270"/>
      <c r="S78" s="2270"/>
      <c r="T78" s="2270"/>
      <c r="U78" s="2270"/>
      <c r="V78" s="2270"/>
      <c r="W78" s="2270"/>
      <c r="X78" s="2270"/>
      <c r="Y78" s="2270"/>
      <c r="Z78" s="2270"/>
      <c r="AA78" s="2270"/>
      <c r="AB78" s="2270"/>
      <c r="AC78" s="2270"/>
      <c r="AD78" s="2270"/>
      <c r="AE78" s="2270"/>
    </row>
    <row r="79" spans="1:32" s="2041" customFormat="1" x14ac:dyDescent="0.2">
      <c r="A79" s="2260"/>
      <c r="B79" s="2259"/>
      <c r="C79" s="2259"/>
    </row>
    <row r="80" spans="1:32" s="2041" customFormat="1" x14ac:dyDescent="0.2">
      <c r="A80" s="2260"/>
      <c r="B80" s="2259"/>
      <c r="C80" s="2259"/>
    </row>
    <row r="81" spans="1:3" s="2041" customFormat="1" x14ac:dyDescent="0.2">
      <c r="A81" s="2260"/>
      <c r="B81" s="2259"/>
      <c r="C81" s="2259"/>
    </row>
  </sheetData>
  <mergeCells count="20">
    <mergeCell ref="D29:V29"/>
    <mergeCell ref="D2:V2"/>
    <mergeCell ref="D3:V3"/>
    <mergeCell ref="D4:V4"/>
    <mergeCell ref="D5:V5"/>
    <mergeCell ref="D30:V30"/>
    <mergeCell ref="D31:V31"/>
    <mergeCell ref="D32:V32"/>
    <mergeCell ref="C39:D39"/>
    <mergeCell ref="E39:F39"/>
    <mergeCell ref="G39:H39"/>
    <mergeCell ref="I39:J39"/>
    <mergeCell ref="K39:L39"/>
    <mergeCell ref="AA39:AB39"/>
    <mergeCell ref="M39:N39"/>
    <mergeCell ref="O39:R39"/>
    <mergeCell ref="S39:T39"/>
    <mergeCell ref="U39:V39"/>
    <mergeCell ref="W39:X39"/>
    <mergeCell ref="Y39:Z39"/>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I62"/>
  <sheetViews>
    <sheetView showGridLines="0" view="pageBreakPreview" zoomScaleNormal="100" zoomScaleSheetLayoutView="100" workbookViewId="0">
      <selection activeCell="D8" sqref="D8"/>
    </sheetView>
  </sheetViews>
  <sheetFormatPr defaultColWidth="9.140625" defaultRowHeight="15" x14ac:dyDescent="0.2"/>
  <cols>
    <col min="1" max="1" width="3.7109375" style="2035" customWidth="1"/>
    <col min="2" max="2" width="14.42578125" style="2036" customWidth="1"/>
    <col min="3" max="3" width="3.7109375" style="2036" customWidth="1"/>
    <col min="4" max="4" width="21.42578125" style="943" customWidth="1"/>
    <col min="5" max="17" width="7.28515625" style="943" customWidth="1"/>
    <col min="18" max="19" width="8" style="943" customWidth="1"/>
    <col min="20" max="20" width="9.140625" style="943" customWidth="1"/>
    <col min="21" max="24" width="9.42578125" style="943" customWidth="1"/>
    <col min="25" max="261" width="9.140625" style="943"/>
    <col min="262" max="262" width="3.7109375" style="943" customWidth="1"/>
    <col min="263" max="263" width="14.42578125" style="943" customWidth="1"/>
    <col min="264" max="264" width="3.7109375" style="943" customWidth="1"/>
    <col min="265" max="265" width="21.42578125" style="943" customWidth="1"/>
    <col min="266" max="278" width="7.28515625" style="943" customWidth="1"/>
    <col min="279" max="280" width="8" style="943" customWidth="1"/>
    <col min="281" max="281" width="9.140625" style="943" customWidth="1"/>
    <col min="282" max="282" width="9.42578125" style="943" customWidth="1"/>
    <col min="283" max="517" width="9.140625" style="943"/>
    <col min="518" max="518" width="3.7109375" style="943" customWidth="1"/>
    <col min="519" max="519" width="14.42578125" style="943" customWidth="1"/>
    <col min="520" max="520" width="3.7109375" style="943" customWidth="1"/>
    <col min="521" max="521" width="21.42578125" style="943" customWidth="1"/>
    <col min="522" max="534" width="7.28515625" style="943" customWidth="1"/>
    <col min="535" max="536" width="8" style="943" customWidth="1"/>
    <col min="537" max="537" width="9.140625" style="943" customWidth="1"/>
    <col min="538" max="538" width="9.42578125" style="943" customWidth="1"/>
    <col min="539" max="773" width="9.140625" style="943"/>
    <col min="774" max="774" width="3.7109375" style="943" customWidth="1"/>
    <col min="775" max="775" width="14.42578125" style="943" customWidth="1"/>
    <col min="776" max="776" width="3.7109375" style="943" customWidth="1"/>
    <col min="777" max="777" width="21.42578125" style="943" customWidth="1"/>
    <col min="778" max="790" width="7.28515625" style="943" customWidth="1"/>
    <col min="791" max="792" width="8" style="943" customWidth="1"/>
    <col min="793" max="793" width="9.140625" style="943" customWidth="1"/>
    <col min="794" max="794" width="9.42578125" style="943" customWidth="1"/>
    <col min="795" max="1029" width="9.140625" style="943"/>
    <col min="1030" max="1030" width="3.7109375" style="943" customWidth="1"/>
    <col min="1031" max="1031" width="14.42578125" style="943" customWidth="1"/>
    <col min="1032" max="1032" width="3.7109375" style="943" customWidth="1"/>
    <col min="1033" max="1033" width="21.42578125" style="943" customWidth="1"/>
    <col min="1034" max="1046" width="7.28515625" style="943" customWidth="1"/>
    <col min="1047" max="1048" width="8" style="943" customWidth="1"/>
    <col min="1049" max="1049" width="9.140625" style="943" customWidth="1"/>
    <col min="1050" max="1050" width="9.42578125" style="943" customWidth="1"/>
    <col min="1051" max="1285" width="9.140625" style="943"/>
    <col min="1286" max="1286" width="3.7109375" style="943" customWidth="1"/>
    <col min="1287" max="1287" width="14.42578125" style="943" customWidth="1"/>
    <col min="1288" max="1288" width="3.7109375" style="943" customWidth="1"/>
    <col min="1289" max="1289" width="21.42578125" style="943" customWidth="1"/>
    <col min="1290" max="1302" width="7.28515625" style="943" customWidth="1"/>
    <col min="1303" max="1304" width="8" style="943" customWidth="1"/>
    <col min="1305" max="1305" width="9.140625" style="943" customWidth="1"/>
    <col min="1306" max="1306" width="9.42578125" style="943" customWidth="1"/>
    <col min="1307" max="1541" width="9.140625" style="943"/>
    <col min="1542" max="1542" width="3.7109375" style="943" customWidth="1"/>
    <col min="1543" max="1543" width="14.42578125" style="943" customWidth="1"/>
    <col min="1544" max="1544" width="3.7109375" style="943" customWidth="1"/>
    <col min="1545" max="1545" width="21.42578125" style="943" customWidth="1"/>
    <col min="1546" max="1558" width="7.28515625" style="943" customWidth="1"/>
    <col min="1559" max="1560" width="8" style="943" customWidth="1"/>
    <col min="1561" max="1561" width="9.140625" style="943" customWidth="1"/>
    <col min="1562" max="1562" width="9.42578125" style="943" customWidth="1"/>
    <col min="1563" max="1797" width="9.140625" style="943"/>
    <col min="1798" max="1798" width="3.7109375" style="943" customWidth="1"/>
    <col min="1799" max="1799" width="14.42578125" style="943" customWidth="1"/>
    <col min="1800" max="1800" width="3.7109375" style="943" customWidth="1"/>
    <col min="1801" max="1801" width="21.42578125" style="943" customWidth="1"/>
    <col min="1802" max="1814" width="7.28515625" style="943" customWidth="1"/>
    <col min="1815" max="1816" width="8" style="943" customWidth="1"/>
    <col min="1817" max="1817" width="9.140625" style="943" customWidth="1"/>
    <col min="1818" max="1818" width="9.42578125" style="943" customWidth="1"/>
    <col min="1819" max="2053" width="9.140625" style="943"/>
    <col min="2054" max="2054" width="3.7109375" style="943" customWidth="1"/>
    <col min="2055" max="2055" width="14.42578125" style="943" customWidth="1"/>
    <col min="2056" max="2056" width="3.7109375" style="943" customWidth="1"/>
    <col min="2057" max="2057" width="21.42578125" style="943" customWidth="1"/>
    <col min="2058" max="2070" width="7.28515625" style="943" customWidth="1"/>
    <col min="2071" max="2072" width="8" style="943" customWidth="1"/>
    <col min="2073" max="2073" width="9.140625" style="943" customWidth="1"/>
    <col min="2074" max="2074" width="9.42578125" style="943" customWidth="1"/>
    <col min="2075" max="2309" width="9.140625" style="943"/>
    <col min="2310" max="2310" width="3.7109375" style="943" customWidth="1"/>
    <col min="2311" max="2311" width="14.42578125" style="943" customWidth="1"/>
    <col min="2312" max="2312" width="3.7109375" style="943" customWidth="1"/>
    <col min="2313" max="2313" width="21.42578125" style="943" customWidth="1"/>
    <col min="2314" max="2326" width="7.28515625" style="943" customWidth="1"/>
    <col min="2327" max="2328" width="8" style="943" customWidth="1"/>
    <col min="2329" max="2329" width="9.140625" style="943" customWidth="1"/>
    <col min="2330" max="2330" width="9.42578125" style="943" customWidth="1"/>
    <col min="2331" max="2565" width="9.140625" style="943"/>
    <col min="2566" max="2566" width="3.7109375" style="943" customWidth="1"/>
    <col min="2567" max="2567" width="14.42578125" style="943" customWidth="1"/>
    <col min="2568" max="2568" width="3.7109375" style="943" customWidth="1"/>
    <col min="2569" max="2569" width="21.42578125" style="943" customWidth="1"/>
    <col min="2570" max="2582" width="7.28515625" style="943" customWidth="1"/>
    <col min="2583" max="2584" width="8" style="943" customWidth="1"/>
    <col min="2585" max="2585" width="9.140625" style="943" customWidth="1"/>
    <col min="2586" max="2586" width="9.42578125" style="943" customWidth="1"/>
    <col min="2587" max="2821" width="9.140625" style="943"/>
    <col min="2822" max="2822" width="3.7109375" style="943" customWidth="1"/>
    <col min="2823" max="2823" width="14.42578125" style="943" customWidth="1"/>
    <col min="2824" max="2824" width="3.7109375" style="943" customWidth="1"/>
    <col min="2825" max="2825" width="21.42578125" style="943" customWidth="1"/>
    <col min="2826" max="2838" width="7.28515625" style="943" customWidth="1"/>
    <col min="2839" max="2840" width="8" style="943" customWidth="1"/>
    <col min="2841" max="2841" width="9.140625" style="943" customWidth="1"/>
    <col min="2842" max="2842" width="9.42578125" style="943" customWidth="1"/>
    <col min="2843" max="3077" width="9.140625" style="943"/>
    <col min="3078" max="3078" width="3.7109375" style="943" customWidth="1"/>
    <col min="3079" max="3079" width="14.42578125" style="943" customWidth="1"/>
    <col min="3080" max="3080" width="3.7109375" style="943" customWidth="1"/>
    <col min="3081" max="3081" width="21.42578125" style="943" customWidth="1"/>
    <col min="3082" max="3094" width="7.28515625" style="943" customWidth="1"/>
    <col min="3095" max="3096" width="8" style="943" customWidth="1"/>
    <col min="3097" max="3097" width="9.140625" style="943" customWidth="1"/>
    <col min="3098" max="3098" width="9.42578125" style="943" customWidth="1"/>
    <col min="3099" max="3333" width="9.140625" style="943"/>
    <col min="3334" max="3334" width="3.7109375" style="943" customWidth="1"/>
    <col min="3335" max="3335" width="14.42578125" style="943" customWidth="1"/>
    <col min="3336" max="3336" width="3.7109375" style="943" customWidth="1"/>
    <col min="3337" max="3337" width="21.42578125" style="943" customWidth="1"/>
    <col min="3338" max="3350" width="7.28515625" style="943" customWidth="1"/>
    <col min="3351" max="3352" width="8" style="943" customWidth="1"/>
    <col min="3353" max="3353" width="9.140625" style="943" customWidth="1"/>
    <col min="3354" max="3354" width="9.42578125" style="943" customWidth="1"/>
    <col min="3355" max="3589" width="9.140625" style="943"/>
    <col min="3590" max="3590" width="3.7109375" style="943" customWidth="1"/>
    <col min="3591" max="3591" width="14.42578125" style="943" customWidth="1"/>
    <col min="3592" max="3592" width="3.7109375" style="943" customWidth="1"/>
    <col min="3593" max="3593" width="21.42578125" style="943" customWidth="1"/>
    <col min="3594" max="3606" width="7.28515625" style="943" customWidth="1"/>
    <col min="3607" max="3608" width="8" style="943" customWidth="1"/>
    <col min="3609" max="3609" width="9.140625" style="943" customWidth="1"/>
    <col min="3610" max="3610" width="9.42578125" style="943" customWidth="1"/>
    <col min="3611" max="3845" width="9.140625" style="943"/>
    <col min="3846" max="3846" width="3.7109375" style="943" customWidth="1"/>
    <col min="3847" max="3847" width="14.42578125" style="943" customWidth="1"/>
    <col min="3848" max="3848" width="3.7109375" style="943" customWidth="1"/>
    <col min="3849" max="3849" width="21.42578125" style="943" customWidth="1"/>
    <col min="3850" max="3862" width="7.28515625" style="943" customWidth="1"/>
    <col min="3863" max="3864" width="8" style="943" customWidth="1"/>
    <col min="3865" max="3865" width="9.140625" style="943" customWidth="1"/>
    <col min="3866" max="3866" width="9.42578125" style="943" customWidth="1"/>
    <col min="3867" max="4101" width="9.140625" style="943"/>
    <col min="4102" max="4102" width="3.7109375" style="943" customWidth="1"/>
    <col min="4103" max="4103" width="14.42578125" style="943" customWidth="1"/>
    <col min="4104" max="4104" width="3.7109375" style="943" customWidth="1"/>
    <col min="4105" max="4105" width="21.42578125" style="943" customWidth="1"/>
    <col min="4106" max="4118" width="7.28515625" style="943" customWidth="1"/>
    <col min="4119" max="4120" width="8" style="943" customWidth="1"/>
    <col min="4121" max="4121" width="9.140625" style="943" customWidth="1"/>
    <col min="4122" max="4122" width="9.42578125" style="943" customWidth="1"/>
    <col min="4123" max="4357" width="9.140625" style="943"/>
    <col min="4358" max="4358" width="3.7109375" style="943" customWidth="1"/>
    <col min="4359" max="4359" width="14.42578125" style="943" customWidth="1"/>
    <col min="4360" max="4360" width="3.7109375" style="943" customWidth="1"/>
    <col min="4361" max="4361" width="21.42578125" style="943" customWidth="1"/>
    <col min="4362" max="4374" width="7.28515625" style="943" customWidth="1"/>
    <col min="4375" max="4376" width="8" style="943" customWidth="1"/>
    <col min="4377" max="4377" width="9.140625" style="943" customWidth="1"/>
    <col min="4378" max="4378" width="9.42578125" style="943" customWidth="1"/>
    <col min="4379" max="4613" width="9.140625" style="943"/>
    <col min="4614" max="4614" width="3.7109375" style="943" customWidth="1"/>
    <col min="4615" max="4615" width="14.42578125" style="943" customWidth="1"/>
    <col min="4616" max="4616" width="3.7109375" style="943" customWidth="1"/>
    <col min="4617" max="4617" width="21.42578125" style="943" customWidth="1"/>
    <col min="4618" max="4630" width="7.28515625" style="943" customWidth="1"/>
    <col min="4631" max="4632" width="8" style="943" customWidth="1"/>
    <col min="4633" max="4633" width="9.140625" style="943" customWidth="1"/>
    <col min="4634" max="4634" width="9.42578125" style="943" customWidth="1"/>
    <col min="4635" max="4869" width="9.140625" style="943"/>
    <col min="4870" max="4870" width="3.7109375" style="943" customWidth="1"/>
    <col min="4871" max="4871" width="14.42578125" style="943" customWidth="1"/>
    <col min="4872" max="4872" width="3.7109375" style="943" customWidth="1"/>
    <col min="4873" max="4873" width="21.42578125" style="943" customWidth="1"/>
    <col min="4874" max="4886" width="7.28515625" style="943" customWidth="1"/>
    <col min="4887" max="4888" width="8" style="943" customWidth="1"/>
    <col min="4889" max="4889" width="9.140625" style="943" customWidth="1"/>
    <col min="4890" max="4890" width="9.42578125" style="943" customWidth="1"/>
    <col min="4891" max="5125" width="9.140625" style="943"/>
    <col min="5126" max="5126" width="3.7109375" style="943" customWidth="1"/>
    <col min="5127" max="5127" width="14.42578125" style="943" customWidth="1"/>
    <col min="5128" max="5128" width="3.7109375" style="943" customWidth="1"/>
    <col min="5129" max="5129" width="21.42578125" style="943" customWidth="1"/>
    <col min="5130" max="5142" width="7.28515625" style="943" customWidth="1"/>
    <col min="5143" max="5144" width="8" style="943" customWidth="1"/>
    <col min="5145" max="5145" width="9.140625" style="943" customWidth="1"/>
    <col min="5146" max="5146" width="9.42578125" style="943" customWidth="1"/>
    <col min="5147" max="5381" width="9.140625" style="943"/>
    <col min="5382" max="5382" width="3.7109375" style="943" customWidth="1"/>
    <col min="5383" max="5383" width="14.42578125" style="943" customWidth="1"/>
    <col min="5384" max="5384" width="3.7109375" style="943" customWidth="1"/>
    <col min="5385" max="5385" width="21.42578125" style="943" customWidth="1"/>
    <col min="5386" max="5398" width="7.28515625" style="943" customWidth="1"/>
    <col min="5399" max="5400" width="8" style="943" customWidth="1"/>
    <col min="5401" max="5401" width="9.140625" style="943" customWidth="1"/>
    <col min="5402" max="5402" width="9.42578125" style="943" customWidth="1"/>
    <col min="5403" max="5637" width="9.140625" style="943"/>
    <col min="5638" max="5638" width="3.7109375" style="943" customWidth="1"/>
    <col min="5639" max="5639" width="14.42578125" style="943" customWidth="1"/>
    <col min="5640" max="5640" width="3.7109375" style="943" customWidth="1"/>
    <col min="5641" max="5641" width="21.42578125" style="943" customWidth="1"/>
    <col min="5642" max="5654" width="7.28515625" style="943" customWidth="1"/>
    <col min="5655" max="5656" width="8" style="943" customWidth="1"/>
    <col min="5657" max="5657" width="9.140625" style="943" customWidth="1"/>
    <col min="5658" max="5658" width="9.42578125" style="943" customWidth="1"/>
    <col min="5659" max="5893" width="9.140625" style="943"/>
    <col min="5894" max="5894" width="3.7109375" style="943" customWidth="1"/>
    <col min="5895" max="5895" width="14.42578125" style="943" customWidth="1"/>
    <col min="5896" max="5896" width="3.7109375" style="943" customWidth="1"/>
    <col min="5897" max="5897" width="21.42578125" style="943" customWidth="1"/>
    <col min="5898" max="5910" width="7.28515625" style="943" customWidth="1"/>
    <col min="5911" max="5912" width="8" style="943" customWidth="1"/>
    <col min="5913" max="5913" width="9.140625" style="943" customWidth="1"/>
    <col min="5914" max="5914" width="9.42578125" style="943" customWidth="1"/>
    <col min="5915" max="6149" width="9.140625" style="943"/>
    <col min="6150" max="6150" width="3.7109375" style="943" customWidth="1"/>
    <col min="6151" max="6151" width="14.42578125" style="943" customWidth="1"/>
    <col min="6152" max="6152" width="3.7109375" style="943" customWidth="1"/>
    <col min="6153" max="6153" width="21.42578125" style="943" customWidth="1"/>
    <col min="6154" max="6166" width="7.28515625" style="943" customWidth="1"/>
    <col min="6167" max="6168" width="8" style="943" customWidth="1"/>
    <col min="6169" max="6169" width="9.140625" style="943" customWidth="1"/>
    <col min="6170" max="6170" width="9.42578125" style="943" customWidth="1"/>
    <col min="6171" max="6405" width="9.140625" style="943"/>
    <col min="6406" max="6406" width="3.7109375" style="943" customWidth="1"/>
    <col min="6407" max="6407" width="14.42578125" style="943" customWidth="1"/>
    <col min="6408" max="6408" width="3.7109375" style="943" customWidth="1"/>
    <col min="6409" max="6409" width="21.42578125" style="943" customWidth="1"/>
    <col min="6410" max="6422" width="7.28515625" style="943" customWidth="1"/>
    <col min="6423" max="6424" width="8" style="943" customWidth="1"/>
    <col min="6425" max="6425" width="9.140625" style="943" customWidth="1"/>
    <col min="6426" max="6426" width="9.42578125" style="943" customWidth="1"/>
    <col min="6427" max="6661" width="9.140625" style="943"/>
    <col min="6662" max="6662" width="3.7109375" style="943" customWidth="1"/>
    <col min="6663" max="6663" width="14.42578125" style="943" customWidth="1"/>
    <col min="6664" max="6664" width="3.7109375" style="943" customWidth="1"/>
    <col min="6665" max="6665" width="21.42578125" style="943" customWidth="1"/>
    <col min="6666" max="6678" width="7.28515625" style="943" customWidth="1"/>
    <col min="6679" max="6680" width="8" style="943" customWidth="1"/>
    <col min="6681" max="6681" width="9.140625" style="943" customWidth="1"/>
    <col min="6682" max="6682" width="9.42578125" style="943" customWidth="1"/>
    <col min="6683" max="6917" width="9.140625" style="943"/>
    <col min="6918" max="6918" width="3.7109375" style="943" customWidth="1"/>
    <col min="6919" max="6919" width="14.42578125" style="943" customWidth="1"/>
    <col min="6920" max="6920" width="3.7109375" style="943" customWidth="1"/>
    <col min="6921" max="6921" width="21.42578125" style="943" customWidth="1"/>
    <col min="6922" max="6934" width="7.28515625" style="943" customWidth="1"/>
    <col min="6935" max="6936" width="8" style="943" customWidth="1"/>
    <col min="6937" max="6937" width="9.140625" style="943" customWidth="1"/>
    <col min="6938" max="6938" width="9.42578125" style="943" customWidth="1"/>
    <col min="6939" max="7173" width="9.140625" style="943"/>
    <col min="7174" max="7174" width="3.7109375" style="943" customWidth="1"/>
    <col min="7175" max="7175" width="14.42578125" style="943" customWidth="1"/>
    <col min="7176" max="7176" width="3.7109375" style="943" customWidth="1"/>
    <col min="7177" max="7177" width="21.42578125" style="943" customWidth="1"/>
    <col min="7178" max="7190" width="7.28515625" style="943" customWidth="1"/>
    <col min="7191" max="7192" width="8" style="943" customWidth="1"/>
    <col min="7193" max="7193" width="9.140625" style="943" customWidth="1"/>
    <col min="7194" max="7194" width="9.42578125" style="943" customWidth="1"/>
    <col min="7195" max="7429" width="9.140625" style="943"/>
    <col min="7430" max="7430" width="3.7109375" style="943" customWidth="1"/>
    <col min="7431" max="7431" width="14.42578125" style="943" customWidth="1"/>
    <col min="7432" max="7432" width="3.7109375" style="943" customWidth="1"/>
    <col min="7433" max="7433" width="21.42578125" style="943" customWidth="1"/>
    <col min="7434" max="7446" width="7.28515625" style="943" customWidth="1"/>
    <col min="7447" max="7448" width="8" style="943" customWidth="1"/>
    <col min="7449" max="7449" width="9.140625" style="943" customWidth="1"/>
    <col min="7450" max="7450" width="9.42578125" style="943" customWidth="1"/>
    <col min="7451" max="7685" width="9.140625" style="943"/>
    <col min="7686" max="7686" width="3.7109375" style="943" customWidth="1"/>
    <col min="7687" max="7687" width="14.42578125" style="943" customWidth="1"/>
    <col min="7688" max="7688" width="3.7109375" style="943" customWidth="1"/>
    <col min="7689" max="7689" width="21.42578125" style="943" customWidth="1"/>
    <col min="7690" max="7702" width="7.28515625" style="943" customWidth="1"/>
    <col min="7703" max="7704" width="8" style="943" customWidth="1"/>
    <col min="7705" max="7705" width="9.140625" style="943" customWidth="1"/>
    <col min="7706" max="7706" width="9.42578125" style="943" customWidth="1"/>
    <col min="7707" max="7941" width="9.140625" style="943"/>
    <col min="7942" max="7942" width="3.7109375" style="943" customWidth="1"/>
    <col min="7943" max="7943" width="14.42578125" style="943" customWidth="1"/>
    <col min="7944" max="7944" width="3.7109375" style="943" customWidth="1"/>
    <col min="7945" max="7945" width="21.42578125" style="943" customWidth="1"/>
    <col min="7946" max="7958" width="7.28515625" style="943" customWidth="1"/>
    <col min="7959" max="7960" width="8" style="943" customWidth="1"/>
    <col min="7961" max="7961" width="9.140625" style="943" customWidth="1"/>
    <col min="7962" max="7962" width="9.42578125" style="943" customWidth="1"/>
    <col min="7963" max="8197" width="9.140625" style="943"/>
    <col min="8198" max="8198" width="3.7109375" style="943" customWidth="1"/>
    <col min="8199" max="8199" width="14.42578125" style="943" customWidth="1"/>
    <col min="8200" max="8200" width="3.7109375" style="943" customWidth="1"/>
    <col min="8201" max="8201" width="21.42578125" style="943" customWidth="1"/>
    <col min="8202" max="8214" width="7.28515625" style="943" customWidth="1"/>
    <col min="8215" max="8216" width="8" style="943" customWidth="1"/>
    <col min="8217" max="8217" width="9.140625" style="943" customWidth="1"/>
    <col min="8218" max="8218" width="9.42578125" style="943" customWidth="1"/>
    <col min="8219" max="8453" width="9.140625" style="943"/>
    <col min="8454" max="8454" width="3.7109375" style="943" customWidth="1"/>
    <col min="8455" max="8455" width="14.42578125" style="943" customWidth="1"/>
    <col min="8456" max="8456" width="3.7109375" style="943" customWidth="1"/>
    <col min="8457" max="8457" width="21.42578125" style="943" customWidth="1"/>
    <col min="8458" max="8470" width="7.28515625" style="943" customWidth="1"/>
    <col min="8471" max="8472" width="8" style="943" customWidth="1"/>
    <col min="8473" max="8473" width="9.140625" style="943" customWidth="1"/>
    <col min="8474" max="8474" width="9.42578125" style="943" customWidth="1"/>
    <col min="8475" max="8709" width="9.140625" style="943"/>
    <col min="8710" max="8710" width="3.7109375" style="943" customWidth="1"/>
    <col min="8711" max="8711" width="14.42578125" style="943" customWidth="1"/>
    <col min="8712" max="8712" width="3.7109375" style="943" customWidth="1"/>
    <col min="8713" max="8713" width="21.42578125" style="943" customWidth="1"/>
    <col min="8714" max="8726" width="7.28515625" style="943" customWidth="1"/>
    <col min="8727" max="8728" width="8" style="943" customWidth="1"/>
    <col min="8729" max="8729" width="9.140625" style="943" customWidth="1"/>
    <col min="8730" max="8730" width="9.42578125" style="943" customWidth="1"/>
    <col min="8731" max="8965" width="9.140625" style="943"/>
    <col min="8966" max="8966" width="3.7109375" style="943" customWidth="1"/>
    <col min="8967" max="8967" width="14.42578125" style="943" customWidth="1"/>
    <col min="8968" max="8968" width="3.7109375" style="943" customWidth="1"/>
    <col min="8969" max="8969" width="21.42578125" style="943" customWidth="1"/>
    <col min="8970" max="8982" width="7.28515625" style="943" customWidth="1"/>
    <col min="8983" max="8984" width="8" style="943" customWidth="1"/>
    <col min="8985" max="8985" width="9.140625" style="943" customWidth="1"/>
    <col min="8986" max="8986" width="9.42578125" style="943" customWidth="1"/>
    <col min="8987" max="9221" width="9.140625" style="943"/>
    <col min="9222" max="9222" width="3.7109375" style="943" customWidth="1"/>
    <col min="9223" max="9223" width="14.42578125" style="943" customWidth="1"/>
    <col min="9224" max="9224" width="3.7109375" style="943" customWidth="1"/>
    <col min="9225" max="9225" width="21.42578125" style="943" customWidth="1"/>
    <col min="9226" max="9238" width="7.28515625" style="943" customWidth="1"/>
    <col min="9239" max="9240" width="8" style="943" customWidth="1"/>
    <col min="9241" max="9241" width="9.140625" style="943" customWidth="1"/>
    <col min="9242" max="9242" width="9.42578125" style="943" customWidth="1"/>
    <col min="9243" max="9477" width="9.140625" style="943"/>
    <col min="9478" max="9478" width="3.7109375" style="943" customWidth="1"/>
    <col min="9479" max="9479" width="14.42578125" style="943" customWidth="1"/>
    <col min="9480" max="9480" width="3.7109375" style="943" customWidth="1"/>
    <col min="9481" max="9481" width="21.42578125" style="943" customWidth="1"/>
    <col min="9482" max="9494" width="7.28515625" style="943" customWidth="1"/>
    <col min="9495" max="9496" width="8" style="943" customWidth="1"/>
    <col min="9497" max="9497" width="9.140625" style="943" customWidth="1"/>
    <col min="9498" max="9498" width="9.42578125" style="943" customWidth="1"/>
    <col min="9499" max="9733" width="9.140625" style="943"/>
    <col min="9734" max="9734" width="3.7109375" style="943" customWidth="1"/>
    <col min="9735" max="9735" width="14.42578125" style="943" customWidth="1"/>
    <col min="9736" max="9736" width="3.7109375" style="943" customWidth="1"/>
    <col min="9737" max="9737" width="21.42578125" style="943" customWidth="1"/>
    <col min="9738" max="9750" width="7.28515625" style="943" customWidth="1"/>
    <col min="9751" max="9752" width="8" style="943" customWidth="1"/>
    <col min="9753" max="9753" width="9.140625" style="943" customWidth="1"/>
    <col min="9754" max="9754" width="9.42578125" style="943" customWidth="1"/>
    <col min="9755" max="9989" width="9.140625" style="943"/>
    <col min="9990" max="9990" width="3.7109375" style="943" customWidth="1"/>
    <col min="9991" max="9991" width="14.42578125" style="943" customWidth="1"/>
    <col min="9992" max="9992" width="3.7109375" style="943" customWidth="1"/>
    <col min="9993" max="9993" width="21.42578125" style="943" customWidth="1"/>
    <col min="9994" max="10006" width="7.28515625" style="943" customWidth="1"/>
    <col min="10007" max="10008" width="8" style="943" customWidth="1"/>
    <col min="10009" max="10009" width="9.140625" style="943" customWidth="1"/>
    <col min="10010" max="10010" width="9.42578125" style="943" customWidth="1"/>
    <col min="10011" max="10245" width="9.140625" style="943"/>
    <col min="10246" max="10246" width="3.7109375" style="943" customWidth="1"/>
    <col min="10247" max="10247" width="14.42578125" style="943" customWidth="1"/>
    <col min="10248" max="10248" width="3.7109375" style="943" customWidth="1"/>
    <col min="10249" max="10249" width="21.42578125" style="943" customWidth="1"/>
    <col min="10250" max="10262" width="7.28515625" style="943" customWidth="1"/>
    <col min="10263" max="10264" width="8" style="943" customWidth="1"/>
    <col min="10265" max="10265" width="9.140625" style="943" customWidth="1"/>
    <col min="10266" max="10266" width="9.42578125" style="943" customWidth="1"/>
    <col min="10267" max="10501" width="9.140625" style="943"/>
    <col min="10502" max="10502" width="3.7109375" style="943" customWidth="1"/>
    <col min="10503" max="10503" width="14.42578125" style="943" customWidth="1"/>
    <col min="10504" max="10504" width="3.7109375" style="943" customWidth="1"/>
    <col min="10505" max="10505" width="21.42578125" style="943" customWidth="1"/>
    <col min="10506" max="10518" width="7.28515625" style="943" customWidth="1"/>
    <col min="10519" max="10520" width="8" style="943" customWidth="1"/>
    <col min="10521" max="10521" width="9.140625" style="943" customWidth="1"/>
    <col min="10522" max="10522" width="9.42578125" style="943" customWidth="1"/>
    <col min="10523" max="10757" width="9.140625" style="943"/>
    <col min="10758" max="10758" width="3.7109375" style="943" customWidth="1"/>
    <col min="10759" max="10759" width="14.42578125" style="943" customWidth="1"/>
    <col min="10760" max="10760" width="3.7109375" style="943" customWidth="1"/>
    <col min="10761" max="10761" width="21.42578125" style="943" customWidth="1"/>
    <col min="10762" max="10774" width="7.28515625" style="943" customWidth="1"/>
    <col min="10775" max="10776" width="8" style="943" customWidth="1"/>
    <col min="10777" max="10777" width="9.140625" style="943" customWidth="1"/>
    <col min="10778" max="10778" width="9.42578125" style="943" customWidth="1"/>
    <col min="10779" max="11013" width="9.140625" style="943"/>
    <col min="11014" max="11014" width="3.7109375" style="943" customWidth="1"/>
    <col min="11015" max="11015" width="14.42578125" style="943" customWidth="1"/>
    <col min="11016" max="11016" width="3.7109375" style="943" customWidth="1"/>
    <col min="11017" max="11017" width="21.42578125" style="943" customWidth="1"/>
    <col min="11018" max="11030" width="7.28515625" style="943" customWidth="1"/>
    <col min="11031" max="11032" width="8" style="943" customWidth="1"/>
    <col min="11033" max="11033" width="9.140625" style="943" customWidth="1"/>
    <col min="11034" max="11034" width="9.42578125" style="943" customWidth="1"/>
    <col min="11035" max="11269" width="9.140625" style="943"/>
    <col min="11270" max="11270" width="3.7109375" style="943" customWidth="1"/>
    <col min="11271" max="11271" width="14.42578125" style="943" customWidth="1"/>
    <col min="11272" max="11272" width="3.7109375" style="943" customWidth="1"/>
    <col min="11273" max="11273" width="21.42578125" style="943" customWidth="1"/>
    <col min="11274" max="11286" width="7.28515625" style="943" customWidth="1"/>
    <col min="11287" max="11288" width="8" style="943" customWidth="1"/>
    <col min="11289" max="11289" width="9.140625" style="943" customWidth="1"/>
    <col min="11290" max="11290" width="9.42578125" style="943" customWidth="1"/>
    <col min="11291" max="11525" width="9.140625" style="943"/>
    <col min="11526" max="11526" width="3.7109375" style="943" customWidth="1"/>
    <col min="11527" max="11527" width="14.42578125" style="943" customWidth="1"/>
    <col min="11528" max="11528" width="3.7109375" style="943" customWidth="1"/>
    <col min="11529" max="11529" width="21.42578125" style="943" customWidth="1"/>
    <col min="11530" max="11542" width="7.28515625" style="943" customWidth="1"/>
    <col min="11543" max="11544" width="8" style="943" customWidth="1"/>
    <col min="11545" max="11545" width="9.140625" style="943" customWidth="1"/>
    <col min="11546" max="11546" width="9.42578125" style="943" customWidth="1"/>
    <col min="11547" max="11781" width="9.140625" style="943"/>
    <col min="11782" max="11782" width="3.7109375" style="943" customWidth="1"/>
    <col min="11783" max="11783" width="14.42578125" style="943" customWidth="1"/>
    <col min="11784" max="11784" width="3.7109375" style="943" customWidth="1"/>
    <col min="11785" max="11785" width="21.42578125" style="943" customWidth="1"/>
    <col min="11786" max="11798" width="7.28515625" style="943" customWidth="1"/>
    <col min="11799" max="11800" width="8" style="943" customWidth="1"/>
    <col min="11801" max="11801" width="9.140625" style="943" customWidth="1"/>
    <col min="11802" max="11802" width="9.42578125" style="943" customWidth="1"/>
    <col min="11803" max="12037" width="9.140625" style="943"/>
    <col min="12038" max="12038" width="3.7109375" style="943" customWidth="1"/>
    <col min="12039" max="12039" width="14.42578125" style="943" customWidth="1"/>
    <col min="12040" max="12040" width="3.7109375" style="943" customWidth="1"/>
    <col min="12041" max="12041" width="21.42578125" style="943" customWidth="1"/>
    <col min="12042" max="12054" width="7.28515625" style="943" customWidth="1"/>
    <col min="12055" max="12056" width="8" style="943" customWidth="1"/>
    <col min="12057" max="12057" width="9.140625" style="943" customWidth="1"/>
    <col min="12058" max="12058" width="9.42578125" style="943" customWidth="1"/>
    <col min="12059" max="12293" width="9.140625" style="943"/>
    <col min="12294" max="12294" width="3.7109375" style="943" customWidth="1"/>
    <col min="12295" max="12295" width="14.42578125" style="943" customWidth="1"/>
    <col min="12296" max="12296" width="3.7109375" style="943" customWidth="1"/>
    <col min="12297" max="12297" width="21.42578125" style="943" customWidth="1"/>
    <col min="12298" max="12310" width="7.28515625" style="943" customWidth="1"/>
    <col min="12311" max="12312" width="8" style="943" customWidth="1"/>
    <col min="12313" max="12313" width="9.140625" style="943" customWidth="1"/>
    <col min="12314" max="12314" width="9.42578125" style="943" customWidth="1"/>
    <col min="12315" max="12549" width="9.140625" style="943"/>
    <col min="12550" max="12550" width="3.7109375" style="943" customWidth="1"/>
    <col min="12551" max="12551" width="14.42578125" style="943" customWidth="1"/>
    <col min="12552" max="12552" width="3.7109375" style="943" customWidth="1"/>
    <col min="12553" max="12553" width="21.42578125" style="943" customWidth="1"/>
    <col min="12554" max="12566" width="7.28515625" style="943" customWidth="1"/>
    <col min="12567" max="12568" width="8" style="943" customWidth="1"/>
    <col min="12569" max="12569" width="9.140625" style="943" customWidth="1"/>
    <col min="12570" max="12570" width="9.42578125" style="943" customWidth="1"/>
    <col min="12571" max="12805" width="9.140625" style="943"/>
    <col min="12806" max="12806" width="3.7109375" style="943" customWidth="1"/>
    <col min="12807" max="12807" width="14.42578125" style="943" customWidth="1"/>
    <col min="12808" max="12808" width="3.7109375" style="943" customWidth="1"/>
    <col min="12809" max="12809" width="21.42578125" style="943" customWidth="1"/>
    <col min="12810" max="12822" width="7.28515625" style="943" customWidth="1"/>
    <col min="12823" max="12824" width="8" style="943" customWidth="1"/>
    <col min="12825" max="12825" width="9.140625" style="943" customWidth="1"/>
    <col min="12826" max="12826" width="9.42578125" style="943" customWidth="1"/>
    <col min="12827" max="13061" width="9.140625" style="943"/>
    <col min="13062" max="13062" width="3.7109375" style="943" customWidth="1"/>
    <col min="13063" max="13063" width="14.42578125" style="943" customWidth="1"/>
    <col min="13064" max="13064" width="3.7109375" style="943" customWidth="1"/>
    <col min="13065" max="13065" width="21.42578125" style="943" customWidth="1"/>
    <col min="13066" max="13078" width="7.28515625" style="943" customWidth="1"/>
    <col min="13079" max="13080" width="8" style="943" customWidth="1"/>
    <col min="13081" max="13081" width="9.140625" style="943" customWidth="1"/>
    <col min="13082" max="13082" width="9.42578125" style="943" customWidth="1"/>
    <col min="13083" max="13317" width="9.140625" style="943"/>
    <col min="13318" max="13318" width="3.7109375" style="943" customWidth="1"/>
    <col min="13319" max="13319" width="14.42578125" style="943" customWidth="1"/>
    <col min="13320" max="13320" width="3.7109375" style="943" customWidth="1"/>
    <col min="13321" max="13321" width="21.42578125" style="943" customWidth="1"/>
    <col min="13322" max="13334" width="7.28515625" style="943" customWidth="1"/>
    <col min="13335" max="13336" width="8" style="943" customWidth="1"/>
    <col min="13337" max="13337" width="9.140625" style="943" customWidth="1"/>
    <col min="13338" max="13338" width="9.42578125" style="943" customWidth="1"/>
    <col min="13339" max="13573" width="9.140625" style="943"/>
    <col min="13574" max="13574" width="3.7109375" style="943" customWidth="1"/>
    <col min="13575" max="13575" width="14.42578125" style="943" customWidth="1"/>
    <col min="13576" max="13576" width="3.7109375" style="943" customWidth="1"/>
    <col min="13577" max="13577" width="21.42578125" style="943" customWidth="1"/>
    <col min="13578" max="13590" width="7.28515625" style="943" customWidth="1"/>
    <col min="13591" max="13592" width="8" style="943" customWidth="1"/>
    <col min="13593" max="13593" width="9.140625" style="943" customWidth="1"/>
    <col min="13594" max="13594" width="9.42578125" style="943" customWidth="1"/>
    <col min="13595" max="13829" width="9.140625" style="943"/>
    <col min="13830" max="13830" width="3.7109375" style="943" customWidth="1"/>
    <col min="13831" max="13831" width="14.42578125" style="943" customWidth="1"/>
    <col min="13832" max="13832" width="3.7109375" style="943" customWidth="1"/>
    <col min="13833" max="13833" width="21.42578125" style="943" customWidth="1"/>
    <col min="13834" max="13846" width="7.28515625" style="943" customWidth="1"/>
    <col min="13847" max="13848" width="8" style="943" customWidth="1"/>
    <col min="13849" max="13849" width="9.140625" style="943" customWidth="1"/>
    <col min="13850" max="13850" width="9.42578125" style="943" customWidth="1"/>
    <col min="13851" max="14085" width="9.140625" style="943"/>
    <col min="14086" max="14086" width="3.7109375" style="943" customWidth="1"/>
    <col min="14087" max="14087" width="14.42578125" style="943" customWidth="1"/>
    <col min="14088" max="14088" width="3.7109375" style="943" customWidth="1"/>
    <col min="14089" max="14089" width="21.42578125" style="943" customWidth="1"/>
    <col min="14090" max="14102" width="7.28515625" style="943" customWidth="1"/>
    <col min="14103" max="14104" width="8" style="943" customWidth="1"/>
    <col min="14105" max="14105" width="9.140625" style="943" customWidth="1"/>
    <col min="14106" max="14106" width="9.42578125" style="943" customWidth="1"/>
    <col min="14107" max="14341" width="9.140625" style="943"/>
    <col min="14342" max="14342" width="3.7109375" style="943" customWidth="1"/>
    <col min="14343" max="14343" width="14.42578125" style="943" customWidth="1"/>
    <col min="14344" max="14344" width="3.7109375" style="943" customWidth="1"/>
    <col min="14345" max="14345" width="21.42578125" style="943" customWidth="1"/>
    <col min="14346" max="14358" width="7.28515625" style="943" customWidth="1"/>
    <col min="14359" max="14360" width="8" style="943" customWidth="1"/>
    <col min="14361" max="14361" width="9.140625" style="943" customWidth="1"/>
    <col min="14362" max="14362" width="9.42578125" style="943" customWidth="1"/>
    <col min="14363" max="14597" width="9.140625" style="943"/>
    <col min="14598" max="14598" width="3.7109375" style="943" customWidth="1"/>
    <col min="14599" max="14599" width="14.42578125" style="943" customWidth="1"/>
    <col min="14600" max="14600" width="3.7109375" style="943" customWidth="1"/>
    <col min="14601" max="14601" width="21.42578125" style="943" customWidth="1"/>
    <col min="14602" max="14614" width="7.28515625" style="943" customWidth="1"/>
    <col min="14615" max="14616" width="8" style="943" customWidth="1"/>
    <col min="14617" max="14617" width="9.140625" style="943" customWidth="1"/>
    <col min="14618" max="14618" width="9.42578125" style="943" customWidth="1"/>
    <col min="14619" max="14853" width="9.140625" style="943"/>
    <col min="14854" max="14854" width="3.7109375" style="943" customWidth="1"/>
    <col min="14855" max="14855" width="14.42578125" style="943" customWidth="1"/>
    <col min="14856" max="14856" width="3.7109375" style="943" customWidth="1"/>
    <col min="14857" max="14857" width="21.42578125" style="943" customWidth="1"/>
    <col min="14858" max="14870" width="7.28515625" style="943" customWidth="1"/>
    <col min="14871" max="14872" width="8" style="943" customWidth="1"/>
    <col min="14873" max="14873" width="9.140625" style="943" customWidth="1"/>
    <col min="14874" max="14874" width="9.42578125" style="943" customWidth="1"/>
    <col min="14875" max="15109" width="9.140625" style="943"/>
    <col min="15110" max="15110" width="3.7109375" style="943" customWidth="1"/>
    <col min="15111" max="15111" width="14.42578125" style="943" customWidth="1"/>
    <col min="15112" max="15112" width="3.7109375" style="943" customWidth="1"/>
    <col min="15113" max="15113" width="21.42578125" style="943" customWidth="1"/>
    <col min="15114" max="15126" width="7.28515625" style="943" customWidth="1"/>
    <col min="15127" max="15128" width="8" style="943" customWidth="1"/>
    <col min="15129" max="15129" width="9.140625" style="943" customWidth="1"/>
    <col min="15130" max="15130" width="9.42578125" style="943" customWidth="1"/>
    <col min="15131" max="15365" width="9.140625" style="943"/>
    <col min="15366" max="15366" width="3.7109375" style="943" customWidth="1"/>
    <col min="15367" max="15367" width="14.42578125" style="943" customWidth="1"/>
    <col min="15368" max="15368" width="3.7109375" style="943" customWidth="1"/>
    <col min="15369" max="15369" width="21.42578125" style="943" customWidth="1"/>
    <col min="15370" max="15382" width="7.28515625" style="943" customWidth="1"/>
    <col min="15383" max="15384" width="8" style="943" customWidth="1"/>
    <col min="15385" max="15385" width="9.140625" style="943" customWidth="1"/>
    <col min="15386" max="15386" width="9.42578125" style="943" customWidth="1"/>
    <col min="15387" max="15621" width="9.140625" style="943"/>
    <col min="15622" max="15622" width="3.7109375" style="943" customWidth="1"/>
    <col min="15623" max="15623" width="14.42578125" style="943" customWidth="1"/>
    <col min="15624" max="15624" width="3.7109375" style="943" customWidth="1"/>
    <col min="15625" max="15625" width="21.42578125" style="943" customWidth="1"/>
    <col min="15626" max="15638" width="7.28515625" style="943" customWidth="1"/>
    <col min="15639" max="15640" width="8" style="943" customWidth="1"/>
    <col min="15641" max="15641" width="9.140625" style="943" customWidth="1"/>
    <col min="15642" max="15642" width="9.42578125" style="943" customWidth="1"/>
    <col min="15643" max="15877" width="9.140625" style="943"/>
    <col min="15878" max="15878" width="3.7109375" style="943" customWidth="1"/>
    <col min="15879" max="15879" width="14.42578125" style="943" customWidth="1"/>
    <col min="15880" max="15880" width="3.7109375" style="943" customWidth="1"/>
    <col min="15881" max="15881" width="21.42578125" style="943" customWidth="1"/>
    <col min="15882" max="15894" width="7.28515625" style="943" customWidth="1"/>
    <col min="15895" max="15896" width="8" style="943" customWidth="1"/>
    <col min="15897" max="15897" width="9.140625" style="943" customWidth="1"/>
    <col min="15898" max="15898" width="9.42578125" style="943" customWidth="1"/>
    <col min="15899" max="16133" width="9.140625" style="943"/>
    <col min="16134" max="16134" width="3.7109375" style="943" customWidth="1"/>
    <col min="16135" max="16135" width="14.42578125" style="943" customWidth="1"/>
    <col min="16136" max="16136" width="3.7109375" style="943" customWidth="1"/>
    <col min="16137" max="16137" width="21.42578125" style="943" customWidth="1"/>
    <col min="16138" max="16150" width="7.28515625" style="943" customWidth="1"/>
    <col min="16151" max="16152" width="8" style="943" customWidth="1"/>
    <col min="16153" max="16153" width="9.140625" style="943" customWidth="1"/>
    <col min="16154" max="16154" width="9.42578125" style="943" customWidth="1"/>
    <col min="16155" max="16384" width="9.140625" style="943"/>
  </cols>
  <sheetData>
    <row r="2" spans="1:32" ht="12" customHeight="1" x14ac:dyDescent="0.2">
      <c r="A2" s="1">
        <v>1</v>
      </c>
      <c r="B2" s="1" t="s">
        <v>0</v>
      </c>
      <c r="C2" s="1">
        <f>1+'ART new TROA'!C2</f>
        <v>39</v>
      </c>
      <c r="D2" s="4156" t="s">
        <v>942</v>
      </c>
      <c r="E2" s="4157"/>
      <c r="F2" s="4157"/>
      <c r="G2" s="4157"/>
      <c r="H2" s="4157"/>
      <c r="I2" s="4157"/>
      <c r="J2" s="4157"/>
      <c r="K2" s="4157"/>
      <c r="L2" s="4157"/>
      <c r="M2" s="4157"/>
      <c r="N2" s="4157"/>
      <c r="O2" s="4157"/>
      <c r="P2" s="4157"/>
      <c r="Q2" s="4157"/>
      <c r="R2" s="4157"/>
      <c r="S2" s="4157"/>
      <c r="T2" s="4157"/>
      <c r="U2" s="4157"/>
      <c r="V2" s="4157"/>
      <c r="W2" s="4157"/>
      <c r="X2" s="4157"/>
      <c r="Y2" s="4157"/>
      <c r="Z2" s="4157"/>
      <c r="AA2" s="4157"/>
      <c r="AB2" s="4158"/>
    </row>
    <row r="3" spans="1:32" ht="14.1" customHeight="1" x14ac:dyDescent="0.2">
      <c r="A3" s="1">
        <v>2</v>
      </c>
      <c r="B3" s="1" t="s">
        <v>2</v>
      </c>
      <c r="C3" s="1"/>
      <c r="D3" s="4156" t="s">
        <v>802</v>
      </c>
      <c r="E3" s="4157"/>
      <c r="F3" s="4157"/>
      <c r="G3" s="4157"/>
      <c r="H3" s="4157"/>
      <c r="I3" s="4157"/>
      <c r="J3" s="4157"/>
      <c r="K3" s="4157"/>
      <c r="L3" s="4157"/>
      <c r="M3" s="4157"/>
      <c r="N3" s="4157"/>
      <c r="O3" s="4157"/>
      <c r="P3" s="4157"/>
      <c r="Q3" s="4157"/>
      <c r="R3" s="4157"/>
      <c r="S3" s="4157"/>
      <c r="T3" s="4157"/>
      <c r="U3" s="4157"/>
      <c r="V3" s="4157"/>
      <c r="W3" s="4157"/>
      <c r="X3" s="4157"/>
      <c r="Y3" s="4157"/>
      <c r="Z3" s="4157"/>
      <c r="AA3" s="4157"/>
      <c r="AB3" s="4158"/>
    </row>
    <row r="4" spans="1:32" ht="14.1" customHeight="1" x14ac:dyDescent="0.2">
      <c r="A4" s="1">
        <v>3</v>
      </c>
      <c r="B4" s="1" t="s">
        <v>4</v>
      </c>
      <c r="C4" s="1"/>
      <c r="D4" s="4156" t="s">
        <v>803</v>
      </c>
      <c r="E4" s="4157"/>
      <c r="F4" s="4157"/>
      <c r="G4" s="4157"/>
      <c r="H4" s="4157"/>
      <c r="I4" s="4157"/>
      <c r="J4" s="4157"/>
      <c r="K4" s="4157"/>
      <c r="L4" s="4157"/>
      <c r="M4" s="4157"/>
      <c r="N4" s="4157"/>
      <c r="O4" s="4157"/>
      <c r="P4" s="4157"/>
      <c r="Q4" s="4157"/>
      <c r="R4" s="4157"/>
      <c r="S4" s="4157"/>
      <c r="T4" s="4157"/>
      <c r="U4" s="4157"/>
      <c r="V4" s="4157"/>
      <c r="W4" s="4157"/>
      <c r="X4" s="4157"/>
      <c r="Y4" s="4157"/>
      <c r="Z4" s="4157"/>
      <c r="AA4" s="4157"/>
      <c r="AB4" s="4158"/>
    </row>
    <row r="5" spans="1:32" ht="14.1" customHeight="1" x14ac:dyDescent="0.2">
      <c r="A5" s="1">
        <v>4</v>
      </c>
      <c r="B5" s="1" t="s">
        <v>804</v>
      </c>
      <c r="C5" s="1"/>
      <c r="D5" s="4156" t="s">
        <v>1798</v>
      </c>
      <c r="E5" s="4157"/>
      <c r="F5" s="4157"/>
      <c r="G5" s="4157"/>
      <c r="H5" s="4157"/>
      <c r="I5" s="4157"/>
      <c r="J5" s="4157"/>
      <c r="K5" s="4157"/>
      <c r="L5" s="4157"/>
      <c r="M5" s="4157"/>
      <c r="N5" s="4157"/>
      <c r="O5" s="4157"/>
      <c r="P5" s="4157"/>
      <c r="Q5" s="4157"/>
      <c r="R5" s="4157"/>
      <c r="S5" s="4157"/>
      <c r="T5" s="4157"/>
      <c r="U5" s="4157"/>
      <c r="V5" s="4157"/>
      <c r="W5" s="4157"/>
      <c r="X5" s="4157"/>
      <c r="Y5" s="4157"/>
      <c r="Z5" s="4157"/>
      <c r="AA5" s="4157"/>
      <c r="AB5" s="4158"/>
    </row>
    <row r="6" spans="1:32" ht="24.75" customHeight="1" x14ac:dyDescent="0.2">
      <c r="A6" s="1"/>
      <c r="B6" s="1"/>
      <c r="D6" s="2036"/>
      <c r="E6" s="2036"/>
      <c r="F6" s="2036"/>
      <c r="G6" s="2036"/>
      <c r="H6" s="2036"/>
      <c r="I6" s="2036"/>
      <c r="J6" s="2036"/>
      <c r="K6" s="2036"/>
      <c r="L6" s="2036"/>
      <c r="M6" s="2036"/>
      <c r="N6" s="2036"/>
      <c r="O6" s="2036"/>
      <c r="P6" s="2036"/>
      <c r="Q6" s="2036"/>
      <c r="R6" s="2036"/>
      <c r="S6" s="2036"/>
      <c r="T6" s="2036"/>
      <c r="U6" s="2036"/>
      <c r="V6" s="2036"/>
      <c r="W6" s="2036"/>
      <c r="X6" s="2036"/>
      <c r="Y6" s="2036"/>
      <c r="Z6" s="692"/>
      <c r="AA6" s="692"/>
    </row>
    <row r="7" spans="1:32" ht="24.75" customHeight="1" x14ac:dyDescent="0.2">
      <c r="A7" s="1">
        <v>5</v>
      </c>
      <c r="B7" s="12" t="s">
        <v>5</v>
      </c>
      <c r="C7" s="2035"/>
      <c r="D7" s="1405" t="s">
        <v>6</v>
      </c>
      <c r="E7" s="1405" t="s">
        <v>943</v>
      </c>
      <c r="F7" s="1405"/>
      <c r="G7" s="1405"/>
      <c r="H7" s="1405"/>
      <c r="I7" s="1405"/>
      <c r="J7" s="1405"/>
      <c r="K7" s="1405"/>
      <c r="L7" s="1405"/>
      <c r="M7" s="17"/>
      <c r="N7" s="17"/>
      <c r="O7" s="2271"/>
      <c r="P7" s="17"/>
      <c r="Q7" s="17"/>
    </row>
    <row r="8" spans="1:32" x14ac:dyDescent="0.2">
      <c r="B8" s="2035"/>
      <c r="C8" s="2035"/>
      <c r="D8" s="2272"/>
      <c r="E8" s="2273">
        <v>1994</v>
      </c>
      <c r="F8" s="2093">
        <v>1995</v>
      </c>
      <c r="G8" s="2093">
        <v>1996</v>
      </c>
      <c r="H8" s="2093">
        <v>1997</v>
      </c>
      <c r="I8" s="2093">
        <v>1998</v>
      </c>
      <c r="J8" s="2093">
        <v>1999</v>
      </c>
      <c r="K8" s="2093">
        <v>2000</v>
      </c>
      <c r="L8" s="2093">
        <v>2001</v>
      </c>
      <c r="M8" s="2093">
        <v>2002</v>
      </c>
      <c r="N8" s="2093">
        <v>2003</v>
      </c>
      <c r="O8" s="2093">
        <v>2004</v>
      </c>
      <c r="P8" s="2093">
        <v>2005</v>
      </c>
      <c r="Q8" s="2093">
        <v>2006</v>
      </c>
      <c r="R8" s="2093">
        <v>2007</v>
      </c>
      <c r="S8" s="2093">
        <v>2008</v>
      </c>
      <c r="T8" s="2093">
        <v>2009</v>
      </c>
      <c r="U8" s="2093">
        <v>2010</v>
      </c>
      <c r="V8" s="2093">
        <v>2011</v>
      </c>
      <c r="W8" s="2093">
        <v>2012</v>
      </c>
      <c r="X8" s="2093" t="s">
        <v>944</v>
      </c>
      <c r="Y8" s="2163" t="s">
        <v>945</v>
      </c>
      <c r="Z8" s="1742">
        <v>2015</v>
      </c>
      <c r="AA8" s="1742">
        <v>2016</v>
      </c>
      <c r="AB8" s="1742">
        <v>2017</v>
      </c>
      <c r="AC8" s="1743"/>
    </row>
    <row r="9" spans="1:32" s="2155" customFormat="1" ht="24.75" customHeight="1" x14ac:dyDescent="0.2">
      <c r="A9" s="2274"/>
      <c r="B9" s="2274"/>
      <c r="C9" s="2275">
        <v>1</v>
      </c>
      <c r="D9" s="1889" t="s">
        <v>946</v>
      </c>
      <c r="E9" s="2276">
        <v>90292</v>
      </c>
      <c r="F9" s="2277">
        <v>73917</v>
      </c>
      <c r="G9" s="2277">
        <v>109328</v>
      </c>
      <c r="H9" s="2277">
        <v>125913</v>
      </c>
      <c r="I9" s="2277">
        <v>142281</v>
      </c>
      <c r="J9" s="2277">
        <v>148164</v>
      </c>
      <c r="K9" s="2277">
        <v>151239</v>
      </c>
      <c r="L9" s="2277">
        <v>188695</v>
      </c>
      <c r="M9" s="2277">
        <v>224420</v>
      </c>
      <c r="N9" s="2277">
        <v>255422</v>
      </c>
      <c r="O9" s="2277">
        <v>279260</v>
      </c>
      <c r="P9" s="2277">
        <v>302467</v>
      </c>
      <c r="Q9" s="2277">
        <v>341165</v>
      </c>
      <c r="R9" s="2277">
        <v>353879</v>
      </c>
      <c r="S9" s="2277">
        <v>388882</v>
      </c>
      <c r="T9" s="2277">
        <v>406082</v>
      </c>
      <c r="U9" s="2277">
        <v>401048</v>
      </c>
      <c r="V9" s="2277">
        <v>389974</v>
      </c>
      <c r="W9" s="2277">
        <v>349582</v>
      </c>
      <c r="X9" s="2277">
        <v>328896</v>
      </c>
      <c r="Y9" s="2277">
        <v>318193</v>
      </c>
      <c r="Z9" s="2278">
        <v>235778</v>
      </c>
      <c r="AA9" s="2278">
        <v>266105</v>
      </c>
      <c r="AB9" s="3690">
        <v>227224</v>
      </c>
      <c r="AC9" s="1844"/>
    </row>
    <row r="10" spans="1:32" x14ac:dyDescent="0.2">
      <c r="C10" s="2279">
        <v>2</v>
      </c>
      <c r="D10" s="2280" t="s">
        <v>947</v>
      </c>
      <c r="E10" s="2276">
        <v>73</v>
      </c>
      <c r="F10" s="2277">
        <v>73</v>
      </c>
      <c r="G10" s="2277">
        <v>73</v>
      </c>
      <c r="H10" s="2277">
        <v>73</v>
      </c>
      <c r="I10" s="2277">
        <v>73</v>
      </c>
      <c r="J10" s="2277">
        <v>72</v>
      </c>
      <c r="K10" s="2277">
        <v>63</v>
      </c>
      <c r="L10" s="2277">
        <v>61</v>
      </c>
      <c r="M10" s="2277">
        <v>63</v>
      </c>
      <c r="N10" s="2277">
        <v>63</v>
      </c>
      <c r="O10" s="2277">
        <v>66</v>
      </c>
      <c r="P10" s="2277">
        <v>71</v>
      </c>
      <c r="Q10" s="2277">
        <v>74</v>
      </c>
      <c r="R10" s="2277">
        <v>74</v>
      </c>
      <c r="S10" s="2277">
        <v>76</v>
      </c>
      <c r="T10" s="2277">
        <v>77</v>
      </c>
      <c r="U10" s="2277">
        <v>79</v>
      </c>
      <c r="V10" s="2277">
        <v>80</v>
      </c>
      <c r="W10" s="2277">
        <v>81</v>
      </c>
      <c r="X10" s="2277">
        <v>82</v>
      </c>
      <c r="Y10" s="2277">
        <v>77.900000000000006</v>
      </c>
      <c r="Z10" s="2278">
        <v>77.5</v>
      </c>
      <c r="AA10" s="2278">
        <v>82.2</v>
      </c>
      <c r="AB10" s="3690">
        <v>81.7</v>
      </c>
      <c r="AC10" s="2281"/>
    </row>
    <row r="11" spans="1:32" x14ac:dyDescent="0.2">
      <c r="C11" s="2279">
        <v>3</v>
      </c>
      <c r="D11" s="1889" t="s">
        <v>948</v>
      </c>
      <c r="E11" s="2282">
        <v>18</v>
      </c>
      <c r="F11" s="2004">
        <v>19</v>
      </c>
      <c r="G11" s="2004">
        <v>18</v>
      </c>
      <c r="H11" s="2004">
        <v>19</v>
      </c>
      <c r="I11" s="2004">
        <v>19</v>
      </c>
      <c r="J11" s="2004">
        <v>17</v>
      </c>
      <c r="K11" s="2004">
        <v>13</v>
      </c>
      <c r="L11" s="2004">
        <v>11</v>
      </c>
      <c r="M11" s="2004">
        <v>12</v>
      </c>
      <c r="N11" s="2004">
        <v>11</v>
      </c>
      <c r="O11" s="2004">
        <v>10</v>
      </c>
      <c r="P11" s="2004">
        <v>10</v>
      </c>
      <c r="Q11" s="2004">
        <v>9</v>
      </c>
      <c r="R11" s="2004">
        <v>9</v>
      </c>
      <c r="S11" s="2004">
        <v>8</v>
      </c>
      <c r="T11" s="2004">
        <v>7</v>
      </c>
      <c r="U11" s="2004">
        <v>7</v>
      </c>
      <c r="V11" s="2004">
        <v>6</v>
      </c>
      <c r="W11" s="2004">
        <v>6</v>
      </c>
      <c r="X11" s="2004">
        <v>5.8</v>
      </c>
      <c r="Y11" s="2004">
        <v>6.3</v>
      </c>
      <c r="Z11" s="2283">
        <v>6</v>
      </c>
      <c r="AA11" s="2283">
        <v>6.5</v>
      </c>
      <c r="AB11" s="3691">
        <v>6.9</v>
      </c>
      <c r="AC11" s="2281"/>
    </row>
    <row r="12" spans="1:32" s="11" customFormat="1" ht="13.5" customHeight="1" x14ac:dyDescent="0.2">
      <c r="A12" s="6"/>
      <c r="B12" s="6"/>
      <c r="C12" s="2279">
        <v>4</v>
      </c>
      <c r="D12" s="1889" t="s">
        <v>949</v>
      </c>
      <c r="E12" s="2284"/>
      <c r="F12" s="2016"/>
      <c r="G12" s="2016"/>
      <c r="H12" s="2016"/>
      <c r="I12" s="2016"/>
      <c r="J12" s="2016"/>
      <c r="K12" s="2016"/>
      <c r="L12" s="2016"/>
      <c r="M12" s="2016"/>
      <c r="N12" s="2016"/>
      <c r="O12" s="2016"/>
      <c r="P12" s="2016"/>
      <c r="Q12" s="2016"/>
      <c r="R12" s="2016"/>
      <c r="S12" s="2016"/>
      <c r="T12" s="2016"/>
      <c r="U12" s="2016"/>
      <c r="V12" s="2016"/>
      <c r="W12" s="2016"/>
      <c r="X12" s="2016"/>
      <c r="Y12" s="2016">
        <v>7.4</v>
      </c>
      <c r="Z12" s="2285">
        <v>6.7</v>
      </c>
      <c r="AA12" s="2285">
        <v>6.7</v>
      </c>
      <c r="AB12" s="3692">
        <v>6.6</v>
      </c>
      <c r="AC12" s="2281"/>
    </row>
    <row r="13" spans="1:32" s="11" customFormat="1" ht="13.5" customHeight="1" x14ac:dyDescent="0.2">
      <c r="A13" s="6"/>
      <c r="B13" s="6"/>
      <c r="C13" s="2279"/>
      <c r="D13" s="1889"/>
      <c r="E13" s="1999"/>
      <c r="F13" s="1999"/>
      <c r="G13" s="1999"/>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2281"/>
    </row>
    <row r="14" spans="1:32" s="11" customFormat="1" ht="13.5" customHeight="1" x14ac:dyDescent="0.2">
      <c r="A14" s="6"/>
      <c r="B14" s="6"/>
      <c r="C14" s="2279"/>
      <c r="D14" s="1889"/>
      <c r="E14" s="1999"/>
      <c r="F14" s="1999"/>
      <c r="G14" s="1999"/>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2281"/>
    </row>
    <row r="15" spans="1:32" s="11" customFormat="1" ht="12.75" customHeight="1" x14ac:dyDescent="0.2">
      <c r="A15" s="1">
        <v>6</v>
      </c>
      <c r="B15" s="12" t="s">
        <v>5</v>
      </c>
      <c r="C15" s="2279"/>
      <c r="D15" s="2286" t="s">
        <v>67</v>
      </c>
      <c r="E15" s="2287" t="s">
        <v>950</v>
      </c>
      <c r="F15" s="1844"/>
      <c r="G15" s="1844"/>
      <c r="H15" s="1844"/>
      <c r="I15" s="1844"/>
      <c r="J15" s="1844"/>
      <c r="K15" s="1844"/>
      <c r="L15" s="1844"/>
      <c r="M15" s="1844"/>
      <c r="N15" s="1844"/>
      <c r="O15" s="1844"/>
      <c r="P15" s="1844"/>
      <c r="Q15" s="1844"/>
      <c r="R15" s="1844"/>
      <c r="S15" s="1844"/>
      <c r="T15" s="2288"/>
      <c r="U15" s="2288"/>
      <c r="V15" s="2288"/>
      <c r="W15" s="2288"/>
      <c r="X15" s="2288"/>
      <c r="Y15" s="2288"/>
      <c r="Z15" s="2288"/>
      <c r="AA15" s="2288"/>
      <c r="AD15" s="2289"/>
      <c r="AE15" s="2289"/>
    </row>
    <row r="16" spans="1:32" x14ac:dyDescent="0.2">
      <c r="B16" s="2035"/>
      <c r="C16" s="2035"/>
      <c r="D16" s="2272"/>
      <c r="E16" s="1775"/>
      <c r="F16" s="1775"/>
      <c r="G16" s="1775"/>
      <c r="H16" s="1775"/>
      <c r="I16" s="1775"/>
      <c r="J16" s="1775"/>
      <c r="K16" s="2093">
        <v>2000</v>
      </c>
      <c r="L16" s="2093">
        <v>2001</v>
      </c>
      <c r="M16" s="2093">
        <v>2002</v>
      </c>
      <c r="N16" s="2093">
        <v>2003</v>
      </c>
      <c r="O16" s="2093">
        <v>2004</v>
      </c>
      <c r="P16" s="2093">
        <v>2005</v>
      </c>
      <c r="Q16" s="2093">
        <v>2006</v>
      </c>
      <c r="R16" s="2093">
        <v>2007</v>
      </c>
      <c r="S16" s="2093">
        <v>2008</v>
      </c>
      <c r="T16" s="2093">
        <v>2009</v>
      </c>
      <c r="U16" s="2093">
        <v>2010</v>
      </c>
      <c r="V16" s="2093">
        <v>2011</v>
      </c>
      <c r="W16" s="2093">
        <v>2012</v>
      </c>
      <c r="X16" s="2163">
        <v>2013</v>
      </c>
      <c r="Y16" s="2094">
        <v>2014</v>
      </c>
      <c r="Z16" s="2163">
        <v>2015</v>
      </c>
      <c r="AA16" s="2163">
        <v>2016</v>
      </c>
      <c r="AB16" s="2163">
        <v>2017</v>
      </c>
      <c r="AC16" s="2288"/>
      <c r="AF16" s="2290"/>
    </row>
    <row r="17" spans="1:35" s="11" customFormat="1" ht="13.5" customHeight="1" x14ac:dyDescent="0.2">
      <c r="A17" s="6"/>
      <c r="B17" s="6"/>
      <c r="C17" s="2279"/>
      <c r="D17" s="1889" t="s">
        <v>951</v>
      </c>
      <c r="E17" s="1844"/>
      <c r="F17" s="1844"/>
      <c r="G17" s="1844"/>
      <c r="H17" s="1844"/>
      <c r="I17" s="1844"/>
      <c r="J17" s="1844"/>
      <c r="K17" s="2291">
        <v>77</v>
      </c>
      <c r="L17" s="2291">
        <v>77</v>
      </c>
      <c r="M17" s="2291">
        <v>98</v>
      </c>
      <c r="N17" s="2291">
        <v>100</v>
      </c>
      <c r="O17" s="2291">
        <v>93</v>
      </c>
      <c r="P17" s="2291">
        <v>94</v>
      </c>
      <c r="Q17" s="2291">
        <v>100</v>
      </c>
      <c r="R17" s="2291">
        <v>100</v>
      </c>
      <c r="S17" s="2291">
        <v>100</v>
      </c>
      <c r="T17" s="2291">
        <v>100</v>
      </c>
      <c r="U17" s="2291">
        <v>100</v>
      </c>
      <c r="V17" s="2291">
        <v>100</v>
      </c>
      <c r="W17" s="2291">
        <v>100</v>
      </c>
      <c r="X17" s="2292">
        <v>100</v>
      </c>
      <c r="Y17" s="1843"/>
      <c r="Z17" s="2292"/>
      <c r="AA17" s="2292"/>
      <c r="AB17" s="2292">
        <v>68</v>
      </c>
      <c r="AC17" s="2288"/>
      <c r="AF17" s="2289"/>
    </row>
    <row r="18" spans="1:35" s="11" customFormat="1" ht="11.25" x14ac:dyDescent="0.2">
      <c r="A18" s="6"/>
      <c r="B18" s="6"/>
      <c r="C18" s="2279"/>
      <c r="D18" s="1883" t="s">
        <v>952</v>
      </c>
      <c r="E18" s="1844"/>
      <c r="F18" s="1844"/>
      <c r="G18" s="1844"/>
      <c r="H18" s="1844"/>
      <c r="I18" s="1844"/>
      <c r="J18" s="1844"/>
      <c r="K18" s="2291">
        <v>333</v>
      </c>
      <c r="L18" s="2291">
        <v>322</v>
      </c>
      <c r="M18" s="2291">
        <v>462</v>
      </c>
      <c r="N18" s="2291">
        <v>483</v>
      </c>
      <c r="O18" s="2291">
        <v>562</v>
      </c>
      <c r="P18" s="2291">
        <v>564</v>
      </c>
      <c r="Q18" s="2291">
        <v>628</v>
      </c>
      <c r="R18" s="2291">
        <v>649</v>
      </c>
      <c r="S18" s="2291">
        <v>798.5</v>
      </c>
      <c r="T18" s="2291">
        <v>833.8</v>
      </c>
      <c r="U18" s="2291">
        <v>802</v>
      </c>
      <c r="V18" s="2291">
        <v>765</v>
      </c>
      <c r="W18" s="2291">
        <v>670</v>
      </c>
      <c r="X18" s="2292">
        <v>620</v>
      </c>
      <c r="Y18" s="1843"/>
      <c r="Z18" s="2292"/>
      <c r="AA18" s="2292"/>
      <c r="AB18" s="2292"/>
      <c r="AC18" s="2288"/>
      <c r="AF18" s="2289"/>
      <c r="AG18" s="2289"/>
      <c r="AI18" s="2289"/>
    </row>
    <row r="19" spans="1:35" s="2300" customFormat="1" ht="11.25" x14ac:dyDescent="0.2">
      <c r="A19" s="2293"/>
      <c r="B19" s="2293"/>
      <c r="C19" s="2294"/>
      <c r="D19" s="2295" t="s">
        <v>953</v>
      </c>
      <c r="E19" s="2296"/>
      <c r="F19" s="2296"/>
      <c r="G19" s="2296"/>
      <c r="H19" s="2296"/>
      <c r="I19" s="2296"/>
      <c r="J19" s="2296"/>
      <c r="K19" s="2297">
        <v>82</v>
      </c>
      <c r="L19" s="2297">
        <v>78</v>
      </c>
      <c r="M19" s="2297">
        <v>99</v>
      </c>
      <c r="N19" s="2297">
        <v>100</v>
      </c>
      <c r="O19" s="2297">
        <v>97</v>
      </c>
      <c r="P19" s="2297">
        <v>96</v>
      </c>
      <c r="Q19" s="2297">
        <v>100</v>
      </c>
      <c r="R19" s="2297">
        <v>100</v>
      </c>
      <c r="S19" s="2297">
        <v>100</v>
      </c>
      <c r="T19" s="2297">
        <v>100</v>
      </c>
      <c r="U19" s="2297">
        <v>100</v>
      </c>
      <c r="V19" s="2297">
        <v>100</v>
      </c>
      <c r="W19" s="2297">
        <v>100</v>
      </c>
      <c r="X19" s="2298">
        <v>100</v>
      </c>
      <c r="Y19" s="2299"/>
      <c r="Z19" s="2298"/>
      <c r="AA19" s="2298">
        <v>82</v>
      </c>
      <c r="AB19" s="2298"/>
      <c r="AC19" s="2288"/>
    </row>
    <row r="20" spans="1:35" s="11" customFormat="1" ht="11.25" x14ac:dyDescent="0.2">
      <c r="A20" s="6"/>
      <c r="B20" s="6"/>
      <c r="C20" s="2279"/>
      <c r="D20" s="1883" t="s">
        <v>954</v>
      </c>
      <c r="E20" s="1844"/>
      <c r="F20" s="1844"/>
      <c r="G20" s="1844"/>
      <c r="H20" s="1844"/>
      <c r="I20" s="1844"/>
      <c r="J20" s="1844"/>
      <c r="K20" s="2291">
        <v>167</v>
      </c>
      <c r="L20" s="2291">
        <v>182</v>
      </c>
      <c r="M20" s="2291">
        <v>212</v>
      </c>
      <c r="N20" s="2291">
        <v>247</v>
      </c>
      <c r="O20" s="2291">
        <v>266</v>
      </c>
      <c r="P20" s="2291">
        <v>262</v>
      </c>
      <c r="Q20" s="2291">
        <v>272</v>
      </c>
      <c r="R20" s="2291">
        <v>279</v>
      </c>
      <c r="S20" s="2291">
        <v>285</v>
      </c>
      <c r="T20" s="2291">
        <v>286.39999999999998</v>
      </c>
      <c r="U20" s="2291">
        <v>264</v>
      </c>
      <c r="V20" s="2291">
        <v>254</v>
      </c>
      <c r="W20" s="2291">
        <v>235</v>
      </c>
      <c r="X20" s="2292">
        <v>217</v>
      </c>
      <c r="Y20" s="1843"/>
      <c r="Z20" s="2292"/>
      <c r="AA20" s="2292"/>
      <c r="AB20" s="2292"/>
      <c r="AC20" s="2288"/>
    </row>
    <row r="21" spans="1:35" s="2300" customFormat="1" ht="11.25" x14ac:dyDescent="0.2">
      <c r="A21" s="2293"/>
      <c r="B21" s="2293"/>
      <c r="C21" s="2294"/>
      <c r="D21" s="2295" t="s">
        <v>955</v>
      </c>
      <c r="E21" s="2296"/>
      <c r="F21" s="2296"/>
      <c r="G21" s="2296"/>
      <c r="H21" s="2296"/>
      <c r="I21" s="2296"/>
      <c r="J21" s="2296"/>
      <c r="K21" s="2297">
        <v>82</v>
      </c>
      <c r="L21" s="2297">
        <v>85</v>
      </c>
      <c r="M21" s="2297">
        <v>99</v>
      </c>
      <c r="N21" s="2297">
        <v>100</v>
      </c>
      <c r="O21" s="2297">
        <v>96</v>
      </c>
      <c r="P21" s="2297">
        <v>96</v>
      </c>
      <c r="Q21" s="2297">
        <v>100</v>
      </c>
      <c r="R21" s="2297">
        <v>100</v>
      </c>
      <c r="S21" s="2297">
        <v>100</v>
      </c>
      <c r="T21" s="2297">
        <v>100</v>
      </c>
      <c r="U21" s="2297">
        <v>100</v>
      </c>
      <c r="V21" s="2297">
        <v>100</v>
      </c>
      <c r="W21" s="2297">
        <v>100</v>
      </c>
      <c r="X21" s="2298">
        <v>100</v>
      </c>
      <c r="Y21" s="2299"/>
      <c r="Z21" s="2298"/>
      <c r="AA21" s="2298"/>
      <c r="AB21" s="2298"/>
      <c r="AC21" s="2288"/>
    </row>
    <row r="22" spans="1:35" s="11" customFormat="1" ht="11.25" x14ac:dyDescent="0.2">
      <c r="A22" s="6"/>
      <c r="B22" s="6"/>
      <c r="C22" s="2279"/>
      <c r="D22" s="1883" t="s">
        <v>956</v>
      </c>
      <c r="E22" s="1844"/>
      <c r="F22" s="1844"/>
      <c r="G22" s="1844"/>
      <c r="H22" s="1844"/>
      <c r="I22" s="1844"/>
      <c r="J22" s="1844"/>
      <c r="K22" s="2291">
        <v>43</v>
      </c>
      <c r="L22" s="2291">
        <v>44</v>
      </c>
      <c r="M22" s="2291">
        <v>53</v>
      </c>
      <c r="N22" s="2291">
        <v>53</v>
      </c>
      <c r="O22" s="2291">
        <v>56</v>
      </c>
      <c r="P22" s="2291">
        <v>55</v>
      </c>
      <c r="Q22" s="2291">
        <v>60</v>
      </c>
      <c r="R22" s="2291">
        <v>62</v>
      </c>
      <c r="S22" s="2291">
        <v>72</v>
      </c>
      <c r="T22" s="2301">
        <v>81</v>
      </c>
      <c r="U22" s="2301">
        <v>79</v>
      </c>
      <c r="V22" s="2301">
        <v>69</v>
      </c>
      <c r="W22" s="2301">
        <v>62</v>
      </c>
      <c r="X22" s="2302"/>
      <c r="Y22" s="2303"/>
      <c r="Z22" s="2302"/>
      <c r="AA22" s="2302"/>
      <c r="AB22" s="2302"/>
      <c r="AC22" s="2288"/>
    </row>
    <row r="23" spans="1:35" s="11" customFormat="1" ht="11.25" x14ac:dyDescent="0.2">
      <c r="A23" s="6"/>
      <c r="B23" s="6"/>
      <c r="C23" s="2279"/>
      <c r="D23" s="1883" t="s">
        <v>957</v>
      </c>
      <c r="E23" s="1844"/>
      <c r="F23" s="1844"/>
      <c r="G23" s="1844"/>
      <c r="H23" s="1844"/>
      <c r="I23" s="1844"/>
      <c r="J23" s="1844"/>
      <c r="K23" s="2291">
        <v>76</v>
      </c>
      <c r="L23" s="2291">
        <v>70</v>
      </c>
      <c r="M23" s="2291">
        <v>72</v>
      </c>
      <c r="N23" s="2291">
        <v>77</v>
      </c>
      <c r="O23" s="2291">
        <v>78</v>
      </c>
      <c r="P23" s="2291">
        <v>75</v>
      </c>
      <c r="Q23" s="2291">
        <v>77</v>
      </c>
      <c r="R23" s="2291">
        <v>78</v>
      </c>
      <c r="S23" s="2291">
        <v>68</v>
      </c>
      <c r="T23" s="2304"/>
      <c r="U23" s="2304"/>
      <c r="V23" s="2304"/>
      <c r="W23" s="2304"/>
      <c r="X23" s="2305"/>
      <c r="Y23" s="2306"/>
      <c r="Z23" s="2305"/>
      <c r="AA23" s="2305"/>
      <c r="AB23" s="2305"/>
      <c r="AC23" s="2288"/>
    </row>
    <row r="24" spans="1:35" s="11" customFormat="1" ht="11.25" x14ac:dyDescent="0.2">
      <c r="A24" s="6"/>
      <c r="B24" s="6"/>
      <c r="C24" s="2279"/>
      <c r="D24" s="1883" t="s">
        <v>958</v>
      </c>
      <c r="E24" s="1844"/>
      <c r="F24" s="1844"/>
      <c r="G24" s="1844"/>
      <c r="H24" s="1844"/>
      <c r="I24" s="1844"/>
      <c r="J24" s="1844"/>
      <c r="K24" s="2291">
        <v>63</v>
      </c>
      <c r="L24" s="2291">
        <v>61</v>
      </c>
      <c r="M24" s="2291">
        <v>68</v>
      </c>
      <c r="N24" s="2291">
        <v>67</v>
      </c>
      <c r="O24" s="2291">
        <v>69</v>
      </c>
      <c r="P24" s="2291">
        <v>71</v>
      </c>
      <c r="Q24" s="2291">
        <v>74</v>
      </c>
      <c r="R24" s="2291">
        <v>74</v>
      </c>
      <c r="S24" s="2291">
        <v>76.3</v>
      </c>
      <c r="T24" s="2301">
        <v>73</v>
      </c>
      <c r="U24" s="2301">
        <v>79</v>
      </c>
      <c r="V24" s="2301">
        <v>80</v>
      </c>
      <c r="W24" s="2301">
        <v>81</v>
      </c>
      <c r="X24" s="2305"/>
      <c r="Y24" s="2303"/>
      <c r="Z24" s="2305"/>
      <c r="AA24" s="2305"/>
      <c r="AB24" s="2305"/>
      <c r="AC24" s="2288"/>
    </row>
    <row r="25" spans="1:35" s="11" customFormat="1" ht="11.25" x14ac:dyDescent="0.2">
      <c r="A25" s="6"/>
      <c r="B25" s="6"/>
      <c r="C25" s="2279"/>
      <c r="D25" s="2307" t="s">
        <v>959</v>
      </c>
      <c r="E25" s="2308"/>
      <c r="F25" s="2308"/>
      <c r="G25" s="2308"/>
      <c r="H25" s="2308"/>
      <c r="I25" s="2308"/>
      <c r="J25" s="2308"/>
      <c r="K25" s="2277">
        <v>50</v>
      </c>
      <c r="L25" s="2277">
        <v>50</v>
      </c>
      <c r="M25" s="2277">
        <v>53</v>
      </c>
      <c r="N25" s="2277">
        <v>52</v>
      </c>
      <c r="O25" s="2277">
        <v>56</v>
      </c>
      <c r="P25" s="2277">
        <v>58</v>
      </c>
      <c r="Q25" s="2277">
        <v>67</v>
      </c>
      <c r="R25" s="2277">
        <v>64</v>
      </c>
      <c r="S25" s="2277">
        <v>64.400000000000006</v>
      </c>
      <c r="T25" s="2309">
        <v>60</v>
      </c>
      <c r="U25" s="2309">
        <v>68</v>
      </c>
      <c r="V25" s="2309">
        <v>66</v>
      </c>
      <c r="W25" s="2309">
        <v>68</v>
      </c>
      <c r="X25" s="2310"/>
      <c r="Y25" s="2311"/>
      <c r="Z25" s="2310"/>
      <c r="AA25" s="2310"/>
      <c r="AB25" s="2310"/>
      <c r="AC25" s="2288"/>
    </row>
    <row r="26" spans="1:35" s="11" customFormat="1" ht="13.5" customHeight="1" x14ac:dyDescent="0.2">
      <c r="A26" s="6"/>
      <c r="B26" s="6"/>
      <c r="C26" s="2279"/>
      <c r="D26" s="1889"/>
      <c r="E26" s="1844"/>
      <c r="F26" s="1844"/>
      <c r="G26" s="1844"/>
      <c r="H26" s="1844"/>
      <c r="I26" s="1844"/>
      <c r="J26" s="1844"/>
      <c r="K26" s="1844"/>
      <c r="L26" s="1844"/>
      <c r="M26" s="1844"/>
      <c r="N26" s="1844"/>
      <c r="O26" s="1844"/>
      <c r="P26" s="1844"/>
      <c r="Q26" s="1844"/>
      <c r="R26" s="1844"/>
      <c r="S26" s="1844"/>
      <c r="T26" s="2288"/>
      <c r="U26" s="2288"/>
      <c r="V26" s="2288"/>
      <c r="W26" s="2288"/>
      <c r="X26" s="2288"/>
      <c r="Y26" s="2288"/>
      <c r="Z26" s="2288"/>
      <c r="AA26" s="2288"/>
    </row>
    <row r="28" spans="1:35" ht="14.25" x14ac:dyDescent="0.2">
      <c r="A28" s="1">
        <v>7</v>
      </c>
      <c r="B28" s="1" t="s">
        <v>90</v>
      </c>
      <c r="C28" s="1"/>
    </row>
    <row r="46" spans="1:27" ht="15" customHeight="1" x14ac:dyDescent="0.2">
      <c r="A46" s="1">
        <v>8</v>
      </c>
      <c r="B46" s="1" t="s">
        <v>29</v>
      </c>
      <c r="C46" s="1"/>
      <c r="D46" s="4140" t="s">
        <v>960</v>
      </c>
      <c r="E46" s="4141"/>
      <c r="F46" s="4141"/>
      <c r="G46" s="4141"/>
      <c r="H46" s="4141"/>
      <c r="I46" s="4141"/>
      <c r="J46" s="4141"/>
      <c r="K46" s="4141"/>
      <c r="L46" s="4141"/>
      <c r="M46" s="4141"/>
      <c r="N46" s="4141"/>
      <c r="O46" s="4141"/>
      <c r="P46" s="4141"/>
      <c r="Q46" s="4141"/>
      <c r="R46" s="4141"/>
      <c r="S46" s="4141"/>
      <c r="T46" s="4141"/>
      <c r="U46" s="4141"/>
      <c r="V46" s="4141"/>
      <c r="W46" s="4141"/>
      <c r="X46" s="4141"/>
      <c r="Y46" s="4142"/>
      <c r="Z46" s="1769"/>
      <c r="AA46" s="1769"/>
    </row>
    <row r="47" spans="1:27" ht="60.75" customHeight="1" x14ac:dyDescent="0.2">
      <c r="A47" s="40">
        <v>9</v>
      </c>
      <c r="B47" s="40" t="s">
        <v>32</v>
      </c>
      <c r="C47" s="1"/>
      <c r="D47" s="4140" t="s">
        <v>961</v>
      </c>
      <c r="E47" s="4141"/>
      <c r="F47" s="4141"/>
      <c r="G47" s="4141"/>
      <c r="H47" s="4141"/>
      <c r="I47" s="4141"/>
      <c r="J47" s="4141"/>
      <c r="K47" s="4141"/>
      <c r="L47" s="4141"/>
      <c r="M47" s="4141"/>
      <c r="N47" s="4141"/>
      <c r="O47" s="4141"/>
      <c r="P47" s="4141"/>
      <c r="Q47" s="4141"/>
      <c r="R47" s="4141"/>
      <c r="S47" s="4141"/>
      <c r="T47" s="4141"/>
      <c r="U47" s="4141"/>
      <c r="V47" s="4141"/>
      <c r="W47" s="4141"/>
      <c r="X47" s="4141"/>
      <c r="Y47" s="4142"/>
      <c r="Z47" s="1769"/>
      <c r="AA47" s="1769"/>
    </row>
    <row r="48" spans="1:27" ht="14.25" x14ac:dyDescent="0.2">
      <c r="A48" s="1">
        <v>10</v>
      </c>
      <c r="B48" s="1" t="s">
        <v>31</v>
      </c>
      <c r="C48" s="1"/>
      <c r="D48" s="4140" t="s">
        <v>962</v>
      </c>
      <c r="E48" s="4141"/>
      <c r="F48" s="4141"/>
      <c r="G48" s="4141"/>
      <c r="H48" s="4141"/>
      <c r="I48" s="4141"/>
      <c r="J48" s="4141"/>
      <c r="K48" s="4141"/>
      <c r="L48" s="4141"/>
      <c r="M48" s="4141"/>
      <c r="N48" s="4141"/>
      <c r="O48" s="4141"/>
      <c r="P48" s="4141"/>
      <c r="Q48" s="4141"/>
      <c r="R48" s="4141"/>
      <c r="S48" s="4141"/>
      <c r="T48" s="4141"/>
      <c r="U48" s="4141"/>
      <c r="V48" s="4141"/>
      <c r="W48" s="4141"/>
      <c r="X48" s="4141"/>
      <c r="Y48" s="4142"/>
      <c r="Z48" s="1769"/>
      <c r="AA48" s="1769"/>
    </row>
    <row r="49" spans="3:29" x14ac:dyDescent="0.2">
      <c r="D49" s="4262"/>
      <c r="E49" s="4262"/>
      <c r="F49" s="4262"/>
      <c r="G49" s="4262"/>
      <c r="H49" s="4262"/>
      <c r="I49" s="4262"/>
      <c r="J49" s="4262"/>
      <c r="K49" s="4262"/>
      <c r="L49" s="4262"/>
      <c r="M49" s="4262"/>
      <c r="N49" s="4262"/>
      <c r="O49" s="4262"/>
      <c r="P49" s="4262"/>
      <c r="Q49" s="2041"/>
    </row>
    <row r="50" spans="3:29" x14ac:dyDescent="0.2">
      <c r="D50" s="4262"/>
      <c r="E50" s="4262"/>
      <c r="F50" s="4262"/>
      <c r="G50" s="4262"/>
      <c r="H50" s="4262"/>
      <c r="I50" s="4262"/>
      <c r="J50" s="4262"/>
      <c r="K50" s="4262"/>
      <c r="L50" s="4262"/>
      <c r="M50" s="4262"/>
      <c r="N50" s="4262"/>
      <c r="O50" s="4262"/>
      <c r="P50" s="4262"/>
      <c r="Q50" s="2041"/>
    </row>
    <row r="51" spans="3:29" x14ac:dyDescent="0.2">
      <c r="D51" s="2041"/>
      <c r="E51" s="2041"/>
      <c r="F51" s="2041"/>
      <c r="G51" s="2041"/>
      <c r="H51" s="2041"/>
      <c r="I51" s="2041"/>
      <c r="J51" s="2041"/>
      <c r="K51" s="2041"/>
      <c r="L51" s="2041"/>
      <c r="M51" s="2041"/>
      <c r="N51" s="2041"/>
      <c r="O51" s="2041"/>
      <c r="P51" s="2041"/>
      <c r="Q51" s="2041"/>
    </row>
    <row r="52" spans="3:29" x14ac:dyDescent="0.2">
      <c r="C52" s="2259"/>
      <c r="D52" s="2286" t="s">
        <v>258</v>
      </c>
      <c r="E52" s="2287" t="s">
        <v>963</v>
      </c>
      <c r="F52" s="2312"/>
      <c r="G52" s="2312"/>
      <c r="H52" s="1844"/>
      <c r="I52" s="1844"/>
      <c r="J52" s="1844"/>
      <c r="K52" s="1844"/>
      <c r="L52" s="1844"/>
      <c r="M52" s="1844"/>
      <c r="N52" s="1844"/>
      <c r="O52" s="1844"/>
      <c r="P52" s="1844"/>
      <c r="Q52" s="1844"/>
      <c r="R52" s="1844"/>
      <c r="S52" s="1844"/>
      <c r="T52" s="2288"/>
      <c r="U52" s="2288"/>
      <c r="V52" s="2288"/>
      <c r="W52" s="2288"/>
      <c r="X52" s="2288"/>
    </row>
    <row r="53" spans="3:29" x14ac:dyDescent="0.2">
      <c r="C53" s="2259"/>
      <c r="D53" s="2313" t="s">
        <v>964</v>
      </c>
      <c r="E53" s="2314"/>
      <c r="F53" s="2314"/>
      <c r="G53" s="2314"/>
      <c r="H53" s="2314"/>
      <c r="I53" s="2314"/>
      <c r="J53" s="2314"/>
      <c r="K53" s="2314"/>
      <c r="L53" s="2314"/>
      <c r="M53" s="2314"/>
      <c r="N53" s="2314"/>
      <c r="O53" s="2314"/>
      <c r="P53" s="2314">
        <v>10312</v>
      </c>
      <c r="Q53" s="2314">
        <v>10553</v>
      </c>
      <c r="R53" s="2314">
        <v>10708</v>
      </c>
      <c r="S53" s="2314">
        <v>10035</v>
      </c>
      <c r="T53" s="2314">
        <v>10537</v>
      </c>
      <c r="U53" s="2314">
        <v>10106</v>
      </c>
      <c r="V53" s="2314"/>
      <c r="W53" s="2314"/>
      <c r="X53" s="2314"/>
      <c r="Y53" s="2101"/>
      <c r="Z53" s="2101"/>
      <c r="AA53" s="2101"/>
      <c r="AB53" s="2101"/>
      <c r="AC53" s="2101"/>
    </row>
    <row r="54" spans="3:29" x14ac:dyDescent="0.2">
      <c r="C54" s="2259"/>
      <c r="D54" s="1889" t="s">
        <v>965</v>
      </c>
      <c r="E54" s="1844"/>
      <c r="F54" s="1844"/>
      <c r="G54" s="1844"/>
      <c r="H54" s="1844"/>
      <c r="I54" s="1844"/>
      <c r="J54" s="1844"/>
      <c r="K54" s="1844"/>
      <c r="L54" s="1844"/>
      <c r="M54" s="1844"/>
      <c r="N54" s="1844"/>
      <c r="O54" s="1844"/>
      <c r="P54" s="1844">
        <v>2000</v>
      </c>
      <c r="Q54" s="1844">
        <v>6716</v>
      </c>
      <c r="R54" s="1844">
        <v>7350</v>
      </c>
      <c r="S54" s="1844">
        <v>8198</v>
      </c>
      <c r="T54" s="2281">
        <v>9070</v>
      </c>
      <c r="U54" s="2281">
        <v>7386</v>
      </c>
      <c r="V54" s="2281"/>
      <c r="W54" s="2281"/>
      <c r="X54" s="2281"/>
      <c r="Y54" s="2041"/>
      <c r="Z54" s="2041"/>
      <c r="AA54" s="2041"/>
      <c r="AB54" s="2041"/>
      <c r="AC54" s="2041"/>
    </row>
    <row r="55" spans="3:29" x14ac:dyDescent="0.2">
      <c r="C55" s="2259"/>
      <c r="D55" s="2315" t="s">
        <v>69</v>
      </c>
      <c r="E55" s="2296"/>
      <c r="F55" s="2296"/>
      <c r="G55" s="2296"/>
      <c r="H55" s="2296"/>
      <c r="I55" s="2296"/>
      <c r="J55" s="2296"/>
      <c r="K55" s="2296"/>
      <c r="L55" s="2296"/>
      <c r="M55" s="2296"/>
      <c r="N55" s="2296"/>
      <c r="O55" s="2296"/>
      <c r="P55" s="2296">
        <v>19</v>
      </c>
      <c r="Q55" s="2296">
        <v>64</v>
      </c>
      <c r="R55" s="2296">
        <v>69</v>
      </c>
      <c r="S55" s="2296">
        <v>82</v>
      </c>
      <c r="T55" s="2316">
        <v>86</v>
      </c>
      <c r="U55" s="2316">
        <v>73</v>
      </c>
      <c r="V55" s="2316"/>
      <c r="W55" s="2316"/>
      <c r="X55" s="2316"/>
      <c r="Y55" s="2041"/>
      <c r="Z55" s="2041"/>
      <c r="AA55" s="2041"/>
      <c r="AB55" s="2041"/>
      <c r="AC55" s="2041"/>
    </row>
    <row r="56" spans="3:29" x14ac:dyDescent="0.2">
      <c r="C56" s="2259"/>
      <c r="D56" s="1889" t="s">
        <v>966</v>
      </c>
      <c r="E56" s="1844"/>
      <c r="F56" s="1844"/>
      <c r="G56" s="1844"/>
      <c r="H56" s="1844"/>
      <c r="I56" s="1844"/>
      <c r="J56" s="1844"/>
      <c r="K56" s="1844"/>
      <c r="L56" s="1844"/>
      <c r="M56" s="1844"/>
      <c r="N56" s="1844"/>
      <c r="O56" s="1844"/>
      <c r="P56" s="2317" t="s">
        <v>967</v>
      </c>
      <c r="Q56" s="2317" t="s">
        <v>968</v>
      </c>
      <c r="R56" s="2317" t="s">
        <v>968</v>
      </c>
      <c r="S56" s="2318" t="s">
        <v>969</v>
      </c>
      <c r="T56" s="2318" t="s">
        <v>970</v>
      </c>
      <c r="U56" s="2318" t="s">
        <v>971</v>
      </c>
      <c r="V56" s="2318"/>
      <c r="W56" s="2318"/>
      <c r="X56" s="2318"/>
      <c r="Y56" s="2041"/>
      <c r="Z56" s="2041"/>
      <c r="AA56" s="2041"/>
      <c r="AB56" s="2041"/>
      <c r="AC56" s="2041"/>
    </row>
    <row r="57" spans="3:29" x14ac:dyDescent="0.2">
      <c r="C57" s="2259"/>
      <c r="D57" s="2319" t="s">
        <v>972</v>
      </c>
      <c r="E57" s="1844"/>
      <c r="F57" s="1844"/>
      <c r="G57" s="1844"/>
      <c r="H57" s="1844"/>
      <c r="I57" s="1844"/>
      <c r="J57" s="1844"/>
      <c r="K57" s="1844"/>
      <c r="L57" s="1844"/>
      <c r="M57" s="1844"/>
      <c r="N57" s="2113"/>
      <c r="O57" s="1844"/>
      <c r="P57" s="2320">
        <v>0</v>
      </c>
      <c r="Q57" s="2320">
        <v>0</v>
      </c>
      <c r="R57" s="2320">
        <v>0</v>
      </c>
      <c r="S57" s="2320">
        <v>0</v>
      </c>
      <c r="T57" s="2281">
        <v>0</v>
      </c>
      <c r="U57" s="2281">
        <v>0</v>
      </c>
      <c r="V57" s="2281"/>
      <c r="W57" s="2281"/>
      <c r="X57" s="2281"/>
      <c r="Y57" s="2041"/>
      <c r="Z57" s="2041"/>
      <c r="AA57" s="2041"/>
      <c r="AB57" s="2041"/>
      <c r="AC57" s="2041"/>
    </row>
    <row r="58" spans="3:29" x14ac:dyDescent="0.2">
      <c r="C58" s="2259"/>
      <c r="D58" s="2321" t="s">
        <v>973</v>
      </c>
      <c r="E58" s="2308"/>
      <c r="F58" s="2308"/>
      <c r="G58" s="2308"/>
      <c r="H58" s="2308"/>
      <c r="I58" s="2308"/>
      <c r="J58" s="2308"/>
      <c r="K58" s="2308"/>
      <c r="L58" s="2308"/>
      <c r="M58" s="2308"/>
      <c r="N58" s="2308"/>
      <c r="O58" s="2308"/>
      <c r="P58" s="2322">
        <v>0</v>
      </c>
      <c r="Q58" s="2322">
        <v>0</v>
      </c>
      <c r="R58" s="2322">
        <v>0</v>
      </c>
      <c r="S58" s="2323" t="s">
        <v>969</v>
      </c>
      <c r="T58" s="2323" t="s">
        <v>970</v>
      </c>
      <c r="U58" s="2323" t="s">
        <v>971</v>
      </c>
      <c r="V58" s="2323"/>
      <c r="W58" s="2323"/>
      <c r="X58" s="2323"/>
      <c r="Y58" s="2324"/>
      <c r="Z58" s="2324"/>
      <c r="AA58" s="2324"/>
      <c r="AB58" s="2324"/>
      <c r="AC58" s="2324"/>
    </row>
    <row r="59" spans="3:29" x14ac:dyDescent="0.2">
      <c r="C59" s="2259"/>
      <c r="D59" s="2041"/>
      <c r="E59" s="2041"/>
      <c r="F59" s="2041"/>
      <c r="G59" s="2041"/>
      <c r="H59" s="2041"/>
      <c r="I59" s="2041"/>
      <c r="J59" s="2041"/>
      <c r="K59" s="2041"/>
      <c r="L59" s="2041"/>
      <c r="M59" s="2041"/>
      <c r="N59" s="2041"/>
      <c r="O59" s="2041"/>
      <c r="P59" s="2041"/>
      <c r="Q59" s="2041"/>
      <c r="R59" s="2041"/>
      <c r="S59" s="2041"/>
      <c r="T59" s="2041"/>
      <c r="U59" s="2041"/>
      <c r="V59" s="2041"/>
      <c r="W59" s="2041"/>
      <c r="X59" s="2041"/>
    </row>
    <row r="62" spans="3:29" x14ac:dyDescent="0.2">
      <c r="R62" s="2058"/>
    </row>
  </sheetData>
  <mergeCells count="9">
    <mergeCell ref="D48:Y48"/>
    <mergeCell ref="D49:P49"/>
    <mergeCell ref="D50:P50"/>
    <mergeCell ref="D46:Y46"/>
    <mergeCell ref="D2:AB2"/>
    <mergeCell ref="D3:AB3"/>
    <mergeCell ref="D4:AB4"/>
    <mergeCell ref="D5:AB5"/>
    <mergeCell ref="D47:Y47"/>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F108"/>
  <sheetViews>
    <sheetView showGridLines="0" view="pageBreakPreview" zoomScaleNormal="100" zoomScaleSheetLayoutView="100" workbookViewId="0">
      <selection activeCell="L9" sqref="L9"/>
    </sheetView>
  </sheetViews>
  <sheetFormatPr defaultColWidth="9.140625" defaultRowHeight="15" x14ac:dyDescent="0.2"/>
  <cols>
    <col min="1" max="1" width="3.7109375" style="2035" customWidth="1"/>
    <col min="2" max="2" width="14.42578125" style="2036" customWidth="1"/>
    <col min="3" max="3" width="6.42578125" style="2036" customWidth="1"/>
    <col min="4" max="4" width="14.140625" style="943" customWidth="1"/>
    <col min="5" max="23" width="6.85546875" style="943" customWidth="1"/>
    <col min="24" max="259" width="9.140625" style="943"/>
    <col min="260" max="260" width="3.7109375" style="943" customWidth="1"/>
    <col min="261" max="261" width="14.42578125" style="943" customWidth="1"/>
    <col min="262" max="262" width="3.7109375" style="943" customWidth="1"/>
    <col min="263" max="263" width="14.140625" style="943" customWidth="1"/>
    <col min="264" max="278" width="6.85546875" style="943" customWidth="1"/>
    <col min="279" max="515" width="9.140625" style="943"/>
    <col min="516" max="516" width="3.7109375" style="943" customWidth="1"/>
    <col min="517" max="517" width="14.42578125" style="943" customWidth="1"/>
    <col min="518" max="518" width="3.7109375" style="943" customWidth="1"/>
    <col min="519" max="519" width="14.140625" style="943" customWidth="1"/>
    <col min="520" max="534" width="6.85546875" style="943" customWidth="1"/>
    <col min="535" max="771" width="9.140625" style="943"/>
    <col min="772" max="772" width="3.7109375" style="943" customWidth="1"/>
    <col min="773" max="773" width="14.42578125" style="943" customWidth="1"/>
    <col min="774" max="774" width="3.7109375" style="943" customWidth="1"/>
    <col min="775" max="775" width="14.140625" style="943" customWidth="1"/>
    <col min="776" max="790" width="6.85546875" style="943" customWidth="1"/>
    <col min="791" max="1027" width="9.140625" style="943"/>
    <col min="1028" max="1028" width="3.7109375" style="943" customWidth="1"/>
    <col min="1029" max="1029" width="14.42578125" style="943" customWidth="1"/>
    <col min="1030" max="1030" width="3.7109375" style="943" customWidth="1"/>
    <col min="1031" max="1031" width="14.140625" style="943" customWidth="1"/>
    <col min="1032" max="1046" width="6.85546875" style="943" customWidth="1"/>
    <col min="1047" max="1283" width="9.140625" style="943"/>
    <col min="1284" max="1284" width="3.7109375" style="943" customWidth="1"/>
    <col min="1285" max="1285" width="14.42578125" style="943" customWidth="1"/>
    <col min="1286" max="1286" width="3.7109375" style="943" customWidth="1"/>
    <col min="1287" max="1287" width="14.140625" style="943" customWidth="1"/>
    <col min="1288" max="1302" width="6.85546875" style="943" customWidth="1"/>
    <col min="1303" max="1539" width="9.140625" style="943"/>
    <col min="1540" max="1540" width="3.7109375" style="943" customWidth="1"/>
    <col min="1541" max="1541" width="14.42578125" style="943" customWidth="1"/>
    <col min="1542" max="1542" width="3.7109375" style="943" customWidth="1"/>
    <col min="1543" max="1543" width="14.140625" style="943" customWidth="1"/>
    <col min="1544" max="1558" width="6.85546875" style="943" customWidth="1"/>
    <col min="1559" max="1795" width="9.140625" style="943"/>
    <col min="1796" max="1796" width="3.7109375" style="943" customWidth="1"/>
    <col min="1797" max="1797" width="14.42578125" style="943" customWidth="1"/>
    <col min="1798" max="1798" width="3.7109375" style="943" customWidth="1"/>
    <col min="1799" max="1799" width="14.140625" style="943" customWidth="1"/>
    <col min="1800" max="1814" width="6.85546875" style="943" customWidth="1"/>
    <col min="1815" max="2051" width="9.140625" style="943"/>
    <col min="2052" max="2052" width="3.7109375" style="943" customWidth="1"/>
    <col min="2053" max="2053" width="14.42578125" style="943" customWidth="1"/>
    <col min="2054" max="2054" width="3.7109375" style="943" customWidth="1"/>
    <col min="2055" max="2055" width="14.140625" style="943" customWidth="1"/>
    <col min="2056" max="2070" width="6.85546875" style="943" customWidth="1"/>
    <col min="2071" max="2307" width="9.140625" style="943"/>
    <col min="2308" max="2308" width="3.7109375" style="943" customWidth="1"/>
    <col min="2309" max="2309" width="14.42578125" style="943" customWidth="1"/>
    <col min="2310" max="2310" width="3.7109375" style="943" customWidth="1"/>
    <col min="2311" max="2311" width="14.140625" style="943" customWidth="1"/>
    <col min="2312" max="2326" width="6.85546875" style="943" customWidth="1"/>
    <col min="2327" max="2563" width="9.140625" style="943"/>
    <col min="2564" max="2564" width="3.7109375" style="943" customWidth="1"/>
    <col min="2565" max="2565" width="14.42578125" style="943" customWidth="1"/>
    <col min="2566" max="2566" width="3.7109375" style="943" customWidth="1"/>
    <col min="2567" max="2567" width="14.140625" style="943" customWidth="1"/>
    <col min="2568" max="2582" width="6.85546875" style="943" customWidth="1"/>
    <col min="2583" max="2819" width="9.140625" style="943"/>
    <col min="2820" max="2820" width="3.7109375" style="943" customWidth="1"/>
    <col min="2821" max="2821" width="14.42578125" style="943" customWidth="1"/>
    <col min="2822" max="2822" width="3.7109375" style="943" customWidth="1"/>
    <col min="2823" max="2823" width="14.140625" style="943" customWidth="1"/>
    <col min="2824" max="2838" width="6.85546875" style="943" customWidth="1"/>
    <col min="2839" max="3075" width="9.140625" style="943"/>
    <col min="3076" max="3076" width="3.7109375" style="943" customWidth="1"/>
    <col min="3077" max="3077" width="14.42578125" style="943" customWidth="1"/>
    <col min="3078" max="3078" width="3.7109375" style="943" customWidth="1"/>
    <col min="3079" max="3079" width="14.140625" style="943" customWidth="1"/>
    <col min="3080" max="3094" width="6.85546875" style="943" customWidth="1"/>
    <col min="3095" max="3331" width="9.140625" style="943"/>
    <col min="3332" max="3332" width="3.7109375" style="943" customWidth="1"/>
    <col min="3333" max="3333" width="14.42578125" style="943" customWidth="1"/>
    <col min="3334" max="3334" width="3.7109375" style="943" customWidth="1"/>
    <col min="3335" max="3335" width="14.140625" style="943" customWidth="1"/>
    <col min="3336" max="3350" width="6.85546875" style="943" customWidth="1"/>
    <col min="3351" max="3587" width="9.140625" style="943"/>
    <col min="3588" max="3588" width="3.7109375" style="943" customWidth="1"/>
    <col min="3589" max="3589" width="14.42578125" style="943" customWidth="1"/>
    <col min="3590" max="3590" width="3.7109375" style="943" customWidth="1"/>
    <col min="3591" max="3591" width="14.140625" style="943" customWidth="1"/>
    <col min="3592" max="3606" width="6.85546875" style="943" customWidth="1"/>
    <col min="3607" max="3843" width="9.140625" style="943"/>
    <col min="3844" max="3844" width="3.7109375" style="943" customWidth="1"/>
    <col min="3845" max="3845" width="14.42578125" style="943" customWidth="1"/>
    <col min="3846" max="3846" width="3.7109375" style="943" customWidth="1"/>
    <col min="3847" max="3847" width="14.140625" style="943" customWidth="1"/>
    <col min="3848" max="3862" width="6.85546875" style="943" customWidth="1"/>
    <col min="3863" max="4099" width="9.140625" style="943"/>
    <col min="4100" max="4100" width="3.7109375" style="943" customWidth="1"/>
    <col min="4101" max="4101" width="14.42578125" style="943" customWidth="1"/>
    <col min="4102" max="4102" width="3.7109375" style="943" customWidth="1"/>
    <col min="4103" max="4103" width="14.140625" style="943" customWidth="1"/>
    <col min="4104" max="4118" width="6.85546875" style="943" customWidth="1"/>
    <col min="4119" max="4355" width="9.140625" style="943"/>
    <col min="4356" max="4356" width="3.7109375" style="943" customWidth="1"/>
    <col min="4357" max="4357" width="14.42578125" style="943" customWidth="1"/>
    <col min="4358" max="4358" width="3.7109375" style="943" customWidth="1"/>
    <col min="4359" max="4359" width="14.140625" style="943" customWidth="1"/>
    <col min="4360" max="4374" width="6.85546875" style="943" customWidth="1"/>
    <col min="4375" max="4611" width="9.140625" style="943"/>
    <col min="4612" max="4612" width="3.7109375" style="943" customWidth="1"/>
    <col min="4613" max="4613" width="14.42578125" style="943" customWidth="1"/>
    <col min="4614" max="4614" width="3.7109375" style="943" customWidth="1"/>
    <col min="4615" max="4615" width="14.140625" style="943" customWidth="1"/>
    <col min="4616" max="4630" width="6.85546875" style="943" customWidth="1"/>
    <col min="4631" max="4867" width="9.140625" style="943"/>
    <col min="4868" max="4868" width="3.7109375" style="943" customWidth="1"/>
    <col min="4869" max="4869" width="14.42578125" style="943" customWidth="1"/>
    <col min="4870" max="4870" width="3.7109375" style="943" customWidth="1"/>
    <col min="4871" max="4871" width="14.140625" style="943" customWidth="1"/>
    <col min="4872" max="4886" width="6.85546875" style="943" customWidth="1"/>
    <col min="4887" max="5123" width="9.140625" style="943"/>
    <col min="5124" max="5124" width="3.7109375" style="943" customWidth="1"/>
    <col min="5125" max="5125" width="14.42578125" style="943" customWidth="1"/>
    <col min="5126" max="5126" width="3.7109375" style="943" customWidth="1"/>
    <col min="5127" max="5127" width="14.140625" style="943" customWidth="1"/>
    <col min="5128" max="5142" width="6.85546875" style="943" customWidth="1"/>
    <col min="5143" max="5379" width="9.140625" style="943"/>
    <col min="5380" max="5380" width="3.7109375" style="943" customWidth="1"/>
    <col min="5381" max="5381" width="14.42578125" style="943" customWidth="1"/>
    <col min="5382" max="5382" width="3.7109375" style="943" customWidth="1"/>
    <col min="5383" max="5383" width="14.140625" style="943" customWidth="1"/>
    <col min="5384" max="5398" width="6.85546875" style="943" customWidth="1"/>
    <col min="5399" max="5635" width="9.140625" style="943"/>
    <col min="5636" max="5636" width="3.7109375" style="943" customWidth="1"/>
    <col min="5637" max="5637" width="14.42578125" style="943" customWidth="1"/>
    <col min="5638" max="5638" width="3.7109375" style="943" customWidth="1"/>
    <col min="5639" max="5639" width="14.140625" style="943" customWidth="1"/>
    <col min="5640" max="5654" width="6.85546875" style="943" customWidth="1"/>
    <col min="5655" max="5891" width="9.140625" style="943"/>
    <col min="5892" max="5892" width="3.7109375" style="943" customWidth="1"/>
    <col min="5893" max="5893" width="14.42578125" style="943" customWidth="1"/>
    <col min="5894" max="5894" width="3.7109375" style="943" customWidth="1"/>
    <col min="5895" max="5895" width="14.140625" style="943" customWidth="1"/>
    <col min="5896" max="5910" width="6.85546875" style="943" customWidth="1"/>
    <col min="5911" max="6147" width="9.140625" style="943"/>
    <col min="6148" max="6148" width="3.7109375" style="943" customWidth="1"/>
    <col min="6149" max="6149" width="14.42578125" style="943" customWidth="1"/>
    <col min="6150" max="6150" width="3.7109375" style="943" customWidth="1"/>
    <col min="6151" max="6151" width="14.140625" style="943" customWidth="1"/>
    <col min="6152" max="6166" width="6.85546875" style="943" customWidth="1"/>
    <col min="6167" max="6403" width="9.140625" style="943"/>
    <col min="6404" max="6404" width="3.7109375" style="943" customWidth="1"/>
    <col min="6405" max="6405" width="14.42578125" style="943" customWidth="1"/>
    <col min="6406" max="6406" width="3.7109375" style="943" customWidth="1"/>
    <col min="6407" max="6407" width="14.140625" style="943" customWidth="1"/>
    <col min="6408" max="6422" width="6.85546875" style="943" customWidth="1"/>
    <col min="6423" max="6659" width="9.140625" style="943"/>
    <col min="6660" max="6660" width="3.7109375" style="943" customWidth="1"/>
    <col min="6661" max="6661" width="14.42578125" style="943" customWidth="1"/>
    <col min="6662" max="6662" width="3.7109375" style="943" customWidth="1"/>
    <col min="6663" max="6663" width="14.140625" style="943" customWidth="1"/>
    <col min="6664" max="6678" width="6.85546875" style="943" customWidth="1"/>
    <col min="6679" max="6915" width="9.140625" style="943"/>
    <col min="6916" max="6916" width="3.7109375" style="943" customWidth="1"/>
    <col min="6917" max="6917" width="14.42578125" style="943" customWidth="1"/>
    <col min="6918" max="6918" width="3.7109375" style="943" customWidth="1"/>
    <col min="6919" max="6919" width="14.140625" style="943" customWidth="1"/>
    <col min="6920" max="6934" width="6.85546875" style="943" customWidth="1"/>
    <col min="6935" max="7171" width="9.140625" style="943"/>
    <col min="7172" max="7172" width="3.7109375" style="943" customWidth="1"/>
    <col min="7173" max="7173" width="14.42578125" style="943" customWidth="1"/>
    <col min="7174" max="7174" width="3.7109375" style="943" customWidth="1"/>
    <col min="7175" max="7175" width="14.140625" style="943" customWidth="1"/>
    <col min="7176" max="7190" width="6.85546875" style="943" customWidth="1"/>
    <col min="7191" max="7427" width="9.140625" style="943"/>
    <col min="7428" max="7428" width="3.7109375" style="943" customWidth="1"/>
    <col min="7429" max="7429" width="14.42578125" style="943" customWidth="1"/>
    <col min="7430" max="7430" width="3.7109375" style="943" customWidth="1"/>
    <col min="7431" max="7431" width="14.140625" style="943" customWidth="1"/>
    <col min="7432" max="7446" width="6.85546875" style="943" customWidth="1"/>
    <col min="7447" max="7683" width="9.140625" style="943"/>
    <col min="7684" max="7684" width="3.7109375" style="943" customWidth="1"/>
    <col min="7685" max="7685" width="14.42578125" style="943" customWidth="1"/>
    <col min="7686" max="7686" width="3.7109375" style="943" customWidth="1"/>
    <col min="7687" max="7687" width="14.140625" style="943" customWidth="1"/>
    <col min="7688" max="7702" width="6.85546875" style="943" customWidth="1"/>
    <col min="7703" max="7939" width="9.140625" style="943"/>
    <col min="7940" max="7940" width="3.7109375" style="943" customWidth="1"/>
    <col min="7941" max="7941" width="14.42578125" style="943" customWidth="1"/>
    <col min="7942" max="7942" width="3.7109375" style="943" customWidth="1"/>
    <col min="7943" max="7943" width="14.140625" style="943" customWidth="1"/>
    <col min="7944" max="7958" width="6.85546875" style="943" customWidth="1"/>
    <col min="7959" max="8195" width="9.140625" style="943"/>
    <col min="8196" max="8196" width="3.7109375" style="943" customWidth="1"/>
    <col min="8197" max="8197" width="14.42578125" style="943" customWidth="1"/>
    <col min="8198" max="8198" width="3.7109375" style="943" customWidth="1"/>
    <col min="8199" max="8199" width="14.140625" style="943" customWidth="1"/>
    <col min="8200" max="8214" width="6.85546875" style="943" customWidth="1"/>
    <col min="8215" max="8451" width="9.140625" style="943"/>
    <col min="8452" max="8452" width="3.7109375" style="943" customWidth="1"/>
    <col min="8453" max="8453" width="14.42578125" style="943" customWidth="1"/>
    <col min="8454" max="8454" width="3.7109375" style="943" customWidth="1"/>
    <col min="8455" max="8455" width="14.140625" style="943" customWidth="1"/>
    <col min="8456" max="8470" width="6.85546875" style="943" customWidth="1"/>
    <col min="8471" max="8707" width="9.140625" style="943"/>
    <col min="8708" max="8708" width="3.7109375" style="943" customWidth="1"/>
    <col min="8709" max="8709" width="14.42578125" style="943" customWidth="1"/>
    <col min="8710" max="8710" width="3.7109375" style="943" customWidth="1"/>
    <col min="8711" max="8711" width="14.140625" style="943" customWidth="1"/>
    <col min="8712" max="8726" width="6.85546875" style="943" customWidth="1"/>
    <col min="8727" max="8963" width="9.140625" style="943"/>
    <col min="8964" max="8964" width="3.7109375" style="943" customWidth="1"/>
    <col min="8965" max="8965" width="14.42578125" style="943" customWidth="1"/>
    <col min="8966" max="8966" width="3.7109375" style="943" customWidth="1"/>
    <col min="8967" max="8967" width="14.140625" style="943" customWidth="1"/>
    <col min="8968" max="8982" width="6.85546875" style="943" customWidth="1"/>
    <col min="8983" max="9219" width="9.140625" style="943"/>
    <col min="9220" max="9220" width="3.7109375" style="943" customWidth="1"/>
    <col min="9221" max="9221" width="14.42578125" style="943" customWidth="1"/>
    <col min="9222" max="9222" width="3.7109375" style="943" customWidth="1"/>
    <col min="9223" max="9223" width="14.140625" style="943" customWidth="1"/>
    <col min="9224" max="9238" width="6.85546875" style="943" customWidth="1"/>
    <col min="9239" max="9475" width="9.140625" style="943"/>
    <col min="9476" max="9476" width="3.7109375" style="943" customWidth="1"/>
    <col min="9477" max="9477" width="14.42578125" style="943" customWidth="1"/>
    <col min="9478" max="9478" width="3.7109375" style="943" customWidth="1"/>
    <col min="9479" max="9479" width="14.140625" style="943" customWidth="1"/>
    <col min="9480" max="9494" width="6.85546875" style="943" customWidth="1"/>
    <col min="9495" max="9731" width="9.140625" style="943"/>
    <col min="9732" max="9732" width="3.7109375" style="943" customWidth="1"/>
    <col min="9733" max="9733" width="14.42578125" style="943" customWidth="1"/>
    <col min="9734" max="9734" width="3.7109375" style="943" customWidth="1"/>
    <col min="9735" max="9735" width="14.140625" style="943" customWidth="1"/>
    <col min="9736" max="9750" width="6.85546875" style="943" customWidth="1"/>
    <col min="9751" max="9987" width="9.140625" style="943"/>
    <col min="9988" max="9988" width="3.7109375" style="943" customWidth="1"/>
    <col min="9989" max="9989" width="14.42578125" style="943" customWidth="1"/>
    <col min="9990" max="9990" width="3.7109375" style="943" customWidth="1"/>
    <col min="9991" max="9991" width="14.140625" style="943" customWidth="1"/>
    <col min="9992" max="10006" width="6.85546875" style="943" customWidth="1"/>
    <col min="10007" max="10243" width="9.140625" style="943"/>
    <col min="10244" max="10244" width="3.7109375" style="943" customWidth="1"/>
    <col min="10245" max="10245" width="14.42578125" style="943" customWidth="1"/>
    <col min="10246" max="10246" width="3.7109375" style="943" customWidth="1"/>
    <col min="10247" max="10247" width="14.140625" style="943" customWidth="1"/>
    <col min="10248" max="10262" width="6.85546875" style="943" customWidth="1"/>
    <col min="10263" max="10499" width="9.140625" style="943"/>
    <col min="10500" max="10500" width="3.7109375" style="943" customWidth="1"/>
    <col min="10501" max="10501" width="14.42578125" style="943" customWidth="1"/>
    <col min="10502" max="10502" width="3.7109375" style="943" customWidth="1"/>
    <col min="10503" max="10503" width="14.140625" style="943" customWidth="1"/>
    <col min="10504" max="10518" width="6.85546875" style="943" customWidth="1"/>
    <col min="10519" max="10755" width="9.140625" style="943"/>
    <col min="10756" max="10756" width="3.7109375" style="943" customWidth="1"/>
    <col min="10757" max="10757" width="14.42578125" style="943" customWidth="1"/>
    <col min="10758" max="10758" width="3.7109375" style="943" customWidth="1"/>
    <col min="10759" max="10759" width="14.140625" style="943" customWidth="1"/>
    <col min="10760" max="10774" width="6.85546875" style="943" customWidth="1"/>
    <col min="10775" max="11011" width="9.140625" style="943"/>
    <col min="11012" max="11012" width="3.7109375" style="943" customWidth="1"/>
    <col min="11013" max="11013" width="14.42578125" style="943" customWidth="1"/>
    <col min="11014" max="11014" width="3.7109375" style="943" customWidth="1"/>
    <col min="11015" max="11015" width="14.140625" style="943" customWidth="1"/>
    <col min="11016" max="11030" width="6.85546875" style="943" customWidth="1"/>
    <col min="11031" max="11267" width="9.140625" style="943"/>
    <col min="11268" max="11268" width="3.7109375" style="943" customWidth="1"/>
    <col min="11269" max="11269" width="14.42578125" style="943" customWidth="1"/>
    <col min="11270" max="11270" width="3.7109375" style="943" customWidth="1"/>
    <col min="11271" max="11271" width="14.140625" style="943" customWidth="1"/>
    <col min="11272" max="11286" width="6.85546875" style="943" customWidth="1"/>
    <col min="11287" max="11523" width="9.140625" style="943"/>
    <col min="11524" max="11524" width="3.7109375" style="943" customWidth="1"/>
    <col min="11525" max="11525" width="14.42578125" style="943" customWidth="1"/>
    <col min="11526" max="11526" width="3.7109375" style="943" customWidth="1"/>
    <col min="11527" max="11527" width="14.140625" style="943" customWidth="1"/>
    <col min="11528" max="11542" width="6.85546875" style="943" customWidth="1"/>
    <col min="11543" max="11779" width="9.140625" style="943"/>
    <col min="11780" max="11780" width="3.7109375" style="943" customWidth="1"/>
    <col min="11781" max="11781" width="14.42578125" style="943" customWidth="1"/>
    <col min="11782" max="11782" width="3.7109375" style="943" customWidth="1"/>
    <col min="11783" max="11783" width="14.140625" style="943" customWidth="1"/>
    <col min="11784" max="11798" width="6.85546875" style="943" customWidth="1"/>
    <col min="11799" max="12035" width="9.140625" style="943"/>
    <col min="12036" max="12036" width="3.7109375" style="943" customWidth="1"/>
    <col min="12037" max="12037" width="14.42578125" style="943" customWidth="1"/>
    <col min="12038" max="12038" width="3.7109375" style="943" customWidth="1"/>
    <col min="12039" max="12039" width="14.140625" style="943" customWidth="1"/>
    <col min="12040" max="12054" width="6.85546875" style="943" customWidth="1"/>
    <col min="12055" max="12291" width="9.140625" style="943"/>
    <col min="12292" max="12292" width="3.7109375" style="943" customWidth="1"/>
    <col min="12293" max="12293" width="14.42578125" style="943" customWidth="1"/>
    <col min="12294" max="12294" width="3.7109375" style="943" customWidth="1"/>
    <col min="12295" max="12295" width="14.140625" style="943" customWidth="1"/>
    <col min="12296" max="12310" width="6.85546875" style="943" customWidth="1"/>
    <col min="12311" max="12547" width="9.140625" style="943"/>
    <col min="12548" max="12548" width="3.7109375" style="943" customWidth="1"/>
    <col min="12549" max="12549" width="14.42578125" style="943" customWidth="1"/>
    <col min="12550" max="12550" width="3.7109375" style="943" customWidth="1"/>
    <col min="12551" max="12551" width="14.140625" style="943" customWidth="1"/>
    <col min="12552" max="12566" width="6.85546875" style="943" customWidth="1"/>
    <col min="12567" max="12803" width="9.140625" style="943"/>
    <col min="12804" max="12804" width="3.7109375" style="943" customWidth="1"/>
    <col min="12805" max="12805" width="14.42578125" style="943" customWidth="1"/>
    <col min="12806" max="12806" width="3.7109375" style="943" customWidth="1"/>
    <col min="12807" max="12807" width="14.140625" style="943" customWidth="1"/>
    <col min="12808" max="12822" width="6.85546875" style="943" customWidth="1"/>
    <col min="12823" max="13059" width="9.140625" style="943"/>
    <col min="13060" max="13060" width="3.7109375" style="943" customWidth="1"/>
    <col min="13061" max="13061" width="14.42578125" style="943" customWidth="1"/>
    <col min="13062" max="13062" width="3.7109375" style="943" customWidth="1"/>
    <col min="13063" max="13063" width="14.140625" style="943" customWidth="1"/>
    <col min="13064" max="13078" width="6.85546875" style="943" customWidth="1"/>
    <col min="13079" max="13315" width="9.140625" style="943"/>
    <col min="13316" max="13316" width="3.7109375" style="943" customWidth="1"/>
    <col min="13317" max="13317" width="14.42578125" style="943" customWidth="1"/>
    <col min="13318" max="13318" width="3.7109375" style="943" customWidth="1"/>
    <col min="13319" max="13319" width="14.140625" style="943" customWidth="1"/>
    <col min="13320" max="13334" width="6.85546875" style="943" customWidth="1"/>
    <col min="13335" max="13571" width="9.140625" style="943"/>
    <col min="13572" max="13572" width="3.7109375" style="943" customWidth="1"/>
    <col min="13573" max="13573" width="14.42578125" style="943" customWidth="1"/>
    <col min="13574" max="13574" width="3.7109375" style="943" customWidth="1"/>
    <col min="13575" max="13575" width="14.140625" style="943" customWidth="1"/>
    <col min="13576" max="13590" width="6.85546875" style="943" customWidth="1"/>
    <col min="13591" max="13827" width="9.140625" style="943"/>
    <col min="13828" max="13828" width="3.7109375" style="943" customWidth="1"/>
    <col min="13829" max="13829" width="14.42578125" style="943" customWidth="1"/>
    <col min="13830" max="13830" width="3.7109375" style="943" customWidth="1"/>
    <col min="13831" max="13831" width="14.140625" style="943" customWidth="1"/>
    <col min="13832" max="13846" width="6.85546875" style="943" customWidth="1"/>
    <col min="13847" max="14083" width="9.140625" style="943"/>
    <col min="14084" max="14084" width="3.7109375" style="943" customWidth="1"/>
    <col min="14085" max="14085" width="14.42578125" style="943" customWidth="1"/>
    <col min="14086" max="14086" width="3.7109375" style="943" customWidth="1"/>
    <col min="14087" max="14087" width="14.140625" style="943" customWidth="1"/>
    <col min="14088" max="14102" width="6.85546875" style="943" customWidth="1"/>
    <col min="14103" max="14339" width="9.140625" style="943"/>
    <col min="14340" max="14340" width="3.7109375" style="943" customWidth="1"/>
    <col min="14341" max="14341" width="14.42578125" style="943" customWidth="1"/>
    <col min="14342" max="14342" width="3.7109375" style="943" customWidth="1"/>
    <col min="14343" max="14343" width="14.140625" style="943" customWidth="1"/>
    <col min="14344" max="14358" width="6.85546875" style="943" customWidth="1"/>
    <col min="14359" max="14595" width="9.140625" style="943"/>
    <col min="14596" max="14596" width="3.7109375" style="943" customWidth="1"/>
    <col min="14597" max="14597" width="14.42578125" style="943" customWidth="1"/>
    <col min="14598" max="14598" width="3.7109375" style="943" customWidth="1"/>
    <col min="14599" max="14599" width="14.140625" style="943" customWidth="1"/>
    <col min="14600" max="14614" width="6.85546875" style="943" customWidth="1"/>
    <col min="14615" max="14851" width="9.140625" style="943"/>
    <col min="14852" max="14852" width="3.7109375" style="943" customWidth="1"/>
    <col min="14853" max="14853" width="14.42578125" style="943" customWidth="1"/>
    <col min="14854" max="14854" width="3.7109375" style="943" customWidth="1"/>
    <col min="14855" max="14855" width="14.140625" style="943" customWidth="1"/>
    <col min="14856" max="14870" width="6.85546875" style="943" customWidth="1"/>
    <col min="14871" max="15107" width="9.140625" style="943"/>
    <col min="15108" max="15108" width="3.7109375" style="943" customWidth="1"/>
    <col min="15109" max="15109" width="14.42578125" style="943" customWidth="1"/>
    <col min="15110" max="15110" width="3.7109375" style="943" customWidth="1"/>
    <col min="15111" max="15111" width="14.140625" style="943" customWidth="1"/>
    <col min="15112" max="15126" width="6.85546875" style="943" customWidth="1"/>
    <col min="15127" max="15363" width="9.140625" style="943"/>
    <col min="15364" max="15364" width="3.7109375" style="943" customWidth="1"/>
    <col min="15365" max="15365" width="14.42578125" style="943" customWidth="1"/>
    <col min="15366" max="15366" width="3.7109375" style="943" customWidth="1"/>
    <col min="15367" max="15367" width="14.140625" style="943" customWidth="1"/>
    <col min="15368" max="15382" width="6.85546875" style="943" customWidth="1"/>
    <col min="15383" max="15619" width="9.140625" style="943"/>
    <col min="15620" max="15620" width="3.7109375" style="943" customWidth="1"/>
    <col min="15621" max="15621" width="14.42578125" style="943" customWidth="1"/>
    <col min="15622" max="15622" width="3.7109375" style="943" customWidth="1"/>
    <col min="15623" max="15623" width="14.140625" style="943" customWidth="1"/>
    <col min="15624" max="15638" width="6.85546875" style="943" customWidth="1"/>
    <col min="15639" max="15875" width="9.140625" style="943"/>
    <col min="15876" max="15876" width="3.7109375" style="943" customWidth="1"/>
    <col min="15877" max="15877" width="14.42578125" style="943" customWidth="1"/>
    <col min="15878" max="15878" width="3.7109375" style="943" customWidth="1"/>
    <col min="15879" max="15879" width="14.140625" style="943" customWidth="1"/>
    <col min="15880" max="15894" width="6.85546875" style="943" customWidth="1"/>
    <col min="15895" max="16131" width="9.140625" style="943"/>
    <col min="16132" max="16132" width="3.7109375" style="943" customWidth="1"/>
    <col min="16133" max="16133" width="14.42578125" style="943" customWidth="1"/>
    <col min="16134" max="16134" width="3.7109375" style="943" customWidth="1"/>
    <col min="16135" max="16135" width="14.140625" style="943" customWidth="1"/>
    <col min="16136" max="16150" width="6.85546875" style="943" customWidth="1"/>
    <col min="16151" max="16384" width="9.140625" style="943"/>
  </cols>
  <sheetData>
    <row r="2" spans="1:28" ht="15" customHeight="1" x14ac:dyDescent="0.2">
      <c r="A2" s="1">
        <v>1</v>
      </c>
      <c r="B2" s="1" t="s">
        <v>0</v>
      </c>
      <c r="C2" s="1">
        <f>TB!C2+1</f>
        <v>40</v>
      </c>
      <c r="D2" s="4156" t="s">
        <v>974</v>
      </c>
      <c r="E2" s="4157"/>
      <c r="F2" s="4157"/>
      <c r="G2" s="4157"/>
      <c r="H2" s="4157"/>
      <c r="I2" s="4157"/>
      <c r="J2" s="4157"/>
      <c r="K2" s="4157"/>
      <c r="L2" s="4157"/>
      <c r="M2" s="4157"/>
      <c r="N2" s="4157"/>
      <c r="O2" s="4157"/>
      <c r="P2" s="4157"/>
      <c r="Q2" s="4157"/>
      <c r="R2" s="4157"/>
      <c r="S2" s="4157"/>
      <c r="T2" s="4157"/>
      <c r="U2" s="4157"/>
      <c r="V2" s="4157"/>
      <c r="W2" s="4157"/>
      <c r="X2" s="4157"/>
      <c r="Y2" s="4157"/>
      <c r="Z2" s="4158"/>
    </row>
    <row r="3" spans="1:28" ht="14.1" customHeight="1" x14ac:dyDescent="0.2">
      <c r="A3" s="1">
        <v>2</v>
      </c>
      <c r="B3" s="1" t="s">
        <v>2</v>
      </c>
      <c r="C3" s="1"/>
      <c r="D3" s="4156" t="s">
        <v>802</v>
      </c>
      <c r="E3" s="4157"/>
      <c r="F3" s="4157"/>
      <c r="G3" s="4157"/>
      <c r="H3" s="4157"/>
      <c r="I3" s="4157"/>
      <c r="J3" s="4157"/>
      <c r="K3" s="4157"/>
      <c r="L3" s="4157"/>
      <c r="M3" s="4157"/>
      <c r="N3" s="4157"/>
      <c r="O3" s="4157"/>
      <c r="P3" s="4157"/>
      <c r="Q3" s="4157"/>
      <c r="R3" s="4157"/>
      <c r="S3" s="4157"/>
      <c r="T3" s="4157"/>
      <c r="U3" s="4157"/>
      <c r="V3" s="4157"/>
      <c r="W3" s="4157"/>
      <c r="X3" s="4157"/>
      <c r="Y3" s="4157"/>
      <c r="Z3" s="4158"/>
    </row>
    <row r="4" spans="1:28" ht="15" customHeight="1" x14ac:dyDescent="0.2">
      <c r="A4" s="1">
        <v>3</v>
      </c>
      <c r="B4" s="1" t="s">
        <v>4</v>
      </c>
      <c r="C4" s="1"/>
      <c r="D4" s="4156" t="s">
        <v>1737</v>
      </c>
      <c r="E4" s="4157"/>
      <c r="F4" s="4157"/>
      <c r="G4" s="4157"/>
      <c r="H4" s="4157"/>
      <c r="I4" s="4157"/>
      <c r="J4" s="4157"/>
      <c r="K4" s="4157"/>
      <c r="L4" s="4157"/>
      <c r="M4" s="4157"/>
      <c r="N4" s="4157"/>
      <c r="O4" s="4157"/>
      <c r="P4" s="4157"/>
      <c r="Q4" s="4157"/>
      <c r="R4" s="4157"/>
      <c r="S4" s="4157"/>
      <c r="T4" s="4157"/>
      <c r="U4" s="4157"/>
      <c r="V4" s="4157"/>
      <c r="W4" s="4157"/>
      <c r="X4" s="4157"/>
      <c r="Y4" s="4157"/>
      <c r="Z4" s="4158"/>
    </row>
    <row r="5" spans="1:28" ht="15" customHeight="1" x14ac:dyDescent="0.2">
      <c r="B5" s="1"/>
      <c r="C5" s="12"/>
      <c r="D5" s="4156"/>
      <c r="E5" s="4157"/>
      <c r="F5" s="4157"/>
      <c r="G5" s="4157"/>
      <c r="H5" s="4157"/>
      <c r="I5" s="4157"/>
      <c r="J5" s="4157"/>
      <c r="K5" s="4157"/>
      <c r="L5" s="4157"/>
      <c r="M5" s="4157"/>
      <c r="N5" s="4157"/>
      <c r="O5" s="4157"/>
      <c r="P5" s="4157"/>
      <c r="Q5" s="4157"/>
      <c r="R5" s="4157"/>
      <c r="S5" s="4157"/>
      <c r="T5" s="4157"/>
      <c r="U5" s="4157"/>
      <c r="V5" s="4157"/>
      <c r="W5" s="4157"/>
      <c r="X5" s="4157"/>
      <c r="Y5" s="4157"/>
      <c r="Z5" s="4158"/>
    </row>
    <row r="6" spans="1:28" ht="15" customHeight="1" x14ac:dyDescent="0.2">
      <c r="B6" s="1"/>
      <c r="C6" s="12"/>
      <c r="D6" s="2038"/>
      <c r="E6" s="2038"/>
      <c r="F6" s="2038"/>
      <c r="G6" s="2038"/>
      <c r="H6" s="2038"/>
      <c r="I6" s="2038"/>
      <c r="J6" s="2038"/>
      <c r="K6" s="2038"/>
      <c r="L6" s="2038"/>
      <c r="M6" s="2038"/>
      <c r="N6" s="2038"/>
      <c r="O6" s="2038"/>
      <c r="P6" s="2038"/>
      <c r="Q6" s="2038"/>
      <c r="R6" s="2038"/>
      <c r="S6" s="2038"/>
      <c r="T6" s="2038"/>
      <c r="U6" s="2038"/>
      <c r="V6" s="2038"/>
      <c r="W6" s="2038"/>
      <c r="X6" s="2038"/>
      <c r="Y6" s="2038"/>
      <c r="Z6" s="2038"/>
    </row>
    <row r="7" spans="1:28" s="11" customFormat="1" ht="12.75" x14ac:dyDescent="0.2">
      <c r="A7" s="1">
        <v>4</v>
      </c>
      <c r="B7" s="12" t="s">
        <v>5</v>
      </c>
      <c r="C7" s="6"/>
      <c r="D7" s="1381" t="s">
        <v>112</v>
      </c>
      <c r="E7" s="1381" t="s">
        <v>975</v>
      </c>
      <c r="F7" s="1381"/>
      <c r="G7" s="1381"/>
      <c r="H7" s="1381"/>
      <c r="I7" s="1381"/>
      <c r="J7" s="1381"/>
      <c r="K7" s="1381"/>
      <c r="L7" s="1381"/>
      <c r="M7" s="18"/>
      <c r="N7" s="18"/>
      <c r="O7" s="18"/>
      <c r="P7" s="18"/>
      <c r="Q7" s="18"/>
      <c r="R7" s="18"/>
      <c r="S7" s="18"/>
      <c r="T7" s="18"/>
      <c r="U7" s="18"/>
      <c r="V7" s="18"/>
    </row>
    <row r="8" spans="1:28" s="11" customFormat="1" ht="14.25" customHeight="1" x14ac:dyDescent="0.25">
      <c r="A8" s="5"/>
      <c r="B8" s="6"/>
      <c r="C8" s="6"/>
      <c r="D8" s="19"/>
      <c r="E8" s="2093">
        <v>1996</v>
      </c>
      <c r="F8" s="2093">
        <v>1997</v>
      </c>
      <c r="G8" s="2093">
        <v>1998</v>
      </c>
      <c r="H8" s="2093">
        <v>1999</v>
      </c>
      <c r="I8" s="1696">
        <v>2000</v>
      </c>
      <c r="J8" s="1696">
        <v>2001</v>
      </c>
      <c r="K8" s="1696">
        <v>2002</v>
      </c>
      <c r="L8" s="1696">
        <v>2003</v>
      </c>
      <c r="M8" s="1696">
        <v>2004</v>
      </c>
      <c r="N8" s="1696">
        <v>2005</v>
      </c>
      <c r="O8" s="1696">
        <v>2006</v>
      </c>
      <c r="P8" s="1696">
        <v>2007</v>
      </c>
      <c r="Q8" s="1696">
        <v>2008</v>
      </c>
      <c r="R8" s="1696">
        <v>2009</v>
      </c>
      <c r="S8" s="1696">
        <v>2010</v>
      </c>
      <c r="T8" s="1696">
        <v>2011</v>
      </c>
      <c r="U8" s="1696">
        <v>2012</v>
      </c>
      <c r="V8" s="1696">
        <v>2013</v>
      </c>
      <c r="W8" s="1696">
        <v>2014</v>
      </c>
      <c r="X8" s="1697">
        <v>2015</v>
      </c>
      <c r="Y8" s="2325">
        <v>2016</v>
      </c>
      <c r="Z8" s="1697">
        <v>2017</v>
      </c>
      <c r="AA8" s="2241"/>
      <c r="AB8" s="2241"/>
    </row>
    <row r="9" spans="1:28" s="2155" customFormat="1" ht="23.25" customHeight="1" x14ac:dyDescent="0.25">
      <c r="A9" s="2326"/>
      <c r="B9" s="2274"/>
      <c r="C9" s="2274"/>
      <c r="D9" s="2327" t="s">
        <v>976</v>
      </c>
      <c r="E9" s="2291">
        <v>27035</v>
      </c>
      <c r="F9" s="2291">
        <v>23121</v>
      </c>
      <c r="G9" s="2291">
        <v>26445</v>
      </c>
      <c r="H9" s="2291">
        <v>51444</v>
      </c>
      <c r="I9" s="2328">
        <v>64622</v>
      </c>
      <c r="J9" s="2328">
        <v>26506</v>
      </c>
      <c r="K9" s="2328">
        <v>15649</v>
      </c>
      <c r="L9" s="2328">
        <v>13459</v>
      </c>
      <c r="M9" s="2328">
        <v>13399</v>
      </c>
      <c r="N9" s="2328">
        <v>7755</v>
      </c>
      <c r="O9" s="2329">
        <v>12163</v>
      </c>
      <c r="P9" s="2328">
        <v>5210</v>
      </c>
      <c r="Q9" s="2328">
        <v>7727</v>
      </c>
      <c r="R9" s="2328">
        <v>5586</v>
      </c>
      <c r="S9" s="2328">
        <v>8066</v>
      </c>
      <c r="T9" s="2328">
        <v>9866</v>
      </c>
      <c r="U9" s="2328">
        <v>6646</v>
      </c>
      <c r="V9" s="2328">
        <v>8851</v>
      </c>
      <c r="W9" s="2328">
        <v>13988</v>
      </c>
      <c r="X9" s="2330">
        <v>11276</v>
      </c>
      <c r="Y9" s="2331">
        <v>5846</v>
      </c>
      <c r="Z9" s="2332">
        <v>30450</v>
      </c>
      <c r="AA9" s="2333"/>
      <c r="AB9" s="2333"/>
    </row>
    <row r="10" spans="1:28" s="11" customFormat="1" ht="16.5" customHeight="1" x14ac:dyDescent="0.25">
      <c r="A10" s="5"/>
      <c r="B10" s="6"/>
      <c r="C10" s="6"/>
      <c r="D10" s="23" t="s">
        <v>977</v>
      </c>
      <c r="E10" s="1379">
        <v>163</v>
      </c>
      <c r="F10" s="1379">
        <v>104</v>
      </c>
      <c r="G10" s="1379">
        <v>198</v>
      </c>
      <c r="H10" s="1379">
        <v>406</v>
      </c>
      <c r="I10" s="2334">
        <v>458</v>
      </c>
      <c r="J10" s="2334">
        <v>119</v>
      </c>
      <c r="K10" s="2334">
        <v>96</v>
      </c>
      <c r="L10" s="2334">
        <v>142</v>
      </c>
      <c r="M10" s="2334">
        <v>89</v>
      </c>
      <c r="N10" s="2334">
        <v>64</v>
      </c>
      <c r="O10" s="2334">
        <v>89</v>
      </c>
      <c r="P10" s="2334">
        <v>48</v>
      </c>
      <c r="Q10" s="2334">
        <v>44</v>
      </c>
      <c r="R10" s="2334">
        <v>43</v>
      </c>
      <c r="S10" s="2334">
        <v>87</v>
      </c>
      <c r="T10" s="2334">
        <v>89</v>
      </c>
      <c r="U10" s="2334">
        <v>72</v>
      </c>
      <c r="V10" s="2334">
        <v>104</v>
      </c>
      <c r="W10" s="2334">
        <v>174</v>
      </c>
      <c r="X10" s="2335">
        <v>141</v>
      </c>
      <c r="Y10" s="2336">
        <v>54</v>
      </c>
      <c r="Z10" s="2337">
        <v>331</v>
      </c>
      <c r="AA10" s="2338"/>
      <c r="AB10" s="2338"/>
    </row>
    <row r="11" spans="1:28" x14ac:dyDescent="0.25">
      <c r="D11" s="2249" t="s">
        <v>978</v>
      </c>
      <c r="E11" s="2339">
        <v>6.029221379692991E-3</v>
      </c>
      <c r="F11" s="2339">
        <v>4.4980753427619913E-3</v>
      </c>
      <c r="G11" s="2339">
        <v>7.4872376630743054E-3</v>
      </c>
      <c r="H11" s="2339">
        <v>7.8920768213980256E-3</v>
      </c>
      <c r="I11" s="2340">
        <v>7.0873696264430073E-3</v>
      </c>
      <c r="J11" s="2340">
        <v>4.4895495359541238E-3</v>
      </c>
      <c r="K11" s="2340">
        <v>6.13457728928366E-3</v>
      </c>
      <c r="L11" s="2340">
        <v>1.0550560962924437E-2</v>
      </c>
      <c r="M11" s="2340">
        <v>6.642286737816255E-3</v>
      </c>
      <c r="N11" s="2340">
        <v>8.2527401676337851E-3</v>
      </c>
      <c r="O11" s="2340">
        <v>7.3172736989229629E-3</v>
      </c>
      <c r="P11" s="2340">
        <v>9.2130518234165067E-3</v>
      </c>
      <c r="Q11" s="2340">
        <v>5.6943186230102236E-3</v>
      </c>
      <c r="R11" s="2340">
        <v>7.6978150000000002E-3</v>
      </c>
      <c r="S11" s="2340">
        <v>1.0786014999999999E-2</v>
      </c>
      <c r="T11" s="2340">
        <v>9.0208797891749449E-3</v>
      </c>
      <c r="U11" s="2340">
        <v>1.0500000000000001E-2</v>
      </c>
      <c r="V11" s="2340">
        <v>1.18E-2</v>
      </c>
      <c r="W11" s="2340">
        <v>1.24E-2</v>
      </c>
      <c r="X11" s="2341">
        <v>1.2500000000000001E-2</v>
      </c>
      <c r="Y11" s="2342">
        <f>Y10/Y9</f>
        <v>9.2370851864522745E-3</v>
      </c>
      <c r="Z11" s="2343">
        <f>Z10/Z9</f>
        <v>1.0870279146141216E-2</v>
      </c>
      <c r="AA11" s="2246"/>
      <c r="AB11" s="2246"/>
    </row>
    <row r="12" spans="1:28" x14ac:dyDescent="0.25">
      <c r="D12" s="1889"/>
      <c r="E12" s="2344"/>
      <c r="F12" s="2344"/>
      <c r="G12" s="2344"/>
      <c r="H12" s="2344"/>
      <c r="I12" s="2246"/>
      <c r="J12" s="2246"/>
      <c r="K12" s="2246"/>
      <c r="L12" s="2246"/>
      <c r="M12" s="2246"/>
      <c r="N12" s="2246"/>
      <c r="O12" s="2246"/>
      <c r="P12" s="2246"/>
      <c r="Q12" s="2246"/>
      <c r="R12" s="2246"/>
      <c r="S12" s="2246"/>
      <c r="T12" s="2246"/>
      <c r="U12" s="2246"/>
      <c r="V12" s="2246"/>
      <c r="W12" s="2246"/>
      <c r="X12" s="2246"/>
      <c r="Y12" s="2345"/>
      <c r="Z12" s="2345"/>
      <c r="AA12" s="2246"/>
      <c r="AB12" s="2246"/>
    </row>
    <row r="13" spans="1:28" ht="14.25" x14ac:dyDescent="0.2">
      <c r="A13" s="1">
        <v>5</v>
      </c>
      <c r="B13" s="1" t="s">
        <v>90</v>
      </c>
      <c r="C13" s="1"/>
      <c r="E13" s="2255"/>
    </row>
    <row r="17" spans="1:27" x14ac:dyDescent="0.2">
      <c r="B17" s="2073"/>
      <c r="C17" s="2073"/>
    </row>
    <row r="20" spans="1:27" x14ac:dyDescent="0.2">
      <c r="AA20" s="2256"/>
    </row>
    <row r="23" spans="1:27" x14ac:dyDescent="0.2">
      <c r="AA23" s="2257"/>
    </row>
    <row r="25" spans="1:27" x14ac:dyDescent="0.2">
      <c r="X25" s="2258"/>
      <c r="Y25" s="2258"/>
      <c r="Z25" s="2258"/>
    </row>
    <row r="30" spans="1:27" ht="15" customHeight="1" x14ac:dyDescent="0.2">
      <c r="A30" s="1">
        <v>6</v>
      </c>
      <c r="B30" s="1" t="s">
        <v>29</v>
      </c>
      <c r="C30" s="1"/>
      <c r="D30" s="4140" t="s">
        <v>979</v>
      </c>
      <c r="E30" s="4141"/>
      <c r="F30" s="4141"/>
      <c r="G30" s="4141"/>
      <c r="H30" s="4141"/>
      <c r="I30" s="4141"/>
      <c r="J30" s="4141"/>
      <c r="K30" s="4141"/>
      <c r="L30" s="4141"/>
      <c r="M30" s="4141"/>
      <c r="N30" s="4141"/>
      <c r="O30" s="4141"/>
      <c r="P30" s="4141"/>
      <c r="Q30" s="4141"/>
      <c r="R30" s="4141"/>
      <c r="S30" s="4141"/>
      <c r="T30" s="4141"/>
      <c r="U30" s="4141"/>
      <c r="V30" s="4141"/>
      <c r="W30" s="4141"/>
      <c r="X30" s="4142"/>
      <c r="Y30" s="1769"/>
      <c r="Z30" s="1769"/>
    </row>
    <row r="31" spans="1:27" ht="14.25" customHeight="1" x14ac:dyDescent="0.2">
      <c r="A31" s="40">
        <v>7</v>
      </c>
      <c r="B31" s="40" t="s">
        <v>32</v>
      </c>
      <c r="C31" s="40"/>
      <c r="D31" s="4235" t="s">
        <v>980</v>
      </c>
      <c r="E31" s="4236"/>
      <c r="F31" s="4236"/>
      <c r="G31" s="4236"/>
      <c r="H31" s="4236"/>
      <c r="I31" s="4236"/>
      <c r="J31" s="4236"/>
      <c r="K31" s="4236"/>
      <c r="L31" s="4236"/>
      <c r="M31" s="4236"/>
      <c r="N31" s="4236"/>
      <c r="O31" s="4236"/>
      <c r="P31" s="4236"/>
      <c r="Q31" s="4236"/>
      <c r="R31" s="4236"/>
      <c r="S31" s="4236"/>
      <c r="T31" s="4236"/>
      <c r="U31" s="4236"/>
      <c r="V31" s="4236"/>
      <c r="W31" s="4236"/>
      <c r="X31" s="4237"/>
      <c r="Y31" s="2082"/>
      <c r="Z31" s="2082"/>
    </row>
    <row r="32" spans="1:27" ht="16.5" customHeight="1" x14ac:dyDescent="0.2">
      <c r="A32" s="1">
        <v>8</v>
      </c>
      <c r="B32" s="1" t="s">
        <v>31</v>
      </c>
      <c r="C32" s="1"/>
      <c r="D32" s="4140" t="s">
        <v>981</v>
      </c>
      <c r="E32" s="4141"/>
      <c r="F32" s="4141"/>
      <c r="G32" s="4141"/>
      <c r="H32" s="4141"/>
      <c r="I32" s="4141"/>
      <c r="J32" s="4141"/>
      <c r="K32" s="4141"/>
      <c r="L32" s="4141"/>
      <c r="M32" s="4141"/>
      <c r="N32" s="4141"/>
      <c r="O32" s="4141"/>
      <c r="P32" s="4141"/>
      <c r="Q32" s="4141"/>
      <c r="R32" s="4141"/>
      <c r="S32" s="4141"/>
      <c r="T32" s="4141"/>
      <c r="U32" s="4141"/>
      <c r="V32" s="4141"/>
      <c r="W32" s="4141"/>
      <c r="X32" s="4142"/>
      <c r="Y32" s="1769"/>
      <c r="Z32" s="1769"/>
    </row>
    <row r="33" spans="1:32" ht="14.25" x14ac:dyDescent="0.2">
      <c r="A33" s="943"/>
    </row>
    <row r="34" spans="1:32" ht="14.25" x14ac:dyDescent="0.2">
      <c r="A34" s="943"/>
    </row>
    <row r="36" spans="1:32" x14ac:dyDescent="0.2">
      <c r="B36" s="3962"/>
      <c r="C36" s="3962"/>
      <c r="D36" s="3963"/>
      <c r="E36" s="3963"/>
      <c r="F36" s="3963"/>
      <c r="G36" s="3963"/>
      <c r="H36" s="3963"/>
      <c r="I36" s="3963"/>
      <c r="J36" s="3963"/>
      <c r="K36" s="3963"/>
      <c r="L36" s="3963"/>
      <c r="M36" s="3963"/>
      <c r="N36" s="3963"/>
      <c r="O36" s="3963"/>
      <c r="P36" s="3963"/>
      <c r="Q36" s="3963"/>
      <c r="R36" s="3963"/>
      <c r="S36" s="3963"/>
      <c r="T36" s="3963"/>
      <c r="U36" s="3963"/>
      <c r="V36" s="3963"/>
      <c r="W36" s="3963"/>
      <c r="X36" s="3963"/>
      <c r="Y36" s="3963"/>
      <c r="Z36" s="3963"/>
      <c r="AA36" s="3963"/>
      <c r="AB36" s="3963"/>
      <c r="AC36" s="3963"/>
      <c r="AD36" s="3963"/>
      <c r="AE36" s="3963"/>
    </row>
    <row r="37" spans="1:32" ht="14.25" x14ac:dyDescent="0.2">
      <c r="A37" s="943"/>
      <c r="B37" s="3964" t="s">
        <v>982</v>
      </c>
      <c r="C37" s="3965"/>
      <c r="D37" s="3965"/>
      <c r="E37" s="3965"/>
      <c r="F37" s="3965"/>
      <c r="G37" s="3965"/>
      <c r="H37" s="3965"/>
      <c r="I37" s="3965"/>
      <c r="J37" s="3965"/>
      <c r="K37" s="3965"/>
      <c r="L37" s="3965"/>
      <c r="M37" s="3965"/>
      <c r="N37" s="3965"/>
      <c r="O37" s="3965"/>
      <c r="P37" s="3965"/>
      <c r="Q37" s="3965"/>
      <c r="R37" s="3965"/>
      <c r="S37" s="3965"/>
      <c r="T37" s="3965"/>
      <c r="U37" s="3965"/>
      <c r="V37" s="3965"/>
      <c r="W37" s="3965"/>
      <c r="X37" s="3965"/>
      <c r="Y37" s="3965"/>
      <c r="Z37" s="3965"/>
      <c r="AA37" s="3965"/>
      <c r="AB37" s="3965"/>
      <c r="AC37" s="3965"/>
      <c r="AD37" s="3965"/>
      <c r="AE37" s="3965"/>
      <c r="AF37" s="1321"/>
    </row>
    <row r="38" spans="1:32" ht="14.25" x14ac:dyDescent="0.2">
      <c r="A38" s="943"/>
      <c r="B38" s="3965"/>
      <c r="C38" s="3965"/>
      <c r="D38" s="3965"/>
      <c r="E38" s="3965"/>
      <c r="F38" s="3965"/>
      <c r="G38" s="3965"/>
      <c r="H38" s="3965"/>
      <c r="I38" s="3965"/>
      <c r="J38" s="3965"/>
      <c r="K38" s="3965"/>
      <c r="L38" s="3965"/>
      <c r="M38" s="3965"/>
      <c r="N38" s="3965"/>
      <c r="O38" s="3965"/>
      <c r="P38" s="3965"/>
      <c r="Q38" s="3965"/>
      <c r="R38" s="3965"/>
      <c r="S38" s="3965"/>
      <c r="T38" s="3965"/>
      <c r="U38" s="3965"/>
      <c r="V38" s="3965"/>
      <c r="W38" s="3965"/>
      <c r="X38" s="3965"/>
      <c r="Y38" s="3965"/>
      <c r="Z38" s="3965"/>
      <c r="AA38" s="3965"/>
      <c r="AB38" s="3965"/>
      <c r="AC38" s="3965"/>
      <c r="AD38" s="3965"/>
      <c r="AE38" s="3965"/>
      <c r="AF38" s="1321"/>
    </row>
    <row r="39" spans="1:32" ht="14.25" x14ac:dyDescent="0.2">
      <c r="A39" s="943"/>
      <c r="B39" s="3966" t="s">
        <v>983</v>
      </c>
      <c r="C39" s="4265" t="s">
        <v>984</v>
      </c>
      <c r="D39" s="4265"/>
      <c r="E39" s="4265" t="s">
        <v>985</v>
      </c>
      <c r="F39" s="4265"/>
      <c r="G39" s="4265" t="s">
        <v>986</v>
      </c>
      <c r="H39" s="4265"/>
      <c r="I39" s="4265" t="s">
        <v>987</v>
      </c>
      <c r="J39" s="4265"/>
      <c r="K39" s="4265" t="s">
        <v>988</v>
      </c>
      <c r="L39" s="4265"/>
      <c r="M39" s="4265" t="s">
        <v>989</v>
      </c>
      <c r="N39" s="4265"/>
      <c r="O39" s="4265" t="s">
        <v>990</v>
      </c>
      <c r="P39" s="4265"/>
      <c r="Q39" s="4265" t="s">
        <v>991</v>
      </c>
      <c r="R39" s="4265"/>
      <c r="S39" s="4266" t="s">
        <v>992</v>
      </c>
      <c r="T39" s="4267"/>
      <c r="U39" s="4265" t="s">
        <v>993</v>
      </c>
      <c r="V39" s="4265"/>
      <c r="W39" s="4265" t="s">
        <v>994</v>
      </c>
      <c r="X39" s="4265"/>
      <c r="Y39" s="4266" t="s">
        <v>995</v>
      </c>
      <c r="Z39" s="4267"/>
      <c r="AA39" s="3967" t="s">
        <v>257</v>
      </c>
      <c r="AB39" s="3967" t="s">
        <v>257</v>
      </c>
      <c r="AC39" s="3967" t="s">
        <v>996</v>
      </c>
      <c r="AD39" s="3963"/>
      <c r="AE39" s="3963"/>
    </row>
    <row r="40" spans="1:32" ht="14.25" x14ac:dyDescent="0.2">
      <c r="A40" s="943"/>
      <c r="B40" s="3967" t="s">
        <v>997</v>
      </c>
      <c r="C40" s="3968" t="s">
        <v>998</v>
      </c>
      <c r="D40" s="3968" t="s">
        <v>99</v>
      </c>
      <c r="E40" s="3968" t="s">
        <v>998</v>
      </c>
      <c r="F40" s="3968" t="s">
        <v>99</v>
      </c>
      <c r="G40" s="3968" t="s">
        <v>998</v>
      </c>
      <c r="H40" s="3968" t="s">
        <v>99</v>
      </c>
      <c r="I40" s="3968" t="s">
        <v>998</v>
      </c>
      <c r="J40" s="3968" t="s">
        <v>99</v>
      </c>
      <c r="K40" s="3968" t="s">
        <v>998</v>
      </c>
      <c r="L40" s="3968" t="s">
        <v>99</v>
      </c>
      <c r="M40" s="3968" t="s">
        <v>998</v>
      </c>
      <c r="N40" s="3968" t="s">
        <v>99</v>
      </c>
      <c r="O40" s="3968" t="s">
        <v>998</v>
      </c>
      <c r="P40" s="3968" t="s">
        <v>99</v>
      </c>
      <c r="Q40" s="3968" t="s">
        <v>998</v>
      </c>
      <c r="R40" s="3968" t="s">
        <v>99</v>
      </c>
      <c r="S40" s="3968" t="s">
        <v>99</v>
      </c>
      <c r="T40" s="3968" t="s">
        <v>99</v>
      </c>
      <c r="U40" s="3968" t="s">
        <v>998</v>
      </c>
      <c r="V40" s="3968" t="s">
        <v>99</v>
      </c>
      <c r="W40" s="3968" t="s">
        <v>998</v>
      </c>
      <c r="X40" s="3968" t="s">
        <v>99</v>
      </c>
      <c r="Y40" s="3968" t="s">
        <v>998</v>
      </c>
      <c r="Z40" s="3968" t="s">
        <v>99</v>
      </c>
      <c r="AA40" s="3967" t="s">
        <v>999</v>
      </c>
      <c r="AB40" s="3967" t="s">
        <v>1000</v>
      </c>
      <c r="AC40" s="3969"/>
      <c r="AD40" s="3963"/>
      <c r="AE40" s="3963"/>
    </row>
    <row r="41" spans="1:32" ht="14.25" x14ac:dyDescent="0.2">
      <c r="A41" s="943"/>
      <c r="B41" s="3967" t="s">
        <v>23</v>
      </c>
      <c r="C41" s="3970">
        <v>452</v>
      </c>
      <c r="D41" s="3970">
        <v>4</v>
      </c>
      <c r="E41" s="3970">
        <v>455</v>
      </c>
      <c r="F41" s="3970">
        <v>3</v>
      </c>
      <c r="G41" s="3970">
        <v>1529</v>
      </c>
      <c r="H41" s="3970">
        <v>11</v>
      </c>
      <c r="I41" s="3970">
        <v>650</v>
      </c>
      <c r="J41" s="3970">
        <v>3</v>
      </c>
      <c r="K41" s="3970">
        <v>364</v>
      </c>
      <c r="L41" s="3970">
        <v>1</v>
      </c>
      <c r="M41" s="3970">
        <v>92</v>
      </c>
      <c r="N41" s="3970">
        <v>2</v>
      </c>
      <c r="O41" s="3970">
        <v>47</v>
      </c>
      <c r="P41" s="3970">
        <v>0</v>
      </c>
      <c r="Q41" s="3970">
        <v>26</v>
      </c>
      <c r="R41" s="3970">
        <v>0</v>
      </c>
      <c r="S41" s="3970">
        <v>0</v>
      </c>
      <c r="T41" s="3970">
        <v>5</v>
      </c>
      <c r="U41" s="3970">
        <v>195</v>
      </c>
      <c r="V41" s="3970">
        <v>1</v>
      </c>
      <c r="W41" s="3970">
        <v>183</v>
      </c>
      <c r="X41" s="3970">
        <v>0</v>
      </c>
      <c r="Y41" s="3970">
        <v>128</v>
      </c>
      <c r="Z41" s="3970">
        <v>1</v>
      </c>
      <c r="AA41" s="3970">
        <f>SUM(C41,E41,G41,I41,K41,M41,O41,Q41,S41,U41,W41,Y41)</f>
        <v>4121</v>
      </c>
      <c r="AB41" s="3970">
        <f t="shared" ref="AB41:AB44" si="0">SUM(D41,F41,H41,J41,L41,N41,P41,R41,T41,V41,X41,Z41)</f>
        <v>31</v>
      </c>
      <c r="AC41" s="3970">
        <f>AB41/AA41*100</f>
        <v>0.75224460082504252</v>
      </c>
      <c r="AD41" s="3963"/>
      <c r="AE41" s="3963"/>
    </row>
    <row r="42" spans="1:32" ht="14.25" x14ac:dyDescent="0.2">
      <c r="A42" s="943"/>
      <c r="B42" s="3967" t="s">
        <v>24</v>
      </c>
      <c r="C42" s="3970">
        <v>707</v>
      </c>
      <c r="D42" s="3970">
        <v>2</v>
      </c>
      <c r="E42" s="3970">
        <v>165</v>
      </c>
      <c r="F42" s="3970">
        <v>2</v>
      </c>
      <c r="G42" s="3970">
        <v>93</v>
      </c>
      <c r="H42" s="3970">
        <v>0</v>
      </c>
      <c r="I42" s="3970">
        <v>114</v>
      </c>
      <c r="J42" s="3970">
        <v>1</v>
      </c>
      <c r="K42" s="3970">
        <v>91</v>
      </c>
      <c r="L42" s="3970">
        <v>0</v>
      </c>
      <c r="M42" s="3970">
        <v>45</v>
      </c>
      <c r="N42" s="3970">
        <v>0</v>
      </c>
      <c r="O42" s="3970">
        <v>88</v>
      </c>
      <c r="P42" s="3970">
        <v>0</v>
      </c>
      <c r="Q42" s="3970">
        <v>65</v>
      </c>
      <c r="R42" s="3970">
        <v>0</v>
      </c>
      <c r="S42" s="3970">
        <v>0</v>
      </c>
      <c r="T42" s="3970">
        <v>0</v>
      </c>
      <c r="U42" s="3970">
        <v>82</v>
      </c>
      <c r="V42" s="3970">
        <v>1</v>
      </c>
      <c r="W42" s="3970">
        <v>84</v>
      </c>
      <c r="X42" s="3970">
        <v>1</v>
      </c>
      <c r="Y42" s="3971">
        <v>68</v>
      </c>
      <c r="Z42" s="3970">
        <v>1</v>
      </c>
      <c r="AA42" s="3970">
        <f>SUM(C42,E42,G42,I42,K42,M42,O42,Q42,S42,U42,W42,Y42)</f>
        <v>1602</v>
      </c>
      <c r="AB42" s="3970">
        <f t="shared" si="0"/>
        <v>8</v>
      </c>
      <c r="AC42" s="3970">
        <f>AB42/AA42*100</f>
        <v>0.49937578027465668</v>
      </c>
      <c r="AD42" s="3963"/>
      <c r="AE42" s="3963"/>
    </row>
    <row r="43" spans="1:32" ht="14.25" x14ac:dyDescent="0.2">
      <c r="A43" s="943"/>
      <c r="B43" s="3967" t="s">
        <v>22</v>
      </c>
      <c r="C43" s="3970">
        <v>167</v>
      </c>
      <c r="D43" s="3970">
        <v>2</v>
      </c>
      <c r="E43" s="3970">
        <v>91</v>
      </c>
      <c r="F43" s="3970">
        <v>0</v>
      </c>
      <c r="G43" s="3970">
        <v>91</v>
      </c>
      <c r="H43" s="3970">
        <v>0</v>
      </c>
      <c r="I43" s="3970">
        <v>50</v>
      </c>
      <c r="J43" s="3970">
        <v>0</v>
      </c>
      <c r="K43" s="3970">
        <v>23</v>
      </c>
      <c r="L43" s="3970">
        <v>0</v>
      </c>
      <c r="M43" s="3970">
        <v>19</v>
      </c>
      <c r="N43" s="3970">
        <v>0</v>
      </c>
      <c r="O43" s="3970">
        <v>31</v>
      </c>
      <c r="P43" s="3970">
        <v>0</v>
      </c>
      <c r="Q43" s="3970">
        <v>21</v>
      </c>
      <c r="R43" s="3970">
        <v>0</v>
      </c>
      <c r="S43" s="3970">
        <v>0</v>
      </c>
      <c r="T43" s="3970">
        <v>0</v>
      </c>
      <c r="U43" s="3970">
        <v>25</v>
      </c>
      <c r="V43" s="3970">
        <v>1</v>
      </c>
      <c r="W43" s="3970">
        <v>21</v>
      </c>
      <c r="X43" s="3970">
        <v>0</v>
      </c>
      <c r="Y43" s="3971">
        <v>23</v>
      </c>
      <c r="Z43" s="3970">
        <v>0</v>
      </c>
      <c r="AA43" s="3970">
        <f>SUM(C43,E43,G43,I43,K43,M43,O43,Q43,S43,U43,W43,Y43)</f>
        <v>562</v>
      </c>
      <c r="AB43" s="3970">
        <f t="shared" si="0"/>
        <v>3</v>
      </c>
      <c r="AC43" s="3970">
        <f>AB43/AA43*100</f>
        <v>0.53380782918149472</v>
      </c>
      <c r="AD43" s="3963"/>
      <c r="AE43" s="3963"/>
    </row>
    <row r="44" spans="1:32" ht="14.25" x14ac:dyDescent="0.2">
      <c r="A44" s="943"/>
      <c r="B44" s="3967" t="s">
        <v>25</v>
      </c>
      <c r="C44" s="3970">
        <v>48</v>
      </c>
      <c r="D44" s="3970">
        <v>0</v>
      </c>
      <c r="E44" s="3970">
        <v>24</v>
      </c>
      <c r="F44" s="3970">
        <v>0</v>
      </c>
      <c r="G44" s="3970">
        <v>17</v>
      </c>
      <c r="H44" s="3970">
        <v>0</v>
      </c>
      <c r="I44" s="3970">
        <v>19</v>
      </c>
      <c r="J44" s="3970">
        <v>0</v>
      </c>
      <c r="K44" s="3970">
        <v>8</v>
      </c>
      <c r="L44" s="3970">
        <v>0</v>
      </c>
      <c r="M44" s="3970">
        <v>8</v>
      </c>
      <c r="N44" s="3970">
        <v>0</v>
      </c>
      <c r="O44" s="3970">
        <v>2</v>
      </c>
      <c r="P44" s="3970">
        <v>0</v>
      </c>
      <c r="Q44" s="3970">
        <v>3</v>
      </c>
      <c r="R44" s="3970">
        <v>0</v>
      </c>
      <c r="S44" s="3970">
        <v>0</v>
      </c>
      <c r="T44" s="3970">
        <v>0</v>
      </c>
      <c r="U44" s="3970">
        <v>1</v>
      </c>
      <c r="V44" s="3970">
        <v>0</v>
      </c>
      <c r="W44" s="3970">
        <v>1</v>
      </c>
      <c r="X44" s="3970">
        <v>0</v>
      </c>
      <c r="Y44" s="3971">
        <v>1</v>
      </c>
      <c r="Z44" s="3970">
        <v>1</v>
      </c>
      <c r="AA44" s="3970">
        <f>SUM(C44,E44,G44,I44,K44,M44,O44,Q44,S44,U44,W44,Y44)</f>
        <v>132</v>
      </c>
      <c r="AB44" s="3970">
        <f t="shared" si="0"/>
        <v>1</v>
      </c>
      <c r="AC44" s="3970">
        <f>AB44/AA44*100</f>
        <v>0.75757575757575757</v>
      </c>
      <c r="AD44" s="3963"/>
      <c r="AE44" s="3963"/>
    </row>
    <row r="45" spans="1:32" ht="14.25" x14ac:dyDescent="0.2">
      <c r="A45" s="943"/>
      <c r="B45" s="3967" t="s">
        <v>21</v>
      </c>
      <c r="C45" s="3970" t="s">
        <v>1001</v>
      </c>
      <c r="D45" s="3970" t="s">
        <v>1001</v>
      </c>
      <c r="E45" s="3970" t="s">
        <v>1001</v>
      </c>
      <c r="F45" s="3970" t="s">
        <v>1001</v>
      </c>
      <c r="G45" s="3970" t="s">
        <v>1001</v>
      </c>
      <c r="H45" s="3970" t="s">
        <v>1001</v>
      </c>
      <c r="I45" s="3970" t="s">
        <v>1001</v>
      </c>
      <c r="J45" s="3970" t="s">
        <v>1001</v>
      </c>
      <c r="K45" s="3970" t="s">
        <v>1001</v>
      </c>
      <c r="L45" s="3970" t="s">
        <v>1001</v>
      </c>
      <c r="M45" s="3970" t="s">
        <v>1001</v>
      </c>
      <c r="N45" s="3970" t="s">
        <v>1001</v>
      </c>
      <c r="O45" s="3972">
        <v>34</v>
      </c>
      <c r="P45" s="3973">
        <v>0</v>
      </c>
      <c r="Q45" s="3972">
        <v>28</v>
      </c>
      <c r="R45" s="3973">
        <v>0</v>
      </c>
      <c r="S45" s="3973">
        <v>0</v>
      </c>
      <c r="T45" s="3973">
        <v>0</v>
      </c>
      <c r="U45" s="3972">
        <v>24</v>
      </c>
      <c r="V45" s="3974">
        <v>0</v>
      </c>
      <c r="W45" s="3972">
        <v>14</v>
      </c>
      <c r="X45" s="3975">
        <v>0</v>
      </c>
      <c r="Y45" s="3972">
        <v>19</v>
      </c>
      <c r="Z45" s="3975">
        <v>0</v>
      </c>
      <c r="AA45" s="3965">
        <v>957</v>
      </c>
      <c r="AB45" s="3965">
        <v>0</v>
      </c>
      <c r="AC45" s="3965">
        <v>64</v>
      </c>
      <c r="AD45" s="3963"/>
      <c r="AE45" s="3963"/>
    </row>
    <row r="46" spans="1:32" ht="14.25" x14ac:dyDescent="0.2">
      <c r="A46" s="943"/>
      <c r="B46" s="3967" t="s">
        <v>26</v>
      </c>
      <c r="C46" s="3970" t="s">
        <v>1001</v>
      </c>
      <c r="D46" s="3970" t="s">
        <v>1001</v>
      </c>
      <c r="E46" s="3970" t="s">
        <v>1001</v>
      </c>
      <c r="F46" s="3970" t="s">
        <v>1001</v>
      </c>
      <c r="G46" s="3970" t="s">
        <v>1001</v>
      </c>
      <c r="H46" s="3970" t="s">
        <v>1001</v>
      </c>
      <c r="I46" s="3970" t="s">
        <v>1001</v>
      </c>
      <c r="J46" s="3970" t="s">
        <v>1001</v>
      </c>
      <c r="K46" s="3970" t="s">
        <v>1001</v>
      </c>
      <c r="L46" s="3970" t="s">
        <v>1001</v>
      </c>
      <c r="M46" s="3970" t="s">
        <v>1001</v>
      </c>
      <c r="N46" s="3970" t="s">
        <v>1001</v>
      </c>
      <c r="O46" s="3970" t="s">
        <v>1001</v>
      </c>
      <c r="P46" s="3970" t="s">
        <v>1001</v>
      </c>
      <c r="Q46" s="3970" t="s">
        <v>1001</v>
      </c>
      <c r="R46" s="3970" t="s">
        <v>1001</v>
      </c>
      <c r="S46" s="3970" t="s">
        <v>1001</v>
      </c>
      <c r="T46" s="3970" t="s">
        <v>1001</v>
      </c>
      <c r="U46" s="3970" t="s">
        <v>1001</v>
      </c>
      <c r="V46" s="3970" t="s">
        <v>1001</v>
      </c>
      <c r="W46" s="3970" t="s">
        <v>1001</v>
      </c>
      <c r="X46" s="3970" t="s">
        <v>1001</v>
      </c>
      <c r="Y46" s="3970" t="s">
        <v>1001</v>
      </c>
      <c r="Z46" s="3970" t="s">
        <v>1001</v>
      </c>
      <c r="AA46" s="3970">
        <v>4</v>
      </c>
      <c r="AB46" s="3970">
        <v>0</v>
      </c>
      <c r="AC46" s="3970">
        <f>AB46/AA46*100</f>
        <v>0</v>
      </c>
      <c r="AD46" s="3963"/>
      <c r="AE46" s="3963"/>
    </row>
    <row r="47" spans="1:32" x14ac:dyDescent="0.2">
      <c r="A47" s="943"/>
      <c r="B47" s="3967" t="s">
        <v>19</v>
      </c>
      <c r="C47" s="3970" t="s">
        <v>1001</v>
      </c>
      <c r="D47" s="3970" t="s">
        <v>1001</v>
      </c>
      <c r="E47" s="3970" t="s">
        <v>1001</v>
      </c>
      <c r="F47" s="3970" t="s">
        <v>1001</v>
      </c>
      <c r="G47" s="3970" t="s">
        <v>1001</v>
      </c>
      <c r="H47" s="3970" t="s">
        <v>1001</v>
      </c>
      <c r="I47" s="3970" t="s">
        <v>1001</v>
      </c>
      <c r="J47" s="3970" t="s">
        <v>1001</v>
      </c>
      <c r="K47" s="3970" t="s">
        <v>1001</v>
      </c>
      <c r="L47" s="3970" t="s">
        <v>1001</v>
      </c>
      <c r="M47" s="3970" t="s">
        <v>1001</v>
      </c>
      <c r="N47" s="3970" t="s">
        <v>1001</v>
      </c>
      <c r="O47" s="3970" t="s">
        <v>1001</v>
      </c>
      <c r="P47" s="3970" t="s">
        <v>1001</v>
      </c>
      <c r="Q47" s="3970" t="s">
        <v>1001</v>
      </c>
      <c r="R47" s="3970" t="s">
        <v>1001</v>
      </c>
      <c r="S47" s="3970" t="s">
        <v>1001</v>
      </c>
      <c r="T47" s="3970" t="s">
        <v>1001</v>
      </c>
      <c r="U47" s="3970" t="s">
        <v>1001</v>
      </c>
      <c r="V47" s="3970" t="s">
        <v>1001</v>
      </c>
      <c r="W47" s="3970" t="s">
        <v>1001</v>
      </c>
      <c r="X47" s="3970" t="s">
        <v>1001</v>
      </c>
      <c r="Y47" s="3970" t="s">
        <v>1001</v>
      </c>
      <c r="Z47" s="3970" t="s">
        <v>1001</v>
      </c>
      <c r="AA47" s="3976">
        <v>15</v>
      </c>
      <c r="AB47" s="3970">
        <v>0</v>
      </c>
      <c r="AC47" s="3970">
        <f>AB47/AA47*100</f>
        <v>0</v>
      </c>
      <c r="AD47" s="3963"/>
      <c r="AE47" s="3963"/>
    </row>
    <row r="48" spans="1:32" ht="14.25" x14ac:dyDescent="0.2">
      <c r="A48" s="943"/>
      <c r="B48" s="3967" t="s">
        <v>257</v>
      </c>
      <c r="C48" s="3970">
        <f>SUM(C41:C46)</f>
        <v>1374</v>
      </c>
      <c r="D48" s="3970">
        <f t="shared" ref="D48:AB48" si="1">SUM(D41:D46)</f>
        <v>8</v>
      </c>
      <c r="E48" s="3970">
        <f t="shared" si="1"/>
        <v>735</v>
      </c>
      <c r="F48" s="3970">
        <f t="shared" si="1"/>
        <v>5</v>
      </c>
      <c r="G48" s="3970">
        <f t="shared" si="1"/>
        <v>1730</v>
      </c>
      <c r="H48" s="3970">
        <f t="shared" si="1"/>
        <v>11</v>
      </c>
      <c r="I48" s="3970">
        <f t="shared" si="1"/>
        <v>833</v>
      </c>
      <c r="J48" s="3970">
        <f t="shared" si="1"/>
        <v>4</v>
      </c>
      <c r="K48" s="3970">
        <f t="shared" si="1"/>
        <v>486</v>
      </c>
      <c r="L48" s="3970">
        <f t="shared" si="1"/>
        <v>1</v>
      </c>
      <c r="M48" s="3970">
        <f t="shared" si="1"/>
        <v>164</v>
      </c>
      <c r="N48" s="3970">
        <f t="shared" si="1"/>
        <v>2</v>
      </c>
      <c r="O48" s="3970">
        <f t="shared" si="1"/>
        <v>202</v>
      </c>
      <c r="P48" s="3970">
        <f t="shared" si="1"/>
        <v>0</v>
      </c>
      <c r="Q48" s="3970">
        <f t="shared" si="1"/>
        <v>143</v>
      </c>
      <c r="R48" s="3970">
        <f t="shared" si="1"/>
        <v>0</v>
      </c>
      <c r="S48" s="3970">
        <f>SUM(S41:S46)</f>
        <v>0</v>
      </c>
      <c r="T48" s="3970">
        <f t="shared" ref="T48:Z48" si="2">SUM(T41:T46)</f>
        <v>5</v>
      </c>
      <c r="U48" s="3970">
        <f t="shared" si="2"/>
        <v>327</v>
      </c>
      <c r="V48" s="3970">
        <f t="shared" si="2"/>
        <v>3</v>
      </c>
      <c r="W48" s="3970">
        <f t="shared" si="2"/>
        <v>303</v>
      </c>
      <c r="X48" s="3970">
        <f t="shared" si="2"/>
        <v>1</v>
      </c>
      <c r="Y48" s="3970">
        <f t="shared" si="2"/>
        <v>239</v>
      </c>
      <c r="Z48" s="3970">
        <f t="shared" si="2"/>
        <v>3</v>
      </c>
      <c r="AA48" s="3970">
        <f>SUM(AA41:AA47)</f>
        <v>7393</v>
      </c>
      <c r="AB48" s="3970">
        <f t="shared" si="1"/>
        <v>43</v>
      </c>
      <c r="AC48" s="3970">
        <f>AB48/AA48*100</f>
        <v>0.58163127282564586</v>
      </c>
      <c r="AD48" s="3963"/>
      <c r="AE48" s="3963"/>
    </row>
    <row r="49" spans="1:32" ht="14.25" x14ac:dyDescent="0.2">
      <c r="A49" s="943"/>
      <c r="B49" s="3967"/>
      <c r="C49" s="3970"/>
      <c r="D49" s="3970"/>
      <c r="E49" s="3970"/>
      <c r="F49" s="3970"/>
      <c r="G49" s="3970"/>
      <c r="H49" s="3970"/>
      <c r="I49" s="3970"/>
      <c r="J49" s="3970"/>
      <c r="K49" s="3970"/>
      <c r="L49" s="3970"/>
      <c r="M49" s="3970"/>
      <c r="N49" s="3970"/>
      <c r="O49" s="3970"/>
      <c r="P49" s="3970"/>
      <c r="Q49" s="3970"/>
      <c r="R49" s="3970"/>
      <c r="S49" s="3970"/>
      <c r="T49" s="3970"/>
      <c r="U49" s="3970"/>
      <c r="V49" s="3970"/>
      <c r="W49" s="3970"/>
      <c r="X49" s="3970"/>
      <c r="Y49" s="3970"/>
      <c r="Z49" s="3970"/>
      <c r="AA49" s="3970"/>
      <c r="AB49" s="3970"/>
      <c r="AC49" s="3970"/>
      <c r="AD49" s="3963"/>
      <c r="AE49" s="3963"/>
    </row>
    <row r="50" spans="1:32" ht="14.25" x14ac:dyDescent="0.2">
      <c r="A50" s="943"/>
      <c r="B50" s="3965"/>
      <c r="C50" s="3965"/>
      <c r="D50" s="3965"/>
      <c r="E50" s="3965"/>
      <c r="F50" s="3965"/>
      <c r="G50" s="3965"/>
      <c r="H50" s="3965"/>
      <c r="I50" s="3965"/>
      <c r="J50" s="3965"/>
      <c r="K50" s="3965"/>
      <c r="L50" s="3965"/>
      <c r="M50" s="3965"/>
      <c r="N50" s="3965"/>
      <c r="O50" s="3965"/>
      <c r="P50" s="3965"/>
      <c r="Q50" s="3965"/>
      <c r="R50" s="3965"/>
      <c r="S50" s="3965"/>
      <c r="T50" s="3965"/>
      <c r="U50" s="3965"/>
      <c r="V50" s="3965"/>
      <c r="W50" s="3965"/>
      <c r="X50" s="3965"/>
      <c r="Y50" s="3965"/>
      <c r="Z50" s="3965"/>
      <c r="AA50" s="3965"/>
      <c r="AB50" s="3965"/>
      <c r="AC50" s="3965"/>
      <c r="AD50" s="3965"/>
      <c r="AE50" s="3965"/>
      <c r="AF50" s="1321"/>
    </row>
    <row r="51" spans="1:32" ht="14.25" x14ac:dyDescent="0.2">
      <c r="A51" s="943"/>
      <c r="B51" s="3965"/>
      <c r="C51" s="3965"/>
      <c r="D51" s="3965"/>
      <c r="E51" s="3965"/>
      <c r="F51" s="3965"/>
      <c r="G51" s="3965"/>
      <c r="H51" s="3965"/>
      <c r="I51" s="3965"/>
      <c r="J51" s="3965"/>
      <c r="K51" s="3965"/>
      <c r="L51" s="3965"/>
      <c r="M51" s="3965"/>
      <c r="N51" s="3965"/>
      <c r="O51" s="3965"/>
      <c r="P51" s="3965"/>
      <c r="Q51" s="3965"/>
      <c r="R51" s="3965"/>
      <c r="S51" s="3965"/>
      <c r="T51" s="3965"/>
      <c r="U51" s="3965"/>
      <c r="V51" s="3965"/>
      <c r="W51" s="3965"/>
      <c r="X51" s="3965"/>
      <c r="Y51" s="3965"/>
      <c r="Z51" s="3965"/>
      <c r="AA51" s="3965"/>
      <c r="AB51" s="3965"/>
      <c r="AC51" s="3965"/>
      <c r="AD51" s="3965"/>
      <c r="AE51" s="3965"/>
      <c r="AF51" s="1321"/>
    </row>
    <row r="52" spans="1:32" ht="14.25" x14ac:dyDescent="0.2">
      <c r="A52" s="943"/>
      <c r="B52" s="3964" t="s">
        <v>1002</v>
      </c>
      <c r="C52" s="3965"/>
      <c r="D52" s="3965"/>
      <c r="E52" s="3965"/>
      <c r="F52" s="3965"/>
      <c r="G52" s="3964">
        <v>2009</v>
      </c>
      <c r="H52" s="3965"/>
      <c r="I52" s="3965"/>
      <c r="J52" s="3965"/>
      <c r="K52" s="3965"/>
      <c r="L52" s="3965"/>
      <c r="M52" s="3965"/>
      <c r="N52" s="3965"/>
      <c r="O52" s="3965"/>
      <c r="P52" s="3965"/>
      <c r="Q52" s="3965"/>
      <c r="R52" s="3965"/>
      <c r="S52" s="3965"/>
      <c r="T52" s="3965"/>
      <c r="U52" s="3965"/>
      <c r="V52" s="3965"/>
      <c r="W52" s="3965"/>
      <c r="X52" s="3965"/>
      <c r="Y52" s="3965"/>
      <c r="Z52" s="3965"/>
      <c r="AA52" s="3965"/>
      <c r="AB52" s="3965"/>
      <c r="AC52" s="3965"/>
      <c r="AD52" s="3965"/>
      <c r="AE52" s="3965"/>
      <c r="AF52" s="1321"/>
    </row>
    <row r="53" spans="1:32" ht="14.25" x14ac:dyDescent="0.2">
      <c r="A53" s="943"/>
      <c r="B53" s="3965"/>
      <c r="C53" s="3965"/>
      <c r="D53" s="3965"/>
      <c r="E53" s="3965"/>
      <c r="F53" s="3965"/>
      <c r="G53" s="3965"/>
      <c r="H53" s="3965"/>
      <c r="I53" s="3965"/>
      <c r="J53" s="3965"/>
      <c r="K53" s="3965"/>
      <c r="L53" s="3965"/>
      <c r="M53" s="3965"/>
      <c r="N53" s="3965"/>
      <c r="O53" s="3965"/>
      <c r="P53" s="3965"/>
      <c r="Q53" s="3965"/>
      <c r="R53" s="3965"/>
      <c r="S53" s="3965"/>
      <c r="T53" s="3965"/>
      <c r="U53" s="3965"/>
      <c r="V53" s="3965"/>
      <c r="W53" s="3965"/>
      <c r="X53" s="3965"/>
      <c r="Y53" s="3965"/>
      <c r="Z53" s="3965"/>
      <c r="AA53" s="3965"/>
      <c r="AB53" s="3965"/>
      <c r="AC53" s="3965"/>
      <c r="AD53" s="3965"/>
      <c r="AE53" s="3965"/>
      <c r="AF53" s="1321"/>
    </row>
    <row r="54" spans="1:32" ht="14.25" x14ac:dyDescent="0.2">
      <c r="A54" s="943"/>
      <c r="B54" s="3966" t="s">
        <v>983</v>
      </c>
      <c r="C54" s="4265" t="s">
        <v>984</v>
      </c>
      <c r="D54" s="4265"/>
      <c r="E54" s="4265" t="s">
        <v>985</v>
      </c>
      <c r="F54" s="4265"/>
      <c r="G54" s="4265" t="s">
        <v>986</v>
      </c>
      <c r="H54" s="4265"/>
      <c r="I54" s="4265" t="s">
        <v>987</v>
      </c>
      <c r="J54" s="4265"/>
      <c r="K54" s="4265" t="s">
        <v>988</v>
      </c>
      <c r="L54" s="4265"/>
      <c r="M54" s="4265" t="s">
        <v>989</v>
      </c>
      <c r="N54" s="4265"/>
      <c r="O54" s="4265" t="s">
        <v>990</v>
      </c>
      <c r="P54" s="4265"/>
      <c r="Q54" s="4265" t="s">
        <v>991</v>
      </c>
      <c r="R54" s="4265"/>
      <c r="S54" s="4266" t="s">
        <v>992</v>
      </c>
      <c r="T54" s="4267"/>
      <c r="U54" s="4265" t="s">
        <v>993</v>
      </c>
      <c r="V54" s="4265"/>
      <c r="W54" s="4265" t="s">
        <v>994</v>
      </c>
      <c r="X54" s="4265"/>
      <c r="Y54" s="4266" t="s">
        <v>995</v>
      </c>
      <c r="Z54" s="4267"/>
      <c r="AA54" s="3967" t="s">
        <v>257</v>
      </c>
      <c r="AB54" s="3967" t="s">
        <v>257</v>
      </c>
      <c r="AC54" s="3967" t="s">
        <v>996</v>
      </c>
      <c r="AD54" s="3963"/>
      <c r="AE54" s="3963"/>
    </row>
    <row r="55" spans="1:32" ht="14.25" x14ac:dyDescent="0.2">
      <c r="A55" s="943"/>
      <c r="B55" s="3967" t="s">
        <v>997</v>
      </c>
      <c r="C55" s="3968" t="s">
        <v>998</v>
      </c>
      <c r="D55" s="3968" t="s">
        <v>99</v>
      </c>
      <c r="E55" s="3968" t="s">
        <v>998</v>
      </c>
      <c r="F55" s="3968" t="s">
        <v>99</v>
      </c>
      <c r="G55" s="3968" t="s">
        <v>998</v>
      </c>
      <c r="H55" s="3968" t="s">
        <v>99</v>
      </c>
      <c r="I55" s="3968" t="s">
        <v>998</v>
      </c>
      <c r="J55" s="3968" t="s">
        <v>99</v>
      </c>
      <c r="K55" s="3968" t="s">
        <v>998</v>
      </c>
      <c r="L55" s="3968" t="s">
        <v>99</v>
      </c>
      <c r="M55" s="3968" t="s">
        <v>998</v>
      </c>
      <c r="N55" s="3968" t="s">
        <v>99</v>
      </c>
      <c r="O55" s="3968" t="s">
        <v>998</v>
      </c>
      <c r="P55" s="3968" t="s">
        <v>99</v>
      </c>
      <c r="Q55" s="3968" t="s">
        <v>998</v>
      </c>
      <c r="R55" s="3968" t="s">
        <v>99</v>
      </c>
      <c r="S55" s="3968" t="s">
        <v>99</v>
      </c>
      <c r="T55" s="3968" t="s">
        <v>99</v>
      </c>
      <c r="U55" s="3968" t="s">
        <v>998</v>
      </c>
      <c r="V55" s="3968" t="s">
        <v>99</v>
      </c>
      <c r="W55" s="3968" t="s">
        <v>998</v>
      </c>
      <c r="X55" s="3968" t="s">
        <v>99</v>
      </c>
      <c r="Y55" s="3968" t="s">
        <v>998</v>
      </c>
      <c r="Z55" s="3968" t="s">
        <v>99</v>
      </c>
      <c r="AA55" s="3967" t="s">
        <v>999</v>
      </c>
      <c r="AB55" s="3967" t="s">
        <v>1000</v>
      </c>
      <c r="AC55" s="3969"/>
      <c r="AD55" s="3963"/>
      <c r="AE55" s="3963"/>
    </row>
    <row r="56" spans="1:32" ht="14.25" x14ac:dyDescent="0.2">
      <c r="A56" s="943"/>
      <c r="B56" s="3967" t="s">
        <v>23</v>
      </c>
      <c r="C56" s="3970">
        <v>329</v>
      </c>
      <c r="D56" s="3970">
        <v>5</v>
      </c>
      <c r="E56" s="3970">
        <v>370</v>
      </c>
      <c r="F56" s="3970">
        <v>2</v>
      </c>
      <c r="G56" s="3970">
        <v>865</v>
      </c>
      <c r="H56" s="3970">
        <v>6</v>
      </c>
      <c r="I56" s="3970">
        <v>199</v>
      </c>
      <c r="J56" s="3970">
        <v>1</v>
      </c>
      <c r="K56" s="3965">
        <v>180</v>
      </c>
      <c r="L56" s="3965">
        <v>2</v>
      </c>
      <c r="M56" s="3970">
        <v>86</v>
      </c>
      <c r="N56" s="3970">
        <v>1</v>
      </c>
      <c r="O56" s="3970">
        <v>37</v>
      </c>
      <c r="P56" s="3970">
        <v>0</v>
      </c>
      <c r="Q56" s="3970">
        <v>14</v>
      </c>
      <c r="R56" s="3970">
        <v>0</v>
      </c>
      <c r="S56" s="3970">
        <v>0</v>
      </c>
      <c r="T56" s="3970">
        <v>0</v>
      </c>
      <c r="U56" s="3970">
        <v>274</v>
      </c>
      <c r="V56" s="3970">
        <v>2</v>
      </c>
      <c r="W56" s="3970">
        <v>154</v>
      </c>
      <c r="X56" s="3970">
        <v>2</v>
      </c>
      <c r="Y56" s="3970">
        <v>383</v>
      </c>
      <c r="Z56" s="3970">
        <v>7</v>
      </c>
      <c r="AA56" s="3970">
        <f>SUM(C56,E56,G56,I56,K56,M56,O56,Q56,S56,U56,W56,Y56)</f>
        <v>2891</v>
      </c>
      <c r="AB56" s="3970">
        <f t="shared" ref="AB56:AB59" si="3">SUM(D56,F56,H56,J56,L56,N56,P56,R56,T56,V56,X56,Z56)</f>
        <v>28</v>
      </c>
      <c r="AC56" s="3970">
        <f>AB56/AA56*100</f>
        <v>0.96852300242130751</v>
      </c>
      <c r="AD56" s="3963"/>
      <c r="AE56" s="3963"/>
    </row>
    <row r="57" spans="1:32" ht="14.25" x14ac:dyDescent="0.2">
      <c r="A57" s="943"/>
      <c r="B57" s="3967" t="s">
        <v>24</v>
      </c>
      <c r="C57" s="3970">
        <v>357</v>
      </c>
      <c r="D57" s="3970">
        <v>0</v>
      </c>
      <c r="E57" s="3970">
        <v>214</v>
      </c>
      <c r="F57" s="3970">
        <v>0</v>
      </c>
      <c r="G57" s="3970">
        <v>249</v>
      </c>
      <c r="H57" s="3970">
        <v>2</v>
      </c>
      <c r="I57" s="3970">
        <v>177</v>
      </c>
      <c r="J57" s="3970">
        <v>0</v>
      </c>
      <c r="K57" s="3965">
        <v>129</v>
      </c>
      <c r="L57" s="3965">
        <v>1</v>
      </c>
      <c r="M57" s="3970">
        <v>73</v>
      </c>
      <c r="N57" s="3970">
        <v>1</v>
      </c>
      <c r="O57" s="3970">
        <v>69</v>
      </c>
      <c r="P57" s="3970">
        <v>0</v>
      </c>
      <c r="Q57" s="3970">
        <v>51</v>
      </c>
      <c r="R57" s="3970">
        <v>0</v>
      </c>
      <c r="S57" s="3970">
        <v>0</v>
      </c>
      <c r="T57" s="3970">
        <v>2</v>
      </c>
      <c r="U57" s="3970">
        <v>148</v>
      </c>
      <c r="V57" s="3970">
        <v>1</v>
      </c>
      <c r="W57" s="3970">
        <v>106</v>
      </c>
      <c r="X57" s="3970">
        <v>1</v>
      </c>
      <c r="Y57" s="3971">
        <v>146</v>
      </c>
      <c r="Z57" s="3970">
        <v>0</v>
      </c>
      <c r="AA57" s="3970">
        <f>SUM(C57,E57,G57,I57,K57,M57,O57,Q57,S57,U57,W57,Y57)</f>
        <v>1719</v>
      </c>
      <c r="AB57" s="3970">
        <f t="shared" si="3"/>
        <v>8</v>
      </c>
      <c r="AC57" s="3970">
        <f>AB57/AA57*100</f>
        <v>0.46538685282140779</v>
      </c>
      <c r="AD57" s="3963"/>
      <c r="AE57" s="3963"/>
    </row>
    <row r="58" spans="1:32" ht="14.25" x14ac:dyDescent="0.2">
      <c r="A58" s="943"/>
      <c r="B58" s="3967" t="s">
        <v>22</v>
      </c>
      <c r="C58" s="3970">
        <v>80</v>
      </c>
      <c r="D58" s="3970">
        <v>1</v>
      </c>
      <c r="E58" s="3970">
        <v>53</v>
      </c>
      <c r="F58" s="3970">
        <v>0</v>
      </c>
      <c r="G58" s="3970">
        <v>55</v>
      </c>
      <c r="H58" s="3970">
        <v>2</v>
      </c>
      <c r="I58" s="3970">
        <v>29</v>
      </c>
      <c r="J58" s="3970">
        <v>0</v>
      </c>
      <c r="K58" s="3965">
        <v>48</v>
      </c>
      <c r="L58" s="3965">
        <v>0</v>
      </c>
      <c r="M58" s="3970">
        <v>22</v>
      </c>
      <c r="N58" s="3970">
        <v>0</v>
      </c>
      <c r="O58" s="3970">
        <v>22</v>
      </c>
      <c r="P58" s="3970">
        <v>0</v>
      </c>
      <c r="Q58" s="3970">
        <v>20</v>
      </c>
      <c r="R58" s="3970">
        <v>0</v>
      </c>
      <c r="S58" s="3970">
        <v>0</v>
      </c>
      <c r="T58" s="3970">
        <v>0</v>
      </c>
      <c r="U58" s="3970">
        <v>25</v>
      </c>
      <c r="V58" s="3970">
        <v>0</v>
      </c>
      <c r="W58" s="3970">
        <v>35</v>
      </c>
      <c r="X58" s="3970">
        <v>1</v>
      </c>
      <c r="Y58" s="3971">
        <v>26</v>
      </c>
      <c r="Z58" s="3970">
        <v>0</v>
      </c>
      <c r="AA58" s="3970">
        <f>SUM(C58,E58,G58,I58,K58,M58,O58,Q58,S58,U58,W58,Y58)</f>
        <v>415</v>
      </c>
      <c r="AB58" s="3970">
        <f t="shared" si="3"/>
        <v>4</v>
      </c>
      <c r="AC58" s="3970">
        <f>AB58/AA58*100</f>
        <v>0.96385542168674709</v>
      </c>
      <c r="AD58" s="3963"/>
      <c r="AE58" s="3963"/>
    </row>
    <row r="59" spans="1:32" ht="14.25" x14ac:dyDescent="0.2">
      <c r="A59" s="943"/>
      <c r="B59" s="3967" t="s">
        <v>25</v>
      </c>
      <c r="C59" s="3970">
        <v>22</v>
      </c>
      <c r="D59" s="3970">
        <v>1</v>
      </c>
      <c r="E59" s="3970">
        <v>14</v>
      </c>
      <c r="F59" s="3970">
        <v>1</v>
      </c>
      <c r="G59" s="3970">
        <v>9</v>
      </c>
      <c r="H59" s="3970">
        <v>0</v>
      </c>
      <c r="I59" s="3970">
        <v>8</v>
      </c>
      <c r="J59" s="3970">
        <v>1</v>
      </c>
      <c r="K59" s="3970">
        <v>4</v>
      </c>
      <c r="L59" s="3970">
        <v>0</v>
      </c>
      <c r="M59" s="3970">
        <v>1</v>
      </c>
      <c r="N59" s="3970">
        <v>0</v>
      </c>
      <c r="O59" s="3970">
        <v>2</v>
      </c>
      <c r="P59" s="3970">
        <v>0</v>
      </c>
      <c r="Q59" s="3970">
        <v>3</v>
      </c>
      <c r="R59" s="3970">
        <v>0</v>
      </c>
      <c r="S59" s="3970">
        <v>0</v>
      </c>
      <c r="T59" s="3970">
        <v>0</v>
      </c>
      <c r="U59" s="3970">
        <v>4</v>
      </c>
      <c r="V59" s="3970">
        <v>0</v>
      </c>
      <c r="W59" s="3970">
        <v>5</v>
      </c>
      <c r="X59" s="3970">
        <v>0</v>
      </c>
      <c r="Y59" s="3971">
        <v>2</v>
      </c>
      <c r="Z59" s="3970">
        <v>0</v>
      </c>
      <c r="AA59" s="3970">
        <f>SUM(C59,E59,G59,I59,K59,M59,O59,Q59,S59,U59,W59,Y59)</f>
        <v>74</v>
      </c>
      <c r="AB59" s="3970">
        <f t="shared" si="3"/>
        <v>3</v>
      </c>
      <c r="AC59" s="3970">
        <f>AB59/AA59*100</f>
        <v>4.0540540540540544</v>
      </c>
      <c r="AD59" s="3963"/>
      <c r="AE59" s="3963"/>
    </row>
    <row r="60" spans="1:32" ht="14.25" x14ac:dyDescent="0.2">
      <c r="A60" s="943"/>
      <c r="B60" s="3967" t="s">
        <v>21</v>
      </c>
      <c r="C60" s="3970">
        <v>217</v>
      </c>
      <c r="D60" s="3970" t="s">
        <v>1001</v>
      </c>
      <c r="E60" s="3970">
        <v>64</v>
      </c>
      <c r="F60" s="3970" t="s">
        <v>1001</v>
      </c>
      <c r="G60" s="3970">
        <v>37</v>
      </c>
      <c r="H60" s="3970" t="s">
        <v>1001</v>
      </c>
      <c r="I60" s="3970">
        <v>3</v>
      </c>
      <c r="J60" s="3970" t="s">
        <v>1001</v>
      </c>
      <c r="K60" s="3970">
        <v>32</v>
      </c>
      <c r="L60" s="3970">
        <v>0</v>
      </c>
      <c r="M60" s="3970">
        <v>19</v>
      </c>
      <c r="N60" s="3970">
        <v>0</v>
      </c>
      <c r="O60" s="3970">
        <v>5</v>
      </c>
      <c r="P60" s="3970">
        <v>0</v>
      </c>
      <c r="Q60" s="3970">
        <v>2</v>
      </c>
      <c r="R60" s="3970">
        <v>0</v>
      </c>
      <c r="S60" s="3970">
        <v>0</v>
      </c>
      <c r="T60" s="3970">
        <v>0</v>
      </c>
      <c r="U60" s="3970">
        <v>0</v>
      </c>
      <c r="V60" s="3970">
        <v>0</v>
      </c>
      <c r="W60" s="3970">
        <v>0</v>
      </c>
      <c r="X60" s="3970">
        <v>0</v>
      </c>
      <c r="Y60" s="3971">
        <v>4</v>
      </c>
      <c r="Z60" s="3970">
        <v>0</v>
      </c>
      <c r="AA60" s="3971">
        <v>298</v>
      </c>
      <c r="AB60" s="3970">
        <v>0</v>
      </c>
      <c r="AC60" s="3970">
        <v>0</v>
      </c>
      <c r="AD60" s="3963"/>
      <c r="AE60" s="3963"/>
    </row>
    <row r="61" spans="1:32" ht="14.25" x14ac:dyDescent="0.2">
      <c r="A61" s="943"/>
      <c r="B61" s="3967" t="s">
        <v>26</v>
      </c>
      <c r="C61" s="3970"/>
      <c r="D61" s="3970"/>
      <c r="E61" s="3970"/>
      <c r="F61" s="3970"/>
      <c r="G61" s="3970"/>
      <c r="H61" s="3970"/>
      <c r="I61" s="3970"/>
      <c r="J61" s="3970"/>
      <c r="K61" s="3970"/>
      <c r="L61" s="3970"/>
      <c r="M61" s="3970"/>
      <c r="N61" s="3970"/>
      <c r="O61" s="3970"/>
      <c r="P61" s="3970"/>
      <c r="Q61" s="3970"/>
      <c r="R61" s="3970"/>
      <c r="S61" s="3970"/>
      <c r="T61" s="3970"/>
      <c r="U61" s="3970"/>
      <c r="V61" s="3970"/>
      <c r="W61" s="3970"/>
      <c r="X61" s="3970"/>
      <c r="Y61" s="3970"/>
      <c r="Z61" s="3970"/>
      <c r="AA61" s="3971"/>
      <c r="AB61" s="3970"/>
      <c r="AC61" s="3970"/>
      <c r="AD61" s="3963"/>
      <c r="AE61" s="3963"/>
    </row>
    <row r="62" spans="1:32" ht="14.25" x14ac:dyDescent="0.2">
      <c r="A62" s="943"/>
      <c r="B62" s="3967" t="s">
        <v>19</v>
      </c>
      <c r="C62" s="3970"/>
      <c r="D62" s="3970"/>
      <c r="E62" s="3970"/>
      <c r="F62" s="3970"/>
      <c r="G62" s="3970"/>
      <c r="H62" s="3970"/>
      <c r="I62" s="3970"/>
      <c r="J62" s="3970"/>
      <c r="K62" s="3970"/>
      <c r="L62" s="3970"/>
      <c r="M62" s="3970"/>
      <c r="N62" s="3970"/>
      <c r="O62" s="3970"/>
      <c r="P62" s="3970"/>
      <c r="Q62" s="3970"/>
      <c r="R62" s="3970"/>
      <c r="S62" s="3970"/>
      <c r="T62" s="3970"/>
      <c r="U62" s="3970"/>
      <c r="V62" s="3970"/>
      <c r="W62" s="3970"/>
      <c r="X62" s="3970"/>
      <c r="Y62" s="3971"/>
      <c r="Z62" s="3970"/>
      <c r="AA62" s="3971"/>
      <c r="AB62" s="3970"/>
      <c r="AC62" s="3970"/>
      <c r="AD62" s="3963"/>
      <c r="AE62" s="3963"/>
    </row>
    <row r="63" spans="1:32" ht="14.25" x14ac:dyDescent="0.2">
      <c r="A63" s="943"/>
      <c r="B63" s="3967" t="s">
        <v>257</v>
      </c>
      <c r="C63" s="3970">
        <f t="shared" ref="C63:AB63" si="4">SUM(C56:C60)</f>
        <v>1005</v>
      </c>
      <c r="D63" s="3970">
        <f t="shared" si="4"/>
        <v>7</v>
      </c>
      <c r="E63" s="3970">
        <f t="shared" si="4"/>
        <v>715</v>
      </c>
      <c r="F63" s="3970">
        <f t="shared" si="4"/>
        <v>3</v>
      </c>
      <c r="G63" s="3970">
        <f t="shared" si="4"/>
        <v>1215</v>
      </c>
      <c r="H63" s="3970">
        <f t="shared" si="4"/>
        <v>10</v>
      </c>
      <c r="I63" s="3970">
        <f t="shared" si="4"/>
        <v>416</v>
      </c>
      <c r="J63" s="3970">
        <f t="shared" si="4"/>
        <v>2</v>
      </c>
      <c r="K63" s="3970">
        <f t="shared" si="4"/>
        <v>393</v>
      </c>
      <c r="L63" s="3970">
        <f t="shared" si="4"/>
        <v>3</v>
      </c>
      <c r="M63" s="3970">
        <f t="shared" si="4"/>
        <v>201</v>
      </c>
      <c r="N63" s="3970">
        <f t="shared" si="4"/>
        <v>2</v>
      </c>
      <c r="O63" s="3970">
        <f t="shared" si="4"/>
        <v>135</v>
      </c>
      <c r="P63" s="3970">
        <f t="shared" si="4"/>
        <v>0</v>
      </c>
      <c r="Q63" s="3970">
        <f t="shared" si="4"/>
        <v>90</v>
      </c>
      <c r="R63" s="3970">
        <f t="shared" si="4"/>
        <v>0</v>
      </c>
      <c r="S63" s="3970">
        <f>SUM(S56:S60)</f>
        <v>0</v>
      </c>
      <c r="T63" s="3970">
        <f t="shared" si="4"/>
        <v>2</v>
      </c>
      <c r="U63" s="3970">
        <f t="shared" si="4"/>
        <v>451</v>
      </c>
      <c r="V63" s="3970">
        <f t="shared" si="4"/>
        <v>3</v>
      </c>
      <c r="W63" s="3970">
        <f t="shared" si="4"/>
        <v>300</v>
      </c>
      <c r="X63" s="3970">
        <f t="shared" si="4"/>
        <v>4</v>
      </c>
      <c r="Y63" s="3970">
        <f t="shared" si="4"/>
        <v>561</v>
      </c>
      <c r="Z63" s="3970">
        <f t="shared" si="4"/>
        <v>7</v>
      </c>
      <c r="AA63" s="3970">
        <f t="shared" si="4"/>
        <v>5397</v>
      </c>
      <c r="AB63" s="3970">
        <f t="shared" si="4"/>
        <v>43</v>
      </c>
      <c r="AC63" s="3970">
        <f>AB63/AA63*100</f>
        <v>0.79673892903464882</v>
      </c>
      <c r="AD63" s="3963"/>
      <c r="AE63" s="3963"/>
    </row>
    <row r="64" spans="1:32" ht="14.25" x14ac:dyDescent="0.2">
      <c r="A64" s="943"/>
      <c r="B64" s="3967"/>
      <c r="C64" s="3970"/>
      <c r="D64" s="3970"/>
      <c r="E64" s="3970"/>
      <c r="F64" s="3970"/>
      <c r="G64" s="3970"/>
      <c r="H64" s="3970"/>
      <c r="I64" s="3970"/>
      <c r="J64" s="3970"/>
      <c r="K64" s="3970"/>
      <c r="L64" s="3970"/>
      <c r="M64" s="3970"/>
      <c r="N64" s="3970"/>
      <c r="O64" s="3970"/>
      <c r="P64" s="3970"/>
      <c r="Q64" s="3970"/>
      <c r="R64" s="3970"/>
      <c r="S64" s="3970"/>
      <c r="T64" s="3970"/>
      <c r="U64" s="3970"/>
      <c r="V64" s="3970"/>
      <c r="W64" s="3970"/>
      <c r="X64" s="3970"/>
      <c r="Y64" s="3970"/>
      <c r="Z64" s="3970"/>
      <c r="AA64" s="3970"/>
      <c r="AB64" s="3970"/>
      <c r="AC64" s="3970"/>
      <c r="AD64" s="3963"/>
      <c r="AE64" s="3963"/>
    </row>
    <row r="65" spans="1:32" x14ac:dyDescent="0.2">
      <c r="B65" s="3962"/>
      <c r="C65" s="3962"/>
      <c r="D65" s="3963"/>
      <c r="E65" s="3963"/>
      <c r="F65" s="3963"/>
      <c r="G65" s="3963"/>
      <c r="H65" s="3963"/>
      <c r="I65" s="3963"/>
      <c r="J65" s="3963"/>
      <c r="K65" s="3963"/>
      <c r="L65" s="3963"/>
      <c r="M65" s="3963"/>
      <c r="N65" s="3963"/>
      <c r="O65" s="3963"/>
      <c r="P65" s="3963"/>
      <c r="Q65" s="3963"/>
      <c r="R65" s="3963"/>
      <c r="S65" s="3963"/>
      <c r="T65" s="3963"/>
      <c r="U65" s="3963"/>
      <c r="V65" s="3963"/>
      <c r="W65" s="3963"/>
      <c r="X65" s="3963"/>
      <c r="Y65" s="3963"/>
      <c r="Z65" s="3963"/>
      <c r="AA65" s="3963"/>
      <c r="AB65" s="3963"/>
      <c r="AC65" s="3963"/>
      <c r="AD65" s="3963"/>
      <c r="AE65" s="3963"/>
    </row>
    <row r="66" spans="1:32" x14ac:dyDescent="0.25">
      <c r="A66" s="943"/>
      <c r="B66" s="3977" t="s">
        <v>1003</v>
      </c>
      <c r="C66" s="3977"/>
      <c r="D66" s="3977"/>
      <c r="E66" s="3977"/>
      <c r="F66" s="3978"/>
      <c r="G66" s="3978"/>
      <c r="H66" s="3978"/>
      <c r="I66" s="3978"/>
      <c r="J66" s="3978"/>
      <c r="K66" s="3978"/>
      <c r="L66" s="3978"/>
      <c r="M66" s="3978"/>
      <c r="N66" s="3978"/>
      <c r="O66" s="3978"/>
      <c r="P66" s="3978"/>
      <c r="Q66" s="3978"/>
      <c r="R66" s="3978"/>
      <c r="S66" s="3978"/>
      <c r="T66" s="3978"/>
      <c r="U66" s="3978"/>
      <c r="V66" s="3978"/>
      <c r="W66" s="3978"/>
      <c r="X66" s="3978"/>
      <c r="Y66" s="3978"/>
      <c r="Z66" s="3978"/>
      <c r="AA66" s="3978"/>
      <c r="AB66" s="3978"/>
      <c r="AC66" s="3978"/>
      <c r="AD66" s="3978"/>
      <c r="AE66" s="3978"/>
      <c r="AF66" s="2346"/>
    </row>
    <row r="67" spans="1:32" ht="14.25" x14ac:dyDescent="0.2">
      <c r="A67" s="943"/>
      <c r="B67" s="3971" t="s">
        <v>983</v>
      </c>
      <c r="C67" s="3979" t="s">
        <v>984</v>
      </c>
      <c r="D67" s="3980"/>
      <c r="E67" s="3979" t="s">
        <v>985</v>
      </c>
      <c r="F67" s="3980"/>
      <c r="G67" s="3979" t="s">
        <v>986</v>
      </c>
      <c r="H67" s="3980"/>
      <c r="I67" s="3979" t="s">
        <v>987</v>
      </c>
      <c r="J67" s="3980"/>
      <c r="K67" s="3979" t="s">
        <v>988</v>
      </c>
      <c r="L67" s="3980"/>
      <c r="M67" s="3979" t="s">
        <v>989</v>
      </c>
      <c r="N67" s="3980"/>
      <c r="O67" s="3979" t="s">
        <v>990</v>
      </c>
      <c r="P67" s="3980"/>
      <c r="Q67" s="4263" t="s">
        <v>991</v>
      </c>
      <c r="R67" s="4264"/>
      <c r="S67" s="4263" t="s">
        <v>992</v>
      </c>
      <c r="T67" s="4264"/>
      <c r="U67" s="4263" t="s">
        <v>993</v>
      </c>
      <c r="V67" s="4264"/>
      <c r="W67" s="4263" t="s">
        <v>994</v>
      </c>
      <c r="X67" s="4264"/>
      <c r="Y67" s="4263" t="s">
        <v>995</v>
      </c>
      <c r="Z67" s="4264"/>
      <c r="AA67" s="3981" t="s">
        <v>257</v>
      </c>
      <c r="AB67" s="3971" t="s">
        <v>257</v>
      </c>
      <c r="AC67" s="3971" t="s">
        <v>996</v>
      </c>
      <c r="AD67" s="3963"/>
      <c r="AE67" s="3963"/>
    </row>
    <row r="68" spans="1:32" ht="14.25" x14ac:dyDescent="0.2">
      <c r="A68" s="943"/>
      <c r="B68" s="3971" t="s">
        <v>997</v>
      </c>
      <c r="C68" s="3971" t="s">
        <v>257</v>
      </c>
      <c r="D68" s="3982" t="s">
        <v>977</v>
      </c>
      <c r="E68" s="3983" t="s">
        <v>257</v>
      </c>
      <c r="F68" s="3984" t="s">
        <v>977</v>
      </c>
      <c r="G68" s="3971" t="s">
        <v>257</v>
      </c>
      <c r="H68" s="3982" t="s">
        <v>977</v>
      </c>
      <c r="I68" s="3971" t="s">
        <v>257</v>
      </c>
      <c r="J68" s="3982" t="s">
        <v>977</v>
      </c>
      <c r="K68" s="3971" t="s">
        <v>257</v>
      </c>
      <c r="L68" s="3982" t="s">
        <v>977</v>
      </c>
      <c r="M68" s="3971" t="s">
        <v>257</v>
      </c>
      <c r="N68" s="3982" t="s">
        <v>977</v>
      </c>
      <c r="O68" s="3971" t="s">
        <v>257</v>
      </c>
      <c r="P68" s="3982" t="s">
        <v>977</v>
      </c>
      <c r="Q68" s="3971" t="s">
        <v>257</v>
      </c>
      <c r="R68" s="3982" t="s">
        <v>977</v>
      </c>
      <c r="S68" s="3971" t="s">
        <v>257</v>
      </c>
      <c r="T68" s="3982" t="s">
        <v>977</v>
      </c>
      <c r="U68" s="3971" t="s">
        <v>257</v>
      </c>
      <c r="V68" s="3982" t="s">
        <v>977</v>
      </c>
      <c r="W68" s="3971" t="s">
        <v>257</v>
      </c>
      <c r="X68" s="3982" t="s">
        <v>977</v>
      </c>
      <c r="Y68" s="3971" t="s">
        <v>257</v>
      </c>
      <c r="Z68" s="3982" t="s">
        <v>977</v>
      </c>
      <c r="AA68" s="3981" t="s">
        <v>999</v>
      </c>
      <c r="AB68" s="3971" t="s">
        <v>1000</v>
      </c>
      <c r="AC68" s="3971"/>
      <c r="AD68" s="3963"/>
      <c r="AE68" s="3963"/>
    </row>
    <row r="69" spans="1:32" ht="14.25" x14ac:dyDescent="0.2">
      <c r="A69" s="943"/>
      <c r="B69" s="3971" t="s">
        <v>23</v>
      </c>
      <c r="C69" s="3970">
        <v>677</v>
      </c>
      <c r="D69" s="3970">
        <v>4</v>
      </c>
      <c r="E69" s="3970">
        <v>381</v>
      </c>
      <c r="F69" s="3970">
        <v>2</v>
      </c>
      <c r="G69" s="3970">
        <v>312</v>
      </c>
      <c r="H69" s="3970">
        <v>3</v>
      </c>
      <c r="I69" s="3970">
        <v>650</v>
      </c>
      <c r="J69" s="3970">
        <v>3</v>
      </c>
      <c r="K69" s="3970">
        <v>182</v>
      </c>
      <c r="L69" s="3970">
        <v>3</v>
      </c>
      <c r="M69" s="3970">
        <v>65</v>
      </c>
      <c r="N69" s="3970">
        <v>0</v>
      </c>
      <c r="O69" s="3970">
        <v>33</v>
      </c>
      <c r="P69" s="3970">
        <v>1</v>
      </c>
      <c r="Q69" s="3970">
        <v>11</v>
      </c>
      <c r="R69" s="3970">
        <v>0</v>
      </c>
      <c r="S69" s="3970">
        <v>162</v>
      </c>
      <c r="T69" s="3970">
        <v>2</v>
      </c>
      <c r="U69" s="3970">
        <v>722</v>
      </c>
      <c r="V69" s="3970">
        <v>9</v>
      </c>
      <c r="W69" s="3970">
        <v>217</v>
      </c>
      <c r="X69" s="3970">
        <v>2</v>
      </c>
      <c r="Y69" s="3970">
        <v>803</v>
      </c>
      <c r="Z69" s="3970">
        <v>11</v>
      </c>
      <c r="AA69" s="3970">
        <v>4215</v>
      </c>
      <c r="AB69" s="3970">
        <v>40</v>
      </c>
      <c r="AC69" s="3970">
        <v>0.94899169632265723</v>
      </c>
      <c r="AD69" s="3963"/>
      <c r="AE69" s="3963"/>
    </row>
    <row r="70" spans="1:32" ht="14.25" x14ac:dyDescent="0.2">
      <c r="A70" s="943"/>
      <c r="B70" s="3971" t="s">
        <v>24</v>
      </c>
      <c r="C70" s="3970">
        <v>460</v>
      </c>
      <c r="D70" s="3970">
        <v>13</v>
      </c>
      <c r="E70" s="3970">
        <v>156</v>
      </c>
      <c r="F70" s="3970">
        <v>0</v>
      </c>
      <c r="G70" s="3970">
        <v>176</v>
      </c>
      <c r="H70" s="3970">
        <v>1</v>
      </c>
      <c r="I70" s="3970">
        <v>275</v>
      </c>
      <c r="J70" s="3970">
        <v>1</v>
      </c>
      <c r="K70" s="3970">
        <v>150</v>
      </c>
      <c r="L70" s="3970">
        <v>2</v>
      </c>
      <c r="M70" s="3970">
        <v>124</v>
      </c>
      <c r="N70" s="3970">
        <v>1</v>
      </c>
      <c r="O70" s="3970">
        <v>99</v>
      </c>
      <c r="P70" s="3970">
        <v>1</v>
      </c>
      <c r="Q70" s="3970">
        <v>51</v>
      </c>
      <c r="R70" s="3970">
        <v>1</v>
      </c>
      <c r="S70" s="3970">
        <v>83</v>
      </c>
      <c r="T70" s="3970">
        <v>0</v>
      </c>
      <c r="U70" s="3970">
        <v>325</v>
      </c>
      <c r="V70" s="3970">
        <v>3</v>
      </c>
      <c r="W70" s="3970">
        <v>137</v>
      </c>
      <c r="X70" s="3970">
        <v>1</v>
      </c>
      <c r="Y70" s="3970">
        <v>159</v>
      </c>
      <c r="Z70" s="3970">
        <v>2</v>
      </c>
      <c r="AA70" s="3970">
        <v>2195</v>
      </c>
      <c r="AB70" s="3970">
        <v>26</v>
      </c>
      <c r="AC70" s="3970">
        <v>1.184510250569476</v>
      </c>
      <c r="AD70" s="3963"/>
      <c r="AE70" s="3963"/>
    </row>
    <row r="71" spans="1:32" ht="14.25" x14ac:dyDescent="0.2">
      <c r="A71" s="943"/>
      <c r="B71" s="3971" t="s">
        <v>22</v>
      </c>
      <c r="C71" s="3970">
        <v>56</v>
      </c>
      <c r="D71" s="3970">
        <v>0</v>
      </c>
      <c r="E71" s="3970">
        <v>36</v>
      </c>
      <c r="F71" s="3970">
        <v>0</v>
      </c>
      <c r="G71" s="3970">
        <v>16</v>
      </c>
      <c r="H71" s="3970">
        <v>0</v>
      </c>
      <c r="I71" s="3970">
        <v>60</v>
      </c>
      <c r="J71" s="3970">
        <v>0</v>
      </c>
      <c r="K71" s="3970">
        <v>46</v>
      </c>
      <c r="L71" s="3970">
        <v>0</v>
      </c>
      <c r="M71" s="3970">
        <v>30</v>
      </c>
      <c r="N71" s="3970">
        <v>1</v>
      </c>
      <c r="O71" s="3970">
        <v>21</v>
      </c>
      <c r="P71" s="3970">
        <v>0</v>
      </c>
      <c r="Q71" s="3970">
        <v>10</v>
      </c>
      <c r="R71" s="3970">
        <v>0</v>
      </c>
      <c r="S71" s="3970">
        <v>13</v>
      </c>
      <c r="T71" s="3970">
        <v>0</v>
      </c>
      <c r="U71" s="3970">
        <v>31</v>
      </c>
      <c r="V71" s="3970">
        <v>1</v>
      </c>
      <c r="W71" s="3970">
        <v>32</v>
      </c>
      <c r="X71" s="3970">
        <v>3</v>
      </c>
      <c r="Y71" s="3970">
        <v>29</v>
      </c>
      <c r="Z71" s="3970">
        <v>0</v>
      </c>
      <c r="AA71" s="3970">
        <v>380</v>
      </c>
      <c r="AB71" s="3970">
        <v>5</v>
      </c>
      <c r="AC71" s="3970">
        <v>1.3157894736842104</v>
      </c>
      <c r="AD71" s="3963"/>
      <c r="AE71" s="3963"/>
    </row>
    <row r="72" spans="1:32" ht="14.25" x14ac:dyDescent="0.2">
      <c r="A72" s="943"/>
      <c r="B72" s="3971" t="s">
        <v>25</v>
      </c>
      <c r="C72" s="3970">
        <v>36</v>
      </c>
      <c r="D72" s="3970">
        <v>3</v>
      </c>
      <c r="E72" s="3970">
        <v>14</v>
      </c>
      <c r="F72" s="3970">
        <v>0</v>
      </c>
      <c r="G72" s="3970">
        <v>10</v>
      </c>
      <c r="H72" s="3970">
        <v>0</v>
      </c>
      <c r="I72" s="3970">
        <v>27</v>
      </c>
      <c r="J72" s="3970">
        <v>1</v>
      </c>
      <c r="K72" s="3970">
        <v>25</v>
      </c>
      <c r="L72" s="3970">
        <v>0</v>
      </c>
      <c r="M72" s="3970">
        <v>28</v>
      </c>
      <c r="N72" s="3970">
        <v>0</v>
      </c>
      <c r="O72" s="3970">
        <v>14</v>
      </c>
      <c r="P72" s="3970">
        <v>0</v>
      </c>
      <c r="Q72" s="3970">
        <v>6</v>
      </c>
      <c r="R72" s="3970">
        <v>0</v>
      </c>
      <c r="S72" s="3970">
        <v>9</v>
      </c>
      <c r="T72" s="3970">
        <v>0</v>
      </c>
      <c r="U72" s="3970">
        <v>6</v>
      </c>
      <c r="V72" s="3970">
        <v>0</v>
      </c>
      <c r="W72" s="3970">
        <v>8</v>
      </c>
      <c r="X72" s="3970">
        <v>0</v>
      </c>
      <c r="Y72" s="3970">
        <v>3</v>
      </c>
      <c r="Z72" s="3970">
        <v>0</v>
      </c>
      <c r="AA72" s="3970">
        <v>186</v>
      </c>
      <c r="AB72" s="3970">
        <v>4</v>
      </c>
      <c r="AC72" s="3970">
        <v>2.1505376344086025</v>
      </c>
      <c r="AD72" s="3963"/>
      <c r="AE72" s="3963"/>
    </row>
    <row r="73" spans="1:32" ht="14.25" x14ac:dyDescent="0.2">
      <c r="A73" s="943"/>
      <c r="B73" s="3971" t="s">
        <v>21</v>
      </c>
      <c r="C73" s="3970">
        <v>174</v>
      </c>
      <c r="D73" s="3970">
        <v>2</v>
      </c>
      <c r="E73" s="3970">
        <v>80</v>
      </c>
      <c r="F73" s="3970">
        <v>2</v>
      </c>
      <c r="G73" s="3970">
        <v>53</v>
      </c>
      <c r="H73" s="3970">
        <v>0</v>
      </c>
      <c r="I73" s="3970">
        <v>121</v>
      </c>
      <c r="J73" s="3970">
        <v>2</v>
      </c>
      <c r="K73" s="3970">
        <v>181</v>
      </c>
      <c r="L73" s="3970">
        <v>1</v>
      </c>
      <c r="M73" s="3970">
        <v>109</v>
      </c>
      <c r="N73" s="3970">
        <v>0</v>
      </c>
      <c r="O73" s="3985">
        <v>62</v>
      </c>
      <c r="P73" s="3970">
        <v>0</v>
      </c>
      <c r="Q73" s="3970">
        <v>36</v>
      </c>
      <c r="R73" s="3970">
        <v>1</v>
      </c>
      <c r="S73" s="3970">
        <v>33</v>
      </c>
      <c r="T73" s="3970">
        <v>1</v>
      </c>
      <c r="U73" s="3970">
        <v>42</v>
      </c>
      <c r="V73" s="3970">
        <v>0</v>
      </c>
      <c r="W73" s="3970">
        <v>38</v>
      </c>
      <c r="X73" s="3970">
        <v>0</v>
      </c>
      <c r="Y73" s="3970">
        <v>31</v>
      </c>
      <c r="Z73" s="3970">
        <v>2</v>
      </c>
      <c r="AA73" s="3970">
        <v>960</v>
      </c>
      <c r="AB73" s="3970">
        <v>11</v>
      </c>
      <c r="AC73" s="3970">
        <v>1.1458333333333333</v>
      </c>
      <c r="AD73" s="3963"/>
      <c r="AE73" s="3963"/>
    </row>
    <row r="74" spans="1:32" ht="14.25" x14ac:dyDescent="0.2">
      <c r="A74" s="943"/>
      <c r="B74" s="3971" t="s">
        <v>26</v>
      </c>
      <c r="C74" s="3970"/>
      <c r="D74" s="3970"/>
      <c r="E74" s="3970"/>
      <c r="F74" s="3970"/>
      <c r="G74" s="3970">
        <v>1</v>
      </c>
      <c r="H74" s="3970">
        <v>0</v>
      </c>
      <c r="I74" s="3970">
        <v>2</v>
      </c>
      <c r="J74" s="3970">
        <v>0</v>
      </c>
      <c r="K74" s="3970">
        <v>2</v>
      </c>
      <c r="L74" s="3970">
        <v>0</v>
      </c>
      <c r="M74" s="3970">
        <v>0</v>
      </c>
      <c r="N74" s="3970">
        <v>0</v>
      </c>
      <c r="O74" s="3970">
        <v>1</v>
      </c>
      <c r="P74" s="3970">
        <v>0</v>
      </c>
      <c r="Q74" s="3970">
        <v>2</v>
      </c>
      <c r="R74" s="3970">
        <v>0</v>
      </c>
      <c r="S74" s="3970">
        <v>2</v>
      </c>
      <c r="T74" s="3970">
        <v>1</v>
      </c>
      <c r="U74" s="3970">
        <v>0</v>
      </c>
      <c r="V74" s="3970">
        <v>0</v>
      </c>
      <c r="W74" s="3970">
        <v>1</v>
      </c>
      <c r="X74" s="3970">
        <v>0</v>
      </c>
      <c r="Y74" s="3970">
        <v>1</v>
      </c>
      <c r="Z74" s="3970">
        <v>0</v>
      </c>
      <c r="AA74" s="3970">
        <v>12</v>
      </c>
      <c r="AB74" s="3970">
        <v>1</v>
      </c>
      <c r="AC74" s="3970">
        <v>8.3333333333333321</v>
      </c>
      <c r="AD74" s="3963"/>
      <c r="AE74" s="3963"/>
    </row>
    <row r="75" spans="1:32" ht="14.25" x14ac:dyDescent="0.2">
      <c r="A75" s="943"/>
      <c r="B75" s="3971" t="s">
        <v>19</v>
      </c>
      <c r="C75" s="3970">
        <v>1</v>
      </c>
      <c r="D75" s="3970">
        <v>0</v>
      </c>
      <c r="E75" s="3970"/>
      <c r="F75" s="3970"/>
      <c r="G75" s="3970"/>
      <c r="H75" s="3970"/>
      <c r="I75" s="3970"/>
      <c r="J75" s="3970"/>
      <c r="K75" s="3970">
        <v>1</v>
      </c>
      <c r="L75" s="3970">
        <v>0</v>
      </c>
      <c r="M75" s="3970">
        <v>3</v>
      </c>
      <c r="N75" s="3970">
        <v>0</v>
      </c>
      <c r="O75" s="3970">
        <v>4</v>
      </c>
      <c r="P75" s="3970">
        <v>0</v>
      </c>
      <c r="Q75" s="3970"/>
      <c r="R75" s="3970"/>
      <c r="S75" s="3970"/>
      <c r="T75" s="3970"/>
      <c r="U75" s="3970"/>
      <c r="V75" s="3970"/>
      <c r="W75" s="3970"/>
      <c r="X75" s="3970"/>
      <c r="Y75" s="3970"/>
      <c r="Z75" s="3970"/>
      <c r="AA75" s="3970">
        <v>9</v>
      </c>
      <c r="AB75" s="3970">
        <v>0</v>
      </c>
      <c r="AC75" s="3970">
        <v>0</v>
      </c>
      <c r="AD75" s="3963"/>
      <c r="AE75" s="3963"/>
    </row>
    <row r="76" spans="1:32" ht="14.25" x14ac:dyDescent="0.2">
      <c r="A76" s="943"/>
      <c r="B76" s="3971" t="s">
        <v>27</v>
      </c>
      <c r="C76" s="3970">
        <v>16</v>
      </c>
      <c r="D76" s="3970">
        <v>0</v>
      </c>
      <c r="E76" s="3970">
        <v>6</v>
      </c>
      <c r="F76" s="3970">
        <v>0</v>
      </c>
      <c r="G76" s="3970">
        <v>14</v>
      </c>
      <c r="H76" s="3970">
        <v>0</v>
      </c>
      <c r="I76" s="3970">
        <v>5</v>
      </c>
      <c r="J76" s="3970">
        <v>0</v>
      </c>
      <c r="K76" s="3970">
        <v>11</v>
      </c>
      <c r="L76" s="3970">
        <v>0</v>
      </c>
      <c r="M76" s="3970">
        <v>2</v>
      </c>
      <c r="N76" s="3970">
        <v>0</v>
      </c>
      <c r="O76" s="3970">
        <v>4</v>
      </c>
      <c r="P76" s="3970">
        <v>0</v>
      </c>
      <c r="Q76" s="3970">
        <v>2</v>
      </c>
      <c r="R76" s="3970">
        <v>0</v>
      </c>
      <c r="S76" s="3970">
        <v>6</v>
      </c>
      <c r="T76" s="3970">
        <v>0</v>
      </c>
      <c r="U76" s="3970">
        <v>3</v>
      </c>
      <c r="V76" s="3970">
        <v>0</v>
      </c>
      <c r="W76" s="3970">
        <v>1</v>
      </c>
      <c r="X76" s="3970">
        <v>0</v>
      </c>
      <c r="Y76" s="3970">
        <v>5</v>
      </c>
      <c r="Z76" s="3970">
        <v>0</v>
      </c>
      <c r="AA76" s="3970">
        <v>75</v>
      </c>
      <c r="AB76" s="3970">
        <v>0</v>
      </c>
      <c r="AC76" s="3970">
        <v>0</v>
      </c>
      <c r="AD76" s="3963"/>
      <c r="AE76" s="3963"/>
    </row>
    <row r="77" spans="1:32" ht="14.25" x14ac:dyDescent="0.2">
      <c r="A77" s="943"/>
      <c r="B77" s="3971" t="s">
        <v>20</v>
      </c>
      <c r="C77" s="3970">
        <v>3</v>
      </c>
      <c r="D77" s="3970">
        <v>0</v>
      </c>
      <c r="E77" s="3970">
        <v>1</v>
      </c>
      <c r="F77" s="3970">
        <v>0</v>
      </c>
      <c r="G77" s="3970">
        <v>3</v>
      </c>
      <c r="H77" s="3970">
        <v>0</v>
      </c>
      <c r="I77" s="3970">
        <v>6</v>
      </c>
      <c r="J77" s="3970">
        <v>0</v>
      </c>
      <c r="K77" s="3970">
        <v>3</v>
      </c>
      <c r="L77" s="3970">
        <v>0</v>
      </c>
      <c r="M77" s="3970">
        <v>2</v>
      </c>
      <c r="N77" s="3970">
        <v>0</v>
      </c>
      <c r="O77" s="3970">
        <v>2</v>
      </c>
      <c r="P77" s="3970">
        <v>0</v>
      </c>
      <c r="Q77" s="3970">
        <v>1</v>
      </c>
      <c r="R77" s="3970">
        <v>0</v>
      </c>
      <c r="S77" s="3970">
        <v>3</v>
      </c>
      <c r="T77" s="3970">
        <v>0</v>
      </c>
      <c r="U77" s="3970">
        <v>2</v>
      </c>
      <c r="V77" s="3970">
        <v>0</v>
      </c>
      <c r="W77" s="3970">
        <v>6</v>
      </c>
      <c r="X77" s="3970">
        <v>0</v>
      </c>
      <c r="Y77" s="3970">
        <v>2</v>
      </c>
      <c r="Z77" s="3970">
        <v>0</v>
      </c>
      <c r="AA77" s="3970">
        <v>34</v>
      </c>
      <c r="AB77" s="3970">
        <v>0</v>
      </c>
      <c r="AC77" s="3970">
        <v>0</v>
      </c>
      <c r="AD77" s="3963"/>
      <c r="AE77" s="3963"/>
    </row>
    <row r="78" spans="1:32" ht="14.25" x14ac:dyDescent="0.2">
      <c r="A78" s="943"/>
      <c r="B78" s="3971" t="s">
        <v>257</v>
      </c>
      <c r="C78" s="3970">
        <v>1423</v>
      </c>
      <c r="D78" s="3970">
        <v>22</v>
      </c>
      <c r="E78" s="3970">
        <v>674</v>
      </c>
      <c r="F78" s="3970">
        <v>4</v>
      </c>
      <c r="G78" s="3970">
        <v>585</v>
      </c>
      <c r="H78" s="3970">
        <v>4</v>
      </c>
      <c r="I78" s="3970">
        <v>1146</v>
      </c>
      <c r="J78" s="3970">
        <v>7</v>
      </c>
      <c r="K78" s="3970">
        <v>601</v>
      </c>
      <c r="L78" s="3970">
        <v>6</v>
      </c>
      <c r="M78" s="3970">
        <v>363</v>
      </c>
      <c r="N78" s="3970">
        <v>2</v>
      </c>
      <c r="O78" s="3970">
        <v>240</v>
      </c>
      <c r="P78" s="3970">
        <v>2</v>
      </c>
      <c r="Q78" s="3970">
        <v>119</v>
      </c>
      <c r="R78" s="3970">
        <v>2</v>
      </c>
      <c r="S78" s="3970">
        <v>311</v>
      </c>
      <c r="T78" s="3970">
        <v>4</v>
      </c>
      <c r="U78" s="3970">
        <v>1131</v>
      </c>
      <c r="V78" s="3970">
        <v>13</v>
      </c>
      <c r="W78" s="3970">
        <v>440</v>
      </c>
      <c r="X78" s="3970">
        <v>6</v>
      </c>
      <c r="Y78" s="3970">
        <v>1033</v>
      </c>
      <c r="Z78" s="3970">
        <v>15</v>
      </c>
      <c r="AA78" s="3970">
        <v>8066</v>
      </c>
      <c r="AB78" s="3970">
        <v>87</v>
      </c>
      <c r="AC78" s="3970">
        <v>1.0786015373171338</v>
      </c>
      <c r="AD78" s="3963"/>
      <c r="AE78" s="3963"/>
    </row>
    <row r="79" spans="1:32" ht="14.25" x14ac:dyDescent="0.2">
      <c r="A79" s="943"/>
      <c r="B79" s="3971" t="s">
        <v>257</v>
      </c>
      <c r="C79" s="3970">
        <v>1423</v>
      </c>
      <c r="D79" s="3970">
        <v>22</v>
      </c>
      <c r="E79" s="3970">
        <v>674</v>
      </c>
      <c r="F79" s="3970">
        <v>4</v>
      </c>
      <c r="G79" s="3970">
        <v>585</v>
      </c>
      <c r="H79" s="3970">
        <v>4</v>
      </c>
      <c r="I79" s="3970">
        <v>1146</v>
      </c>
      <c r="J79" s="3970">
        <v>7</v>
      </c>
      <c r="K79" s="3970">
        <v>601</v>
      </c>
      <c r="L79" s="3970">
        <v>6</v>
      </c>
      <c r="M79" s="3970">
        <v>363</v>
      </c>
      <c r="N79" s="3970">
        <v>2</v>
      </c>
      <c r="O79" s="3970">
        <v>240</v>
      </c>
      <c r="P79" s="3970">
        <v>2</v>
      </c>
      <c r="Q79" s="3970">
        <v>119</v>
      </c>
      <c r="R79" s="3970"/>
      <c r="S79" s="3970">
        <v>2</v>
      </c>
      <c r="T79" s="3970">
        <v>4</v>
      </c>
      <c r="U79" s="3970">
        <v>1131</v>
      </c>
      <c r="V79" s="3970">
        <v>13</v>
      </c>
      <c r="W79" s="3970">
        <v>440</v>
      </c>
      <c r="X79" s="3970">
        <v>6</v>
      </c>
      <c r="Y79" s="3970">
        <v>1033</v>
      </c>
      <c r="Z79" s="3970">
        <v>15</v>
      </c>
      <c r="AA79" s="3970">
        <v>8066</v>
      </c>
      <c r="AB79" s="3970">
        <v>87</v>
      </c>
      <c r="AC79" s="3970">
        <v>1.0786015373171338</v>
      </c>
      <c r="AD79" s="3963">
        <f>+AB79/AA79*100</f>
        <v>1.0786015373171338</v>
      </c>
      <c r="AE79" s="3963"/>
    </row>
    <row r="80" spans="1:32" x14ac:dyDescent="0.2">
      <c r="B80" s="3962"/>
      <c r="C80" s="3962"/>
      <c r="D80" s="3963"/>
      <c r="E80" s="3963"/>
      <c r="F80" s="3963"/>
      <c r="G80" s="3963"/>
      <c r="H80" s="3963"/>
      <c r="I80" s="3963"/>
      <c r="J80" s="3963"/>
      <c r="K80" s="3963"/>
      <c r="L80" s="3963"/>
      <c r="M80" s="3963"/>
      <c r="N80" s="3963"/>
      <c r="O80" s="3963"/>
      <c r="P80" s="3963"/>
      <c r="Q80" s="3963"/>
      <c r="R80" s="3963"/>
      <c r="S80" s="3963"/>
      <c r="T80" s="3963"/>
      <c r="U80" s="3963"/>
      <c r="V80" s="3963"/>
      <c r="W80" s="3963"/>
      <c r="X80" s="3963"/>
      <c r="Y80" s="3963"/>
      <c r="Z80" s="3963"/>
      <c r="AA80" s="3963"/>
      <c r="AB80" s="3963"/>
      <c r="AC80" s="3963"/>
      <c r="AD80" s="3963"/>
      <c r="AE80" s="3963"/>
    </row>
    <row r="81" spans="1:32" x14ac:dyDescent="0.25">
      <c r="A81" s="943"/>
      <c r="B81" s="3977" t="s">
        <v>1004</v>
      </c>
      <c r="C81" s="3977"/>
      <c r="D81" s="3977"/>
      <c r="E81" s="3977"/>
      <c r="F81" s="3978"/>
      <c r="G81" s="3978"/>
      <c r="H81" s="3978"/>
      <c r="I81" s="3978"/>
      <c r="J81" s="3978"/>
      <c r="K81" s="3978"/>
      <c r="L81" s="3978"/>
      <c r="M81" s="3978"/>
      <c r="N81" s="3978"/>
      <c r="O81" s="3978"/>
      <c r="P81" s="3978"/>
      <c r="Q81" s="3978"/>
      <c r="R81" s="3978"/>
      <c r="S81" s="3978"/>
      <c r="T81" s="3978"/>
      <c r="U81" s="3978"/>
      <c r="V81" s="3978"/>
      <c r="W81" s="3978"/>
      <c r="X81" s="3978"/>
      <c r="Y81" s="3978"/>
      <c r="Z81" s="3978"/>
      <c r="AA81" s="3978"/>
      <c r="AB81" s="3978"/>
      <c r="AC81" s="3978"/>
      <c r="AD81" s="3978"/>
      <c r="AE81" s="3978"/>
      <c r="AF81" s="2346"/>
    </row>
    <row r="82" spans="1:32" ht="14.25" x14ac:dyDescent="0.2">
      <c r="A82" s="943"/>
      <c r="B82" s="3971" t="s">
        <v>983</v>
      </c>
      <c r="C82" s="3979" t="s">
        <v>984</v>
      </c>
      <c r="D82" s="3980"/>
      <c r="E82" s="3979" t="s">
        <v>985</v>
      </c>
      <c r="F82" s="3980"/>
      <c r="G82" s="3979" t="s">
        <v>986</v>
      </c>
      <c r="H82" s="3980"/>
      <c r="I82" s="3979" t="s">
        <v>987</v>
      </c>
      <c r="J82" s="3980"/>
      <c r="K82" s="3979" t="s">
        <v>988</v>
      </c>
      <c r="L82" s="3980"/>
      <c r="M82" s="3979" t="s">
        <v>989</v>
      </c>
      <c r="N82" s="3980"/>
      <c r="O82" s="3979" t="s">
        <v>990</v>
      </c>
      <c r="P82" s="3980"/>
      <c r="Q82" s="3979" t="s">
        <v>991</v>
      </c>
      <c r="R82" s="3980"/>
      <c r="S82" s="3979" t="s">
        <v>992</v>
      </c>
      <c r="T82" s="3980"/>
      <c r="U82" s="3979" t="s">
        <v>993</v>
      </c>
      <c r="V82" s="3980"/>
      <c r="W82" s="3979" t="s">
        <v>994</v>
      </c>
      <c r="X82" s="3980"/>
      <c r="Y82" s="3979" t="s">
        <v>995</v>
      </c>
      <c r="Z82" s="3980"/>
      <c r="AA82" s="3981" t="s">
        <v>257</v>
      </c>
      <c r="AB82" s="3971" t="s">
        <v>257</v>
      </c>
      <c r="AC82" s="3971" t="s">
        <v>996</v>
      </c>
      <c r="AD82" s="3963"/>
      <c r="AE82" s="3963"/>
    </row>
    <row r="83" spans="1:32" ht="14.25" x14ac:dyDescent="0.2">
      <c r="A83" s="943"/>
      <c r="B83" s="3971" t="s">
        <v>997</v>
      </c>
      <c r="C83" s="3971" t="s">
        <v>257</v>
      </c>
      <c r="D83" s="3982" t="s">
        <v>977</v>
      </c>
      <c r="E83" s="3983" t="s">
        <v>257</v>
      </c>
      <c r="F83" s="3984" t="s">
        <v>977</v>
      </c>
      <c r="G83" s="3971" t="s">
        <v>257</v>
      </c>
      <c r="H83" s="3982" t="s">
        <v>977</v>
      </c>
      <c r="I83" s="3971" t="s">
        <v>257</v>
      </c>
      <c r="J83" s="3982" t="s">
        <v>977</v>
      </c>
      <c r="K83" s="3971" t="s">
        <v>257</v>
      </c>
      <c r="L83" s="3982" t="s">
        <v>977</v>
      </c>
      <c r="M83" s="3971" t="s">
        <v>257</v>
      </c>
      <c r="N83" s="3982" t="s">
        <v>977</v>
      </c>
      <c r="O83" s="3971" t="s">
        <v>257</v>
      </c>
      <c r="P83" s="3982" t="s">
        <v>977</v>
      </c>
      <c r="Q83" s="3971" t="s">
        <v>257</v>
      </c>
      <c r="R83" s="3982" t="s">
        <v>977</v>
      </c>
      <c r="S83" s="3971" t="s">
        <v>257</v>
      </c>
      <c r="T83" s="3982" t="s">
        <v>977</v>
      </c>
      <c r="U83" s="3971" t="s">
        <v>257</v>
      </c>
      <c r="V83" s="3982" t="s">
        <v>977</v>
      </c>
      <c r="W83" s="3971" t="s">
        <v>257</v>
      </c>
      <c r="X83" s="3982" t="s">
        <v>977</v>
      </c>
      <c r="Y83" s="3971" t="s">
        <v>257</v>
      </c>
      <c r="Z83" s="3982" t="s">
        <v>977</v>
      </c>
      <c r="AA83" s="3981" t="s">
        <v>999</v>
      </c>
      <c r="AB83" s="3971" t="s">
        <v>1000</v>
      </c>
      <c r="AC83" s="3971"/>
      <c r="AD83" s="3963"/>
      <c r="AE83" s="3963"/>
    </row>
    <row r="84" spans="1:32" ht="14.25" x14ac:dyDescent="0.2">
      <c r="A84" s="943"/>
      <c r="B84" s="3971" t="s">
        <v>23</v>
      </c>
      <c r="C84" s="3986">
        <v>872</v>
      </c>
      <c r="D84" s="3987">
        <v>12</v>
      </c>
      <c r="E84" s="3988">
        <v>338</v>
      </c>
      <c r="F84" s="3987">
        <v>6</v>
      </c>
      <c r="G84" s="3988">
        <v>482</v>
      </c>
      <c r="H84" s="3987">
        <v>0</v>
      </c>
      <c r="I84" s="3988">
        <v>847</v>
      </c>
      <c r="J84" s="3987">
        <v>8</v>
      </c>
      <c r="K84" s="3988">
        <v>182</v>
      </c>
      <c r="L84" s="3987">
        <v>0</v>
      </c>
      <c r="M84" s="3988">
        <v>82</v>
      </c>
      <c r="N84" s="3987">
        <v>1</v>
      </c>
      <c r="O84" s="3988">
        <v>31</v>
      </c>
      <c r="P84" s="3987">
        <v>0</v>
      </c>
      <c r="Q84" s="3988">
        <v>23</v>
      </c>
      <c r="R84" s="3987">
        <v>0</v>
      </c>
      <c r="S84" s="3988">
        <v>90</v>
      </c>
      <c r="T84" s="3987">
        <v>0</v>
      </c>
      <c r="U84" s="3988">
        <v>168</v>
      </c>
      <c r="V84" s="3987">
        <v>0</v>
      </c>
      <c r="W84" s="3988">
        <v>161</v>
      </c>
      <c r="X84" s="3987">
        <v>1</v>
      </c>
      <c r="Y84" s="3988">
        <v>175</v>
      </c>
      <c r="Z84" s="3987">
        <v>3</v>
      </c>
      <c r="AA84" s="3988">
        <v>3451</v>
      </c>
      <c r="AB84" s="3986">
        <v>31</v>
      </c>
      <c r="AC84" s="3986">
        <v>0.89829035062300788</v>
      </c>
      <c r="AD84" s="3963"/>
      <c r="AE84" s="3963"/>
    </row>
    <row r="85" spans="1:32" ht="14.25" x14ac:dyDescent="0.2">
      <c r="A85" s="943"/>
      <c r="B85" s="3971" t="s">
        <v>24</v>
      </c>
      <c r="C85" s="3986">
        <v>837</v>
      </c>
      <c r="D85" s="3987">
        <v>8</v>
      </c>
      <c r="E85" s="3988">
        <v>410</v>
      </c>
      <c r="F85" s="3987">
        <v>1</v>
      </c>
      <c r="G85" s="3988">
        <v>456</v>
      </c>
      <c r="H85" s="3987">
        <v>1</v>
      </c>
      <c r="I85" s="3988">
        <v>322</v>
      </c>
      <c r="J85" s="3987">
        <v>2</v>
      </c>
      <c r="K85" s="3988">
        <v>291</v>
      </c>
      <c r="L85" s="3987">
        <v>2</v>
      </c>
      <c r="M85" s="3988">
        <v>179</v>
      </c>
      <c r="N85" s="3987">
        <v>0</v>
      </c>
      <c r="O85" s="3988">
        <v>96</v>
      </c>
      <c r="P85" s="3987">
        <v>0</v>
      </c>
      <c r="Q85" s="3988">
        <v>77</v>
      </c>
      <c r="R85" s="3987">
        <v>0</v>
      </c>
      <c r="S85" s="3988">
        <v>88</v>
      </c>
      <c r="T85" s="3987">
        <v>0</v>
      </c>
      <c r="U85" s="3988">
        <v>192</v>
      </c>
      <c r="V85" s="3987">
        <v>1</v>
      </c>
      <c r="W85" s="3988">
        <v>156</v>
      </c>
      <c r="X85" s="3987">
        <v>1</v>
      </c>
      <c r="Y85" s="3988">
        <v>155</v>
      </c>
      <c r="Z85" s="3987">
        <v>0</v>
      </c>
      <c r="AA85" s="3988">
        <v>3259</v>
      </c>
      <c r="AB85" s="3986">
        <v>16</v>
      </c>
      <c r="AC85" s="3986">
        <v>0.49094814360233202</v>
      </c>
      <c r="AD85" s="3963"/>
      <c r="AE85" s="3963"/>
    </row>
    <row r="86" spans="1:32" ht="14.25" x14ac:dyDescent="0.2">
      <c r="A86" s="943"/>
      <c r="B86" s="3971" t="s">
        <v>22</v>
      </c>
      <c r="C86" s="3986">
        <v>84</v>
      </c>
      <c r="D86" s="3987">
        <v>1</v>
      </c>
      <c r="E86" s="3988">
        <v>78</v>
      </c>
      <c r="F86" s="3987">
        <v>1</v>
      </c>
      <c r="G86" s="3988">
        <v>106</v>
      </c>
      <c r="H86" s="3987">
        <v>1</v>
      </c>
      <c r="I86" s="3989">
        <v>49</v>
      </c>
      <c r="J86" s="3990">
        <v>3</v>
      </c>
      <c r="K86" s="3989">
        <v>58</v>
      </c>
      <c r="L86" s="3990">
        <v>0</v>
      </c>
      <c r="M86" s="3989">
        <v>35</v>
      </c>
      <c r="N86" s="3990">
        <v>0</v>
      </c>
      <c r="O86" s="3988">
        <v>33</v>
      </c>
      <c r="P86" s="3987">
        <v>0</v>
      </c>
      <c r="Q86" s="3988">
        <v>26</v>
      </c>
      <c r="R86" s="3987">
        <v>0</v>
      </c>
      <c r="S86" s="3988">
        <v>20</v>
      </c>
      <c r="T86" s="3987">
        <v>0</v>
      </c>
      <c r="U86" s="3988">
        <v>38</v>
      </c>
      <c r="V86" s="3987">
        <v>0</v>
      </c>
      <c r="W86" s="3988">
        <v>39</v>
      </c>
      <c r="X86" s="3987">
        <v>0</v>
      </c>
      <c r="Y86" s="3988">
        <v>32</v>
      </c>
      <c r="Z86" s="3987">
        <v>0</v>
      </c>
      <c r="AA86" s="3988">
        <v>598</v>
      </c>
      <c r="AB86" s="3986">
        <v>6</v>
      </c>
      <c r="AC86" s="3986">
        <v>1.0033444816053512</v>
      </c>
      <c r="AD86" s="3963"/>
      <c r="AE86" s="3963"/>
    </row>
    <row r="87" spans="1:32" ht="14.25" x14ac:dyDescent="0.2">
      <c r="A87" s="943"/>
      <c r="B87" s="3971" t="s">
        <v>25</v>
      </c>
      <c r="C87" s="3986">
        <v>18</v>
      </c>
      <c r="D87" s="3987">
        <v>0</v>
      </c>
      <c r="E87" s="3988">
        <v>20</v>
      </c>
      <c r="F87" s="3987">
        <v>0</v>
      </c>
      <c r="G87" s="3988">
        <v>20</v>
      </c>
      <c r="H87" s="3987">
        <v>0</v>
      </c>
      <c r="I87" s="3988">
        <v>2</v>
      </c>
      <c r="J87" s="3987">
        <v>0</v>
      </c>
      <c r="K87" s="3988">
        <v>5</v>
      </c>
      <c r="L87" s="3987">
        <v>0</v>
      </c>
      <c r="M87" s="3988">
        <v>7</v>
      </c>
      <c r="N87" s="3987">
        <v>0</v>
      </c>
      <c r="O87" s="3988">
        <v>4</v>
      </c>
      <c r="P87" s="3987">
        <v>1</v>
      </c>
      <c r="Q87" s="3988">
        <v>1</v>
      </c>
      <c r="R87" s="3987">
        <v>0</v>
      </c>
      <c r="S87" s="3988">
        <v>2</v>
      </c>
      <c r="T87" s="3987">
        <v>0</v>
      </c>
      <c r="U87" s="3988">
        <v>2</v>
      </c>
      <c r="V87" s="3987">
        <v>0</v>
      </c>
      <c r="W87" s="3988">
        <v>4</v>
      </c>
      <c r="X87" s="3987">
        <v>0</v>
      </c>
      <c r="Y87" s="3988">
        <v>0</v>
      </c>
      <c r="Z87" s="3987">
        <v>0</v>
      </c>
      <c r="AA87" s="3988">
        <v>85</v>
      </c>
      <c r="AB87" s="3986">
        <v>1</v>
      </c>
      <c r="AC87" s="3986">
        <v>1.1764705882352942</v>
      </c>
      <c r="AD87" s="3963"/>
      <c r="AE87" s="3963"/>
    </row>
    <row r="88" spans="1:32" ht="14.25" x14ac:dyDescent="0.2">
      <c r="A88" s="943"/>
      <c r="B88" s="3971" t="s">
        <v>21</v>
      </c>
      <c r="C88" s="3986">
        <v>629</v>
      </c>
      <c r="D88" s="3987">
        <v>6</v>
      </c>
      <c r="E88" s="3988">
        <v>354</v>
      </c>
      <c r="F88" s="3987">
        <v>5</v>
      </c>
      <c r="G88" s="3988">
        <v>246</v>
      </c>
      <c r="H88" s="3987">
        <v>2</v>
      </c>
      <c r="I88" s="3988">
        <v>195</v>
      </c>
      <c r="J88" s="3987">
        <v>1</v>
      </c>
      <c r="K88" s="3988">
        <v>191</v>
      </c>
      <c r="L88" s="3987">
        <v>9</v>
      </c>
      <c r="M88" s="3988">
        <v>99</v>
      </c>
      <c r="N88" s="3987">
        <v>2</v>
      </c>
      <c r="O88" s="3988">
        <v>79</v>
      </c>
      <c r="P88" s="3987">
        <v>2</v>
      </c>
      <c r="Q88" s="3988">
        <v>36</v>
      </c>
      <c r="R88" s="3987">
        <v>1</v>
      </c>
      <c r="S88" s="3988">
        <v>44</v>
      </c>
      <c r="T88" s="3987">
        <v>1</v>
      </c>
      <c r="U88" s="3988">
        <v>51</v>
      </c>
      <c r="V88" s="3987">
        <v>0</v>
      </c>
      <c r="W88" s="3988">
        <v>81</v>
      </c>
      <c r="X88" s="3987">
        <v>0</v>
      </c>
      <c r="Y88" s="3988">
        <v>75</v>
      </c>
      <c r="Z88" s="3987">
        <v>0</v>
      </c>
      <c r="AA88" s="3988">
        <v>2080</v>
      </c>
      <c r="AB88" s="3986">
        <v>29</v>
      </c>
      <c r="AC88" s="3986">
        <v>1.3942307692307694</v>
      </c>
      <c r="AD88" s="3963"/>
      <c r="AE88" s="3963"/>
    </row>
    <row r="89" spans="1:32" ht="14.25" x14ac:dyDescent="0.2">
      <c r="A89" s="943"/>
      <c r="B89" s="3971" t="s">
        <v>26</v>
      </c>
      <c r="C89" s="3986">
        <v>6</v>
      </c>
      <c r="D89" s="3986">
        <v>0</v>
      </c>
      <c r="E89" s="3986">
        <v>4</v>
      </c>
      <c r="F89" s="3986">
        <v>0</v>
      </c>
      <c r="G89" s="3986">
        <v>15</v>
      </c>
      <c r="H89" s="3986">
        <v>0</v>
      </c>
      <c r="I89" s="3986">
        <v>13</v>
      </c>
      <c r="J89" s="3986">
        <v>1</v>
      </c>
      <c r="K89" s="3986">
        <v>11</v>
      </c>
      <c r="L89" s="3986">
        <v>0</v>
      </c>
      <c r="M89" s="3986">
        <v>5</v>
      </c>
      <c r="N89" s="3986">
        <v>1</v>
      </c>
      <c r="O89" s="3986">
        <v>4</v>
      </c>
      <c r="P89" s="3986">
        <v>1</v>
      </c>
      <c r="Q89" s="3986">
        <v>3</v>
      </c>
      <c r="R89" s="3986">
        <v>0</v>
      </c>
      <c r="S89" s="3986">
        <v>3</v>
      </c>
      <c r="T89" s="3986">
        <v>0</v>
      </c>
      <c r="U89" s="3986">
        <v>0</v>
      </c>
      <c r="V89" s="3986">
        <v>0</v>
      </c>
      <c r="W89" s="3986">
        <v>2</v>
      </c>
      <c r="X89" s="3986">
        <v>0</v>
      </c>
      <c r="Y89" s="3986">
        <v>0</v>
      </c>
      <c r="Z89" s="3986">
        <v>0</v>
      </c>
      <c r="AA89" s="3988">
        <v>66</v>
      </c>
      <c r="AB89" s="3986">
        <v>3</v>
      </c>
      <c r="AC89" s="3986">
        <v>4.5454540000000003</v>
      </c>
      <c r="AD89" s="3963"/>
      <c r="AE89" s="3963"/>
    </row>
    <row r="90" spans="1:32" ht="14.25" x14ac:dyDescent="0.2">
      <c r="A90" s="943"/>
      <c r="B90" s="3971" t="s">
        <v>19</v>
      </c>
      <c r="C90" s="3986">
        <v>11</v>
      </c>
      <c r="D90" s="3987">
        <v>1</v>
      </c>
      <c r="E90" s="3988">
        <v>9</v>
      </c>
      <c r="F90" s="3987">
        <v>0</v>
      </c>
      <c r="G90" s="3988">
        <v>14</v>
      </c>
      <c r="H90" s="3987">
        <v>0</v>
      </c>
      <c r="I90" s="3988">
        <v>23</v>
      </c>
      <c r="J90" s="3987">
        <v>1</v>
      </c>
      <c r="K90" s="3988">
        <v>39</v>
      </c>
      <c r="L90" s="3987">
        <v>0</v>
      </c>
      <c r="M90" s="3988">
        <v>12</v>
      </c>
      <c r="N90" s="3987">
        <v>0</v>
      </c>
      <c r="O90" s="3988">
        <v>14</v>
      </c>
      <c r="P90" s="3987">
        <v>0</v>
      </c>
      <c r="Q90" s="3988">
        <v>22</v>
      </c>
      <c r="R90" s="3987">
        <v>0</v>
      </c>
      <c r="S90" s="3988">
        <v>7</v>
      </c>
      <c r="T90" s="3987">
        <v>0</v>
      </c>
      <c r="U90" s="3988">
        <v>1</v>
      </c>
      <c r="V90" s="3987">
        <v>0</v>
      </c>
      <c r="W90" s="3988">
        <v>3</v>
      </c>
      <c r="X90" s="3987">
        <v>0</v>
      </c>
      <c r="Y90" s="3988">
        <v>1</v>
      </c>
      <c r="Z90" s="3987">
        <v>0</v>
      </c>
      <c r="AA90" s="3988">
        <v>156</v>
      </c>
      <c r="AB90" s="3986">
        <v>2</v>
      </c>
      <c r="AC90" s="3986">
        <v>1.2820512820512819</v>
      </c>
      <c r="AD90" s="3963"/>
      <c r="AE90" s="3963"/>
    </row>
    <row r="91" spans="1:32" ht="14.25" x14ac:dyDescent="0.2">
      <c r="A91" s="943"/>
      <c r="B91" s="3971" t="s">
        <v>27</v>
      </c>
      <c r="C91" s="3970">
        <v>18</v>
      </c>
      <c r="D91" s="3990">
        <v>0</v>
      </c>
      <c r="E91" s="3989">
        <v>14</v>
      </c>
      <c r="F91" s="3990"/>
      <c r="G91" s="3989">
        <v>13</v>
      </c>
      <c r="H91" s="3990">
        <v>1</v>
      </c>
      <c r="I91" s="3989">
        <v>10</v>
      </c>
      <c r="J91" s="3990">
        <v>0</v>
      </c>
      <c r="K91" s="3989">
        <v>10</v>
      </c>
      <c r="L91" s="3990">
        <v>0</v>
      </c>
      <c r="M91" s="3989">
        <v>9</v>
      </c>
      <c r="N91" s="3990">
        <v>0</v>
      </c>
      <c r="O91" s="3989">
        <v>4</v>
      </c>
      <c r="P91" s="3990">
        <v>0</v>
      </c>
      <c r="Q91" s="3989">
        <v>3</v>
      </c>
      <c r="R91" s="3990">
        <v>0</v>
      </c>
      <c r="S91" s="3989">
        <v>3</v>
      </c>
      <c r="T91" s="3990">
        <v>0</v>
      </c>
      <c r="U91" s="3989">
        <v>2</v>
      </c>
      <c r="V91" s="3990">
        <v>0</v>
      </c>
      <c r="W91" s="3989">
        <v>1</v>
      </c>
      <c r="X91" s="3990">
        <v>0</v>
      </c>
      <c r="Y91" s="3989">
        <v>3</v>
      </c>
      <c r="Z91" s="3990">
        <v>0</v>
      </c>
      <c r="AA91" s="3988">
        <v>90</v>
      </c>
      <c r="AB91" s="3986">
        <v>1</v>
      </c>
      <c r="AC91" s="3970">
        <v>1.111</v>
      </c>
      <c r="AD91" s="3963"/>
      <c r="AE91" s="3963"/>
    </row>
    <row r="92" spans="1:32" ht="14.25" x14ac:dyDescent="0.2">
      <c r="A92" s="943"/>
      <c r="B92" s="3971" t="s">
        <v>20</v>
      </c>
      <c r="C92" s="3986">
        <v>22</v>
      </c>
      <c r="D92" s="3987">
        <v>0</v>
      </c>
      <c r="E92" s="3988">
        <v>10</v>
      </c>
      <c r="F92" s="3987">
        <v>0</v>
      </c>
      <c r="G92" s="3988">
        <v>12</v>
      </c>
      <c r="H92" s="3987">
        <v>0</v>
      </c>
      <c r="I92" s="3988">
        <v>7</v>
      </c>
      <c r="J92" s="3987">
        <v>0</v>
      </c>
      <c r="K92" s="3988">
        <v>7</v>
      </c>
      <c r="L92" s="3987">
        <v>0</v>
      </c>
      <c r="M92" s="3988">
        <v>9</v>
      </c>
      <c r="N92" s="3987">
        <v>0</v>
      </c>
      <c r="O92" s="3988">
        <v>2</v>
      </c>
      <c r="P92" s="3987">
        <v>0</v>
      </c>
      <c r="Q92" s="3988">
        <v>2</v>
      </c>
      <c r="R92" s="3987">
        <v>0</v>
      </c>
      <c r="S92" s="3988">
        <v>1</v>
      </c>
      <c r="T92" s="3987">
        <v>0</v>
      </c>
      <c r="U92" s="3988">
        <v>5</v>
      </c>
      <c r="V92" s="3987">
        <v>0</v>
      </c>
      <c r="W92" s="3988">
        <v>4</v>
      </c>
      <c r="X92" s="3987">
        <v>0</v>
      </c>
      <c r="Y92" s="3988">
        <v>0</v>
      </c>
      <c r="Z92" s="3987">
        <v>0</v>
      </c>
      <c r="AA92" s="3988">
        <v>81</v>
      </c>
      <c r="AB92" s="3986">
        <v>0</v>
      </c>
      <c r="AC92" s="3986">
        <v>0</v>
      </c>
      <c r="AD92" s="3963"/>
      <c r="AE92" s="3963"/>
    </row>
    <row r="93" spans="1:32" ht="14.25" x14ac:dyDescent="0.2">
      <c r="A93" s="943"/>
      <c r="B93" s="3971" t="s">
        <v>257</v>
      </c>
      <c r="C93" s="3986">
        <v>2497</v>
      </c>
      <c r="D93" s="3986">
        <v>28</v>
      </c>
      <c r="E93" s="3986">
        <v>1237</v>
      </c>
      <c r="F93" s="3986">
        <v>13</v>
      </c>
      <c r="G93" s="3986">
        <v>1364</v>
      </c>
      <c r="H93" s="3986">
        <v>5</v>
      </c>
      <c r="I93" s="3986">
        <v>1468</v>
      </c>
      <c r="J93" s="3986">
        <v>16</v>
      </c>
      <c r="K93" s="3986">
        <v>794</v>
      </c>
      <c r="L93" s="3986">
        <v>11</v>
      </c>
      <c r="M93" s="3986">
        <v>437</v>
      </c>
      <c r="N93" s="3986">
        <v>4</v>
      </c>
      <c r="O93" s="3986">
        <v>267</v>
      </c>
      <c r="P93" s="3986">
        <v>4</v>
      </c>
      <c r="Q93" s="3986">
        <v>193</v>
      </c>
      <c r="R93" s="3986">
        <v>1</v>
      </c>
      <c r="S93" s="3986">
        <v>258</v>
      </c>
      <c r="T93" s="3986">
        <v>1</v>
      </c>
      <c r="U93" s="3986">
        <v>459</v>
      </c>
      <c r="V93" s="3986">
        <v>1</v>
      </c>
      <c r="W93" s="3986">
        <v>451</v>
      </c>
      <c r="X93" s="3986">
        <v>2</v>
      </c>
      <c r="Y93" s="3986">
        <v>441</v>
      </c>
      <c r="Z93" s="3986">
        <v>3</v>
      </c>
      <c r="AA93" s="3986">
        <v>9866</v>
      </c>
      <c r="AB93" s="3986">
        <v>89</v>
      </c>
      <c r="AC93" s="3986">
        <v>0.90208797891749448</v>
      </c>
      <c r="AD93" s="3963">
        <f>+AB93/AA93</f>
        <v>9.0208797891749449E-3</v>
      </c>
      <c r="AE93" s="3963"/>
    </row>
    <row r="94" spans="1:32" x14ac:dyDescent="0.2">
      <c r="B94" s="3962"/>
      <c r="C94" s="3962"/>
      <c r="D94" s="3963"/>
      <c r="E94" s="3963"/>
      <c r="F94" s="3963"/>
      <c r="G94" s="3963"/>
      <c r="H94" s="3963"/>
      <c r="I94" s="3963"/>
      <c r="J94" s="3963"/>
      <c r="K94" s="3963"/>
      <c r="L94" s="3963"/>
      <c r="M94" s="3963"/>
      <c r="N94" s="3963"/>
      <c r="O94" s="3963"/>
      <c r="P94" s="3963"/>
      <c r="Q94" s="3963"/>
      <c r="R94" s="3963"/>
      <c r="S94" s="3963"/>
      <c r="T94" s="3963"/>
      <c r="U94" s="3963"/>
      <c r="V94" s="3963"/>
      <c r="W94" s="3963"/>
      <c r="X94" s="3963"/>
      <c r="Y94" s="3963"/>
      <c r="Z94" s="3963"/>
      <c r="AA94" s="3963"/>
      <c r="AB94" s="3963"/>
      <c r="AC94" s="3963"/>
      <c r="AD94" s="3963"/>
      <c r="AE94" s="3963"/>
    </row>
    <row r="95" spans="1:32" x14ac:dyDescent="0.2">
      <c r="B95" s="3962"/>
      <c r="C95" s="3962"/>
      <c r="D95" s="3963"/>
      <c r="E95" s="3963"/>
      <c r="F95" s="3963"/>
      <c r="G95" s="3963"/>
      <c r="H95" s="3963"/>
      <c r="I95" s="3963"/>
      <c r="J95" s="3963"/>
      <c r="K95" s="3963"/>
      <c r="L95" s="3963"/>
      <c r="M95" s="3963"/>
      <c r="N95" s="3963"/>
      <c r="O95" s="3963"/>
      <c r="P95" s="3963"/>
      <c r="Q95" s="3963"/>
      <c r="R95" s="3963"/>
      <c r="S95" s="3963"/>
      <c r="T95" s="3963"/>
      <c r="U95" s="3963"/>
      <c r="V95" s="3963"/>
      <c r="W95" s="3963"/>
      <c r="X95" s="3963"/>
      <c r="Y95" s="3963"/>
      <c r="Z95" s="3963"/>
      <c r="AA95" s="3963"/>
      <c r="AB95" s="3963"/>
      <c r="AC95" s="3963"/>
      <c r="AD95" s="3963"/>
      <c r="AE95" s="3963"/>
    </row>
    <row r="96" spans="1:32" x14ac:dyDescent="0.25">
      <c r="A96" s="943"/>
      <c r="B96" s="3991" t="s">
        <v>1005</v>
      </c>
      <c r="C96" s="3991"/>
      <c r="D96" s="3991"/>
      <c r="E96" s="3991"/>
      <c r="F96" s="3992"/>
      <c r="G96" s="3992"/>
      <c r="H96" s="3992"/>
      <c r="I96" s="3992"/>
      <c r="J96" s="3992"/>
      <c r="K96" s="3992"/>
      <c r="L96" s="3992"/>
      <c r="M96" s="3992"/>
      <c r="N96" s="3992"/>
      <c r="O96" s="3992"/>
      <c r="P96" s="3992"/>
      <c r="Q96" s="3992"/>
      <c r="R96" s="3992"/>
      <c r="S96" s="3992"/>
      <c r="T96" s="3992"/>
      <c r="U96" s="3992"/>
      <c r="V96" s="3992"/>
      <c r="W96" s="3992"/>
      <c r="X96" s="3992"/>
      <c r="Y96" s="3992"/>
      <c r="Z96" s="3992"/>
      <c r="AA96" s="3992"/>
      <c r="AB96" s="3992"/>
      <c r="AC96" s="3992"/>
      <c r="AD96" s="3992"/>
      <c r="AE96" s="3978"/>
      <c r="AF96" s="2346"/>
    </row>
    <row r="97" spans="1:31" ht="14.25" x14ac:dyDescent="0.2">
      <c r="A97" s="943"/>
      <c r="B97" s="3993" t="s">
        <v>983</v>
      </c>
      <c r="C97" s="3994" t="s">
        <v>984</v>
      </c>
      <c r="D97" s="3995"/>
      <c r="E97" s="3994" t="s">
        <v>985</v>
      </c>
      <c r="F97" s="3995"/>
      <c r="G97" s="3994" t="s">
        <v>986</v>
      </c>
      <c r="H97" s="3995"/>
      <c r="I97" s="3994" t="s">
        <v>987</v>
      </c>
      <c r="J97" s="3995"/>
      <c r="K97" s="3994" t="s">
        <v>988</v>
      </c>
      <c r="L97" s="3995"/>
      <c r="M97" s="3994" t="s">
        <v>989</v>
      </c>
      <c r="N97" s="3995"/>
      <c r="O97" s="3994" t="s">
        <v>990</v>
      </c>
      <c r="P97" s="3995"/>
      <c r="Q97" s="3994" t="s">
        <v>991</v>
      </c>
      <c r="R97" s="3995"/>
      <c r="S97" s="3994" t="s">
        <v>992</v>
      </c>
      <c r="T97" s="3995"/>
      <c r="U97" s="3994" t="s">
        <v>993</v>
      </c>
      <c r="V97" s="3995"/>
      <c r="W97" s="3994" t="s">
        <v>994</v>
      </c>
      <c r="X97" s="3995"/>
      <c r="Y97" s="3994" t="s">
        <v>995</v>
      </c>
      <c r="Z97" s="3995"/>
      <c r="AA97" s="3996" t="s">
        <v>257</v>
      </c>
      <c r="AB97" s="3993" t="s">
        <v>257</v>
      </c>
      <c r="AC97" s="3993" t="s">
        <v>996</v>
      </c>
      <c r="AD97" s="3997"/>
      <c r="AE97" s="3963"/>
    </row>
    <row r="98" spans="1:31" ht="14.25" x14ac:dyDescent="0.2">
      <c r="A98" s="943"/>
      <c r="B98" s="3993" t="s">
        <v>997</v>
      </c>
      <c r="C98" s="3993" t="s">
        <v>257</v>
      </c>
      <c r="D98" s="3998" t="s">
        <v>977</v>
      </c>
      <c r="E98" s="3999" t="s">
        <v>257</v>
      </c>
      <c r="F98" s="4000" t="s">
        <v>977</v>
      </c>
      <c r="G98" s="3993" t="s">
        <v>257</v>
      </c>
      <c r="H98" s="3998" t="s">
        <v>977</v>
      </c>
      <c r="I98" s="3993" t="s">
        <v>257</v>
      </c>
      <c r="J98" s="3998" t="s">
        <v>977</v>
      </c>
      <c r="K98" s="3993" t="s">
        <v>257</v>
      </c>
      <c r="L98" s="3998" t="s">
        <v>977</v>
      </c>
      <c r="M98" s="3993" t="s">
        <v>257</v>
      </c>
      <c r="N98" s="3998" t="s">
        <v>977</v>
      </c>
      <c r="O98" s="3993" t="s">
        <v>257</v>
      </c>
      <c r="P98" s="3998" t="s">
        <v>977</v>
      </c>
      <c r="Q98" s="3993" t="s">
        <v>257</v>
      </c>
      <c r="R98" s="3998" t="s">
        <v>977</v>
      </c>
      <c r="S98" s="3993" t="s">
        <v>257</v>
      </c>
      <c r="T98" s="3998" t="s">
        <v>977</v>
      </c>
      <c r="U98" s="3993" t="s">
        <v>257</v>
      </c>
      <c r="V98" s="3998" t="s">
        <v>977</v>
      </c>
      <c r="W98" s="3993" t="s">
        <v>257</v>
      </c>
      <c r="X98" s="3998" t="s">
        <v>977</v>
      </c>
      <c r="Y98" s="3993" t="s">
        <v>257</v>
      </c>
      <c r="Z98" s="3998" t="s">
        <v>977</v>
      </c>
      <c r="AA98" s="3996" t="s">
        <v>999</v>
      </c>
      <c r="AB98" s="3993" t="s">
        <v>1000</v>
      </c>
      <c r="AC98" s="3993"/>
      <c r="AD98" s="3997"/>
      <c r="AE98" s="3963"/>
    </row>
    <row r="99" spans="1:31" ht="14.25" x14ac:dyDescent="0.2">
      <c r="A99" s="943"/>
      <c r="B99" s="3993" t="s">
        <v>23</v>
      </c>
      <c r="C99" s="4001">
        <v>872</v>
      </c>
      <c r="D99" s="4002">
        <v>12</v>
      </c>
      <c r="E99" s="4003">
        <v>338</v>
      </c>
      <c r="F99" s="4002">
        <v>6</v>
      </c>
      <c r="G99" s="4003">
        <v>482</v>
      </c>
      <c r="H99" s="4002">
        <v>0</v>
      </c>
      <c r="I99" s="4003">
        <v>847</v>
      </c>
      <c r="J99" s="4002">
        <v>8</v>
      </c>
      <c r="K99" s="4003">
        <v>182</v>
      </c>
      <c r="L99" s="4002">
        <v>0</v>
      </c>
      <c r="M99" s="4003">
        <v>82</v>
      </c>
      <c r="N99" s="4002">
        <v>1</v>
      </c>
      <c r="O99" s="4003">
        <v>31</v>
      </c>
      <c r="P99" s="4002">
        <v>0</v>
      </c>
      <c r="Q99" s="4003">
        <v>23</v>
      </c>
      <c r="R99" s="4002">
        <v>0</v>
      </c>
      <c r="S99" s="4003">
        <v>90</v>
      </c>
      <c r="T99" s="4002">
        <v>0</v>
      </c>
      <c r="U99" s="4003">
        <v>168</v>
      </c>
      <c r="V99" s="4002">
        <v>0</v>
      </c>
      <c r="W99" s="4003">
        <v>161</v>
      </c>
      <c r="X99" s="4002">
        <v>1</v>
      </c>
      <c r="Y99" s="4003">
        <v>175</v>
      </c>
      <c r="Z99" s="4002">
        <v>3</v>
      </c>
      <c r="AA99" s="4003">
        <v>3451</v>
      </c>
      <c r="AB99" s="4001">
        <v>31</v>
      </c>
      <c r="AC99" s="4001">
        <v>0.89829035062300788</v>
      </c>
      <c r="AD99" s="3997"/>
      <c r="AE99" s="3963"/>
    </row>
    <row r="100" spans="1:31" ht="14.25" x14ac:dyDescent="0.2">
      <c r="A100" s="943"/>
      <c r="B100" s="3993" t="s">
        <v>24</v>
      </c>
      <c r="C100" s="4001">
        <v>837</v>
      </c>
      <c r="D100" s="4002">
        <v>8</v>
      </c>
      <c r="E100" s="4003">
        <v>410</v>
      </c>
      <c r="F100" s="4002">
        <v>1</v>
      </c>
      <c r="G100" s="4003">
        <v>456</v>
      </c>
      <c r="H100" s="4002">
        <v>1</v>
      </c>
      <c r="I100" s="4003">
        <v>322</v>
      </c>
      <c r="J100" s="4002">
        <v>2</v>
      </c>
      <c r="K100" s="4003">
        <v>291</v>
      </c>
      <c r="L100" s="4002">
        <v>2</v>
      </c>
      <c r="M100" s="4003">
        <v>179</v>
      </c>
      <c r="N100" s="4002">
        <v>0</v>
      </c>
      <c r="O100" s="4003">
        <v>96</v>
      </c>
      <c r="P100" s="4002">
        <v>0</v>
      </c>
      <c r="Q100" s="4003">
        <v>77</v>
      </c>
      <c r="R100" s="4002">
        <v>0</v>
      </c>
      <c r="S100" s="4003">
        <v>88</v>
      </c>
      <c r="T100" s="4002">
        <v>0</v>
      </c>
      <c r="U100" s="4003">
        <v>192</v>
      </c>
      <c r="V100" s="4002">
        <v>1</v>
      </c>
      <c r="W100" s="4003">
        <v>156</v>
      </c>
      <c r="X100" s="4002">
        <v>1</v>
      </c>
      <c r="Y100" s="4003">
        <v>155</v>
      </c>
      <c r="Z100" s="4002">
        <v>0</v>
      </c>
      <c r="AA100" s="4003">
        <v>3259</v>
      </c>
      <c r="AB100" s="4001">
        <v>16</v>
      </c>
      <c r="AC100" s="4001">
        <v>0.49094814360233202</v>
      </c>
      <c r="AD100" s="3997"/>
      <c r="AE100" s="3963"/>
    </row>
    <row r="101" spans="1:31" ht="14.25" x14ac:dyDescent="0.2">
      <c r="A101" s="943"/>
      <c r="B101" s="3993" t="s">
        <v>22</v>
      </c>
      <c r="C101" s="4001">
        <v>84</v>
      </c>
      <c r="D101" s="4002">
        <v>1</v>
      </c>
      <c r="E101" s="4003">
        <v>78</v>
      </c>
      <c r="F101" s="4002">
        <v>1</v>
      </c>
      <c r="G101" s="4003">
        <v>106</v>
      </c>
      <c r="H101" s="4002">
        <v>1</v>
      </c>
      <c r="I101" s="4004">
        <v>49</v>
      </c>
      <c r="J101" s="4005">
        <v>3</v>
      </c>
      <c r="K101" s="4004">
        <v>58</v>
      </c>
      <c r="L101" s="4005">
        <v>0</v>
      </c>
      <c r="M101" s="4004">
        <v>35</v>
      </c>
      <c r="N101" s="4005">
        <v>0</v>
      </c>
      <c r="O101" s="4003">
        <v>33</v>
      </c>
      <c r="P101" s="4002">
        <v>0</v>
      </c>
      <c r="Q101" s="4003">
        <v>26</v>
      </c>
      <c r="R101" s="4002">
        <v>0</v>
      </c>
      <c r="S101" s="4003">
        <v>20</v>
      </c>
      <c r="T101" s="4002">
        <v>0</v>
      </c>
      <c r="U101" s="4003">
        <v>38</v>
      </c>
      <c r="V101" s="4002">
        <v>0</v>
      </c>
      <c r="W101" s="4003">
        <v>39</v>
      </c>
      <c r="X101" s="4002">
        <v>0</v>
      </c>
      <c r="Y101" s="4003">
        <v>32</v>
      </c>
      <c r="Z101" s="4002">
        <v>0</v>
      </c>
      <c r="AA101" s="4003">
        <v>598</v>
      </c>
      <c r="AB101" s="4001">
        <v>6</v>
      </c>
      <c r="AC101" s="4001">
        <v>1.0033444816053512</v>
      </c>
      <c r="AD101" s="3997"/>
      <c r="AE101" s="3963"/>
    </row>
    <row r="102" spans="1:31" ht="14.25" x14ac:dyDescent="0.2">
      <c r="A102" s="943"/>
      <c r="B102" s="3993" t="s">
        <v>25</v>
      </c>
      <c r="C102" s="4001">
        <v>18</v>
      </c>
      <c r="D102" s="4002">
        <v>0</v>
      </c>
      <c r="E102" s="4003">
        <v>20</v>
      </c>
      <c r="F102" s="4002">
        <v>0</v>
      </c>
      <c r="G102" s="4003">
        <v>20</v>
      </c>
      <c r="H102" s="4002">
        <v>0</v>
      </c>
      <c r="I102" s="4003">
        <v>2</v>
      </c>
      <c r="J102" s="4002">
        <v>0</v>
      </c>
      <c r="K102" s="4003">
        <v>5</v>
      </c>
      <c r="L102" s="4002">
        <v>0</v>
      </c>
      <c r="M102" s="4003">
        <v>7</v>
      </c>
      <c r="N102" s="4002">
        <v>0</v>
      </c>
      <c r="O102" s="4003">
        <v>4</v>
      </c>
      <c r="P102" s="4002">
        <v>1</v>
      </c>
      <c r="Q102" s="4003">
        <v>1</v>
      </c>
      <c r="R102" s="4002">
        <v>0</v>
      </c>
      <c r="S102" s="4003">
        <v>2</v>
      </c>
      <c r="T102" s="4002">
        <v>0</v>
      </c>
      <c r="U102" s="4003">
        <v>2</v>
      </c>
      <c r="V102" s="4002">
        <v>0</v>
      </c>
      <c r="W102" s="4003">
        <v>4</v>
      </c>
      <c r="X102" s="4002">
        <v>0</v>
      </c>
      <c r="Y102" s="4003">
        <v>0</v>
      </c>
      <c r="Z102" s="4002">
        <v>0</v>
      </c>
      <c r="AA102" s="4003">
        <v>85</v>
      </c>
      <c r="AB102" s="4001">
        <v>1</v>
      </c>
      <c r="AC102" s="4001">
        <v>1.1764705882352942</v>
      </c>
      <c r="AD102" s="3997"/>
      <c r="AE102" s="3963"/>
    </row>
    <row r="103" spans="1:31" ht="14.25" x14ac:dyDescent="0.2">
      <c r="A103" s="943"/>
      <c r="B103" s="3993" t="s">
        <v>21</v>
      </c>
      <c r="C103" s="4001">
        <v>629</v>
      </c>
      <c r="D103" s="4002">
        <v>6</v>
      </c>
      <c r="E103" s="4003">
        <v>354</v>
      </c>
      <c r="F103" s="4002">
        <v>5</v>
      </c>
      <c r="G103" s="4003">
        <v>246</v>
      </c>
      <c r="H103" s="4002">
        <v>2</v>
      </c>
      <c r="I103" s="4003">
        <v>195</v>
      </c>
      <c r="J103" s="4002">
        <v>1</v>
      </c>
      <c r="K103" s="4003">
        <v>191</v>
      </c>
      <c r="L103" s="4002">
        <v>9</v>
      </c>
      <c r="M103" s="4003">
        <v>99</v>
      </c>
      <c r="N103" s="4002">
        <v>2</v>
      </c>
      <c r="O103" s="4003">
        <v>79</v>
      </c>
      <c r="P103" s="4002">
        <v>2</v>
      </c>
      <c r="Q103" s="4003">
        <v>36</v>
      </c>
      <c r="R103" s="4002">
        <v>1</v>
      </c>
      <c r="S103" s="4003">
        <v>44</v>
      </c>
      <c r="T103" s="4002">
        <v>1</v>
      </c>
      <c r="U103" s="4003">
        <v>51</v>
      </c>
      <c r="V103" s="4002">
        <v>0</v>
      </c>
      <c r="W103" s="4003">
        <v>81</v>
      </c>
      <c r="X103" s="4002">
        <v>0</v>
      </c>
      <c r="Y103" s="4003">
        <v>75</v>
      </c>
      <c r="Z103" s="4002">
        <v>0</v>
      </c>
      <c r="AA103" s="4003">
        <v>2080</v>
      </c>
      <c r="AB103" s="4001">
        <v>29</v>
      </c>
      <c r="AC103" s="4001">
        <v>1.3942307692307694</v>
      </c>
      <c r="AD103" s="3997"/>
      <c r="AE103" s="3963"/>
    </row>
    <row r="104" spans="1:31" ht="14.25" x14ac:dyDescent="0.2">
      <c r="A104" s="943"/>
      <c r="B104" s="3993" t="s">
        <v>26</v>
      </c>
      <c r="C104" s="4001">
        <v>6</v>
      </c>
      <c r="D104" s="4001">
        <v>0</v>
      </c>
      <c r="E104" s="4001">
        <v>4</v>
      </c>
      <c r="F104" s="4001">
        <v>0</v>
      </c>
      <c r="G104" s="4001">
        <v>15</v>
      </c>
      <c r="H104" s="4001">
        <v>0</v>
      </c>
      <c r="I104" s="4001">
        <v>13</v>
      </c>
      <c r="J104" s="4001">
        <v>1</v>
      </c>
      <c r="K104" s="4001">
        <v>11</v>
      </c>
      <c r="L104" s="4001">
        <v>0</v>
      </c>
      <c r="M104" s="4001">
        <v>5</v>
      </c>
      <c r="N104" s="4001">
        <v>1</v>
      </c>
      <c r="O104" s="4001">
        <v>4</v>
      </c>
      <c r="P104" s="4001">
        <v>1</v>
      </c>
      <c r="Q104" s="4001">
        <v>3</v>
      </c>
      <c r="R104" s="4001">
        <v>0</v>
      </c>
      <c r="S104" s="4001">
        <v>3</v>
      </c>
      <c r="T104" s="4001">
        <v>0</v>
      </c>
      <c r="U104" s="4001">
        <v>0</v>
      </c>
      <c r="V104" s="4001">
        <v>0</v>
      </c>
      <c r="W104" s="4001">
        <v>2</v>
      </c>
      <c r="X104" s="4001">
        <v>0</v>
      </c>
      <c r="Y104" s="4001">
        <v>0</v>
      </c>
      <c r="Z104" s="4001">
        <v>0</v>
      </c>
      <c r="AA104" s="4003">
        <v>66</v>
      </c>
      <c r="AB104" s="4001">
        <v>3</v>
      </c>
      <c r="AC104" s="4001">
        <v>4.5454540000000003</v>
      </c>
      <c r="AD104" s="3997"/>
      <c r="AE104" s="3963"/>
    </row>
    <row r="105" spans="1:31" ht="14.25" x14ac:dyDescent="0.2">
      <c r="A105" s="943"/>
      <c r="B105" s="3993" t="s">
        <v>19</v>
      </c>
      <c r="C105" s="4001">
        <v>11</v>
      </c>
      <c r="D105" s="4002">
        <v>1</v>
      </c>
      <c r="E105" s="4003">
        <v>9</v>
      </c>
      <c r="F105" s="4002">
        <v>0</v>
      </c>
      <c r="G105" s="4003">
        <v>14</v>
      </c>
      <c r="H105" s="4002">
        <v>0</v>
      </c>
      <c r="I105" s="4003">
        <v>23</v>
      </c>
      <c r="J105" s="4002">
        <v>1</v>
      </c>
      <c r="K105" s="4003">
        <v>39</v>
      </c>
      <c r="L105" s="4002">
        <v>0</v>
      </c>
      <c r="M105" s="4003">
        <v>12</v>
      </c>
      <c r="N105" s="4002">
        <v>0</v>
      </c>
      <c r="O105" s="4003">
        <v>14</v>
      </c>
      <c r="P105" s="4002">
        <v>0</v>
      </c>
      <c r="Q105" s="4003">
        <v>22</v>
      </c>
      <c r="R105" s="4002">
        <v>0</v>
      </c>
      <c r="S105" s="4003">
        <v>7</v>
      </c>
      <c r="T105" s="4002">
        <v>0</v>
      </c>
      <c r="U105" s="4003">
        <v>1</v>
      </c>
      <c r="V105" s="4002">
        <v>0</v>
      </c>
      <c r="W105" s="4003">
        <v>3</v>
      </c>
      <c r="X105" s="4002">
        <v>0</v>
      </c>
      <c r="Y105" s="4003">
        <v>1</v>
      </c>
      <c r="Z105" s="4002">
        <v>0</v>
      </c>
      <c r="AA105" s="4003">
        <v>156</v>
      </c>
      <c r="AB105" s="4001">
        <v>2</v>
      </c>
      <c r="AC105" s="4001">
        <v>1.2820512820512819</v>
      </c>
      <c r="AD105" s="3997"/>
      <c r="AE105" s="3963"/>
    </row>
    <row r="106" spans="1:31" ht="14.25" x14ac:dyDescent="0.2">
      <c r="A106" s="943"/>
      <c r="B106" s="3993" t="s">
        <v>27</v>
      </c>
      <c r="C106" s="4006">
        <v>18</v>
      </c>
      <c r="D106" s="4005">
        <v>0</v>
      </c>
      <c r="E106" s="4004">
        <v>14</v>
      </c>
      <c r="F106" s="4005"/>
      <c r="G106" s="4004">
        <v>13</v>
      </c>
      <c r="H106" s="4005">
        <v>1</v>
      </c>
      <c r="I106" s="4004">
        <v>10</v>
      </c>
      <c r="J106" s="4005">
        <v>0</v>
      </c>
      <c r="K106" s="4004">
        <v>10</v>
      </c>
      <c r="L106" s="4005">
        <v>0</v>
      </c>
      <c r="M106" s="4004">
        <v>9</v>
      </c>
      <c r="N106" s="4005">
        <v>0</v>
      </c>
      <c r="O106" s="4004">
        <v>4</v>
      </c>
      <c r="P106" s="4005">
        <v>0</v>
      </c>
      <c r="Q106" s="4004">
        <v>3</v>
      </c>
      <c r="R106" s="4005">
        <v>0</v>
      </c>
      <c r="S106" s="4004">
        <v>3</v>
      </c>
      <c r="T106" s="4005">
        <v>0</v>
      </c>
      <c r="U106" s="4004">
        <v>2</v>
      </c>
      <c r="V106" s="4005">
        <v>0</v>
      </c>
      <c r="W106" s="4004">
        <v>1</v>
      </c>
      <c r="X106" s="4005">
        <v>0</v>
      </c>
      <c r="Y106" s="4004">
        <v>3</v>
      </c>
      <c r="Z106" s="4005">
        <v>0</v>
      </c>
      <c r="AA106" s="4003">
        <v>90</v>
      </c>
      <c r="AB106" s="4001">
        <v>1</v>
      </c>
      <c r="AC106" s="4006">
        <v>1.111</v>
      </c>
      <c r="AD106" s="3997"/>
      <c r="AE106" s="3963"/>
    </row>
    <row r="107" spans="1:31" ht="14.25" x14ac:dyDescent="0.2">
      <c r="A107" s="943"/>
      <c r="B107" s="3993" t="s">
        <v>20</v>
      </c>
      <c r="C107" s="4001">
        <v>22</v>
      </c>
      <c r="D107" s="4002">
        <v>0</v>
      </c>
      <c r="E107" s="4003">
        <v>10</v>
      </c>
      <c r="F107" s="4002">
        <v>0</v>
      </c>
      <c r="G107" s="4003">
        <v>12</v>
      </c>
      <c r="H107" s="4002">
        <v>0</v>
      </c>
      <c r="I107" s="4003">
        <v>7</v>
      </c>
      <c r="J107" s="4002">
        <v>0</v>
      </c>
      <c r="K107" s="4003">
        <v>7</v>
      </c>
      <c r="L107" s="4002">
        <v>0</v>
      </c>
      <c r="M107" s="4003">
        <v>9</v>
      </c>
      <c r="N107" s="4002">
        <v>0</v>
      </c>
      <c r="O107" s="4003">
        <v>2</v>
      </c>
      <c r="P107" s="4002">
        <v>0</v>
      </c>
      <c r="Q107" s="4003">
        <v>2</v>
      </c>
      <c r="R107" s="4002">
        <v>0</v>
      </c>
      <c r="S107" s="4003">
        <v>1</v>
      </c>
      <c r="T107" s="4002">
        <v>0</v>
      </c>
      <c r="U107" s="4003">
        <v>5</v>
      </c>
      <c r="V107" s="4002">
        <v>0</v>
      </c>
      <c r="W107" s="4003">
        <v>4</v>
      </c>
      <c r="X107" s="4002">
        <v>0</v>
      </c>
      <c r="Y107" s="4003">
        <v>0</v>
      </c>
      <c r="Z107" s="4002">
        <v>0</v>
      </c>
      <c r="AA107" s="4003">
        <v>81</v>
      </c>
      <c r="AB107" s="4001">
        <v>0</v>
      </c>
      <c r="AC107" s="4001">
        <v>0</v>
      </c>
      <c r="AD107" s="3997"/>
      <c r="AE107" s="3963"/>
    </row>
    <row r="108" spans="1:31" ht="14.25" x14ac:dyDescent="0.2">
      <c r="A108" s="943"/>
      <c r="B108" s="3993" t="s">
        <v>257</v>
      </c>
      <c r="C108" s="4001">
        <v>2497</v>
      </c>
      <c r="D108" s="4001">
        <v>28</v>
      </c>
      <c r="E108" s="4001">
        <v>1237</v>
      </c>
      <c r="F108" s="4001">
        <v>13</v>
      </c>
      <c r="G108" s="4001">
        <v>1364</v>
      </c>
      <c r="H108" s="4001">
        <v>5</v>
      </c>
      <c r="I108" s="4001">
        <v>1468</v>
      </c>
      <c r="J108" s="4001">
        <v>16</v>
      </c>
      <c r="K108" s="4001">
        <v>794</v>
      </c>
      <c r="L108" s="4001">
        <v>11</v>
      </c>
      <c r="M108" s="4001">
        <v>437</v>
      </c>
      <c r="N108" s="4001">
        <v>4</v>
      </c>
      <c r="O108" s="4001">
        <v>267</v>
      </c>
      <c r="P108" s="4001">
        <v>4</v>
      </c>
      <c r="Q108" s="4001">
        <v>193</v>
      </c>
      <c r="R108" s="4001">
        <v>1</v>
      </c>
      <c r="S108" s="4001">
        <v>258</v>
      </c>
      <c r="T108" s="4001">
        <v>1</v>
      </c>
      <c r="U108" s="4001">
        <v>459</v>
      </c>
      <c r="V108" s="4001">
        <v>1</v>
      </c>
      <c r="W108" s="4001">
        <v>451</v>
      </c>
      <c r="X108" s="4001">
        <v>2</v>
      </c>
      <c r="Y108" s="4001">
        <v>441</v>
      </c>
      <c r="Z108" s="4001">
        <v>3</v>
      </c>
      <c r="AA108" s="4001">
        <v>9866</v>
      </c>
      <c r="AB108" s="4001">
        <v>89</v>
      </c>
      <c r="AC108" s="4001">
        <v>0.90208797891749448</v>
      </c>
      <c r="AD108" s="3997">
        <f>+AB108/AA108</f>
        <v>9.0208797891749449E-3</v>
      </c>
      <c r="AE108" s="3963"/>
    </row>
  </sheetData>
  <mergeCells count="36">
    <mergeCell ref="D30:X30"/>
    <mergeCell ref="D2:Z2"/>
    <mergeCell ref="D3:Z3"/>
    <mergeCell ref="D4:Z4"/>
    <mergeCell ref="D5:Z5"/>
    <mergeCell ref="M54:N54"/>
    <mergeCell ref="D31:X31"/>
    <mergeCell ref="D32:X32"/>
    <mergeCell ref="C39:D39"/>
    <mergeCell ref="E39:F39"/>
    <mergeCell ref="G39:H39"/>
    <mergeCell ref="I39:J39"/>
    <mergeCell ref="K39:L39"/>
    <mergeCell ref="M39:N39"/>
    <mergeCell ref="O39:P39"/>
    <mergeCell ref="Q39:R39"/>
    <mergeCell ref="C54:D54"/>
    <mergeCell ref="E54:F54"/>
    <mergeCell ref="G54:H54"/>
    <mergeCell ref="I54:J54"/>
    <mergeCell ref="K54:L54"/>
    <mergeCell ref="Y54:Z54"/>
    <mergeCell ref="S39:T39"/>
    <mergeCell ref="U39:V39"/>
    <mergeCell ref="W39:X39"/>
    <mergeCell ref="Y39:Z39"/>
    <mergeCell ref="O54:P54"/>
    <mergeCell ref="Q54:R54"/>
    <mergeCell ref="S54:T54"/>
    <mergeCell ref="U54:V54"/>
    <mergeCell ref="W54:X54"/>
    <mergeCell ref="Q67:R67"/>
    <mergeCell ref="S67:T67"/>
    <mergeCell ref="U67:V67"/>
    <mergeCell ref="W67:X67"/>
    <mergeCell ref="Y67:Z67"/>
  </mergeCells>
  <pageMargins left="0.74803149606299202" right="0.74803149606299202" top="0.98425196850393704" bottom="0.98425196850393704" header="0.511811023622047" footer="0.511811023622047"/>
  <pageSetup paperSize="9" scale="63"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56"/>
  <sheetViews>
    <sheetView showGridLines="0" view="pageBreakPreview" zoomScaleNormal="100" zoomScaleSheetLayoutView="100" workbookViewId="0">
      <selection activeCell="D49" sqref="D49:S49"/>
    </sheetView>
  </sheetViews>
  <sheetFormatPr defaultColWidth="9.140625" defaultRowHeight="15" x14ac:dyDescent="0.25"/>
  <cols>
    <col min="1" max="1" width="3.7109375" style="782" customWidth="1"/>
    <col min="2" max="2" width="14.42578125" style="899" customWidth="1"/>
    <col min="3" max="3" width="3.7109375" style="899" customWidth="1"/>
    <col min="4" max="4" width="20.5703125" style="267" customWidth="1"/>
    <col min="5" max="5" width="3.28515625" style="267" customWidth="1"/>
    <col min="6" max="17" width="9.28515625" style="267" customWidth="1"/>
    <col min="18" max="16384" width="9.140625" style="267"/>
  </cols>
  <sheetData>
    <row r="1" spans="1:23" x14ac:dyDescent="0.25">
      <c r="D1" s="900"/>
      <c r="E1" s="900"/>
      <c r="F1" s="900"/>
      <c r="G1" s="900"/>
      <c r="H1" s="900"/>
      <c r="I1" s="900"/>
      <c r="J1" s="900"/>
      <c r="K1" s="900"/>
      <c r="L1" s="900"/>
      <c r="M1" s="900"/>
      <c r="N1" s="900"/>
      <c r="O1" s="900"/>
    </row>
    <row r="2" spans="1:23" ht="14.45" customHeight="1" x14ac:dyDescent="0.25">
      <c r="A2" s="782">
        <v>1</v>
      </c>
      <c r="B2" s="782" t="s">
        <v>0</v>
      </c>
      <c r="C2" s="782">
        <v>41</v>
      </c>
      <c r="D2" s="4048" t="s">
        <v>401</v>
      </c>
      <c r="E2" s="4049"/>
      <c r="F2" s="4049"/>
      <c r="G2" s="4049"/>
      <c r="H2" s="4049"/>
      <c r="I2" s="4049"/>
      <c r="J2" s="4049"/>
      <c r="K2" s="4049"/>
      <c r="L2" s="4049"/>
      <c r="M2" s="4049"/>
      <c r="N2" s="4049"/>
      <c r="O2" s="4049"/>
      <c r="P2" s="4049"/>
      <c r="Q2" s="4049"/>
      <c r="R2" s="4049"/>
      <c r="S2" s="4049"/>
      <c r="T2" s="4050"/>
      <c r="U2" s="901"/>
      <c r="V2" s="901"/>
      <c r="W2" s="901"/>
    </row>
    <row r="3" spans="1:23" x14ac:dyDescent="0.25">
      <c r="A3" s="782">
        <v>2</v>
      </c>
      <c r="B3" s="782" t="s">
        <v>2</v>
      </c>
      <c r="C3" s="782"/>
      <c r="D3" s="4048" t="s">
        <v>402</v>
      </c>
      <c r="E3" s="4049"/>
      <c r="F3" s="4049"/>
      <c r="G3" s="4049"/>
      <c r="H3" s="4049"/>
      <c r="I3" s="4049"/>
      <c r="J3" s="4049"/>
      <c r="K3" s="4049"/>
      <c r="L3" s="4049"/>
      <c r="M3" s="4049"/>
      <c r="N3" s="4049"/>
      <c r="O3" s="4049"/>
      <c r="P3" s="4049"/>
      <c r="Q3" s="4049"/>
      <c r="R3" s="4049"/>
      <c r="S3" s="4049"/>
      <c r="T3" s="4050"/>
    </row>
    <row r="4" spans="1:23" ht="15" customHeight="1" x14ac:dyDescent="0.25">
      <c r="A4" s="782">
        <v>3</v>
      </c>
      <c r="B4" s="782" t="s">
        <v>4</v>
      </c>
      <c r="C4" s="782"/>
      <c r="D4" s="4048" t="s">
        <v>403</v>
      </c>
      <c r="E4" s="4049"/>
      <c r="F4" s="4049"/>
      <c r="G4" s="4049"/>
      <c r="H4" s="4049"/>
      <c r="I4" s="4049"/>
      <c r="J4" s="4049"/>
      <c r="K4" s="4049"/>
      <c r="L4" s="4049"/>
      <c r="M4" s="4049"/>
      <c r="N4" s="4049"/>
      <c r="O4" s="4049"/>
      <c r="P4" s="4049"/>
      <c r="Q4" s="4049"/>
      <c r="R4" s="4049"/>
      <c r="S4" s="4049"/>
      <c r="T4" s="4050"/>
    </row>
    <row r="5" spans="1:23" x14ac:dyDescent="0.25">
      <c r="A5" s="267"/>
      <c r="B5" s="267"/>
      <c r="C5" s="902"/>
    </row>
    <row r="6" spans="1:23" x14ac:dyDescent="0.25">
      <c r="A6" s="782">
        <v>5</v>
      </c>
      <c r="B6" s="902" t="s">
        <v>5</v>
      </c>
      <c r="D6" s="123" t="s">
        <v>40</v>
      </c>
      <c r="E6" s="123"/>
      <c r="F6" s="123" t="s">
        <v>404</v>
      </c>
      <c r="G6" s="123"/>
      <c r="H6" s="123"/>
      <c r="I6" s="123"/>
      <c r="J6" s="123"/>
      <c r="K6" s="123"/>
      <c r="L6" s="123"/>
      <c r="M6" s="122"/>
      <c r="N6" s="122"/>
      <c r="O6" s="122"/>
      <c r="P6" s="903"/>
    </row>
    <row r="7" spans="1:23" x14ac:dyDescent="0.25">
      <c r="D7" s="904"/>
      <c r="E7" s="905" t="s">
        <v>69</v>
      </c>
      <c r="F7" s="906">
        <v>2002</v>
      </c>
      <c r="G7" s="906">
        <v>2003</v>
      </c>
      <c r="H7" s="906">
        <v>2004</v>
      </c>
      <c r="I7" s="906">
        <v>2005</v>
      </c>
      <c r="J7" s="906">
        <v>2006</v>
      </c>
      <c r="K7" s="906">
        <v>2007</v>
      </c>
      <c r="L7" s="907">
        <v>2008</v>
      </c>
      <c r="M7" s="908">
        <v>2009</v>
      </c>
      <c r="N7" s="908">
        <v>2010</v>
      </c>
      <c r="O7" s="908">
        <v>2011</v>
      </c>
      <c r="P7" s="909">
        <v>2012</v>
      </c>
      <c r="Q7" s="909">
        <v>2013</v>
      </c>
      <c r="R7" s="909">
        <v>2014</v>
      </c>
      <c r="S7" s="909">
        <v>2015</v>
      </c>
      <c r="T7" s="910">
        <v>2016</v>
      </c>
      <c r="U7" s="911"/>
      <c r="V7" s="911"/>
    </row>
    <row r="8" spans="1:23" x14ac:dyDescent="0.25">
      <c r="B8" s="4234"/>
      <c r="C8" s="912"/>
      <c r="D8" s="239" t="s">
        <v>405</v>
      </c>
      <c r="E8" s="239"/>
      <c r="F8" s="913">
        <v>7.3</v>
      </c>
      <c r="G8" s="913">
        <v>11.6</v>
      </c>
      <c r="H8" s="913">
        <v>11.5</v>
      </c>
      <c r="I8" s="913">
        <v>14.3</v>
      </c>
      <c r="J8" s="913">
        <v>16</v>
      </c>
      <c r="K8" s="913">
        <v>16.100000000000001</v>
      </c>
      <c r="L8" s="914">
        <v>16.7</v>
      </c>
      <c r="M8" s="915">
        <v>29.8</v>
      </c>
      <c r="N8" s="915">
        <v>32.200000000000003</v>
      </c>
      <c r="O8" s="915">
        <v>34.5</v>
      </c>
      <c r="P8" s="916">
        <v>36.5</v>
      </c>
      <c r="Q8" s="916">
        <v>44.7</v>
      </c>
      <c r="R8" s="916">
        <v>48.3</v>
      </c>
      <c r="S8" s="916">
        <v>45.7</v>
      </c>
      <c r="T8" s="917">
        <v>40.4</v>
      </c>
      <c r="U8" s="261"/>
      <c r="V8" s="261"/>
    </row>
    <row r="9" spans="1:23" ht="13.5" customHeight="1" x14ac:dyDescent="0.25">
      <c r="B9" s="4234"/>
      <c r="C9" s="918"/>
      <c r="D9" s="239" t="s">
        <v>406</v>
      </c>
      <c r="E9" s="239"/>
      <c r="F9" s="913"/>
      <c r="G9" s="913"/>
      <c r="H9" s="913"/>
      <c r="I9" s="913"/>
      <c r="J9" s="913"/>
      <c r="K9" s="913"/>
      <c r="L9" s="914"/>
      <c r="M9" s="915">
        <v>60</v>
      </c>
      <c r="N9" s="915">
        <v>64</v>
      </c>
      <c r="O9" s="915">
        <v>66</v>
      </c>
      <c r="P9" s="916">
        <v>67.387887449672405</v>
      </c>
      <c r="Q9" s="916">
        <v>71.275629761606439</v>
      </c>
      <c r="R9" s="916">
        <v>73.400000000000006</v>
      </c>
      <c r="S9" s="916">
        <v>70.8</v>
      </c>
      <c r="T9" s="919">
        <v>70.599999999999994</v>
      </c>
      <c r="U9" s="261"/>
      <c r="V9" s="261"/>
    </row>
    <row r="10" spans="1:23" ht="13.5" customHeight="1" x14ac:dyDescent="0.25">
      <c r="B10" s="920"/>
      <c r="C10" s="918"/>
      <c r="D10" s="239" t="s">
        <v>407</v>
      </c>
      <c r="E10" s="239"/>
      <c r="F10" s="913">
        <v>39.299999999999997</v>
      </c>
      <c r="G10" s="913">
        <v>48.1</v>
      </c>
      <c r="H10" s="913">
        <v>51.9</v>
      </c>
      <c r="I10" s="913">
        <v>59.3</v>
      </c>
      <c r="J10" s="913">
        <v>61.6</v>
      </c>
      <c r="K10" s="913">
        <v>60.2</v>
      </c>
      <c r="L10" s="914">
        <v>63.2</v>
      </c>
      <c r="M10" s="915">
        <v>78.3</v>
      </c>
      <c r="N10" s="915">
        <v>83.4</v>
      </c>
      <c r="O10" s="915">
        <v>84.8</v>
      </c>
      <c r="P10" s="916">
        <v>84.6</v>
      </c>
      <c r="Q10" s="916">
        <v>85.3</v>
      </c>
      <c r="R10" s="916">
        <v>87.2</v>
      </c>
      <c r="S10" s="916">
        <v>85.8</v>
      </c>
      <c r="T10" s="919">
        <v>88.1</v>
      </c>
      <c r="U10" s="261"/>
      <c r="V10" s="261"/>
    </row>
    <row r="11" spans="1:23" ht="13.5" customHeight="1" x14ac:dyDescent="0.25">
      <c r="B11" s="920"/>
      <c r="C11" s="918"/>
      <c r="D11" s="239" t="s">
        <v>408</v>
      </c>
      <c r="F11" s="921"/>
      <c r="G11" s="921"/>
      <c r="H11" s="921"/>
      <c r="I11" s="921"/>
      <c r="J11" s="921"/>
      <c r="K11" s="921"/>
      <c r="L11" s="921"/>
      <c r="M11" s="915">
        <v>94.791239000000004</v>
      </c>
      <c r="N11" s="915">
        <v>96.097873000000007</v>
      </c>
      <c r="O11" s="915">
        <v>95.457340000000002</v>
      </c>
      <c r="P11" s="915">
        <v>95.849581000000001</v>
      </c>
      <c r="Q11" s="915">
        <v>95.459684999999993</v>
      </c>
      <c r="R11" s="915">
        <v>95.888360000000006</v>
      </c>
      <c r="S11" s="915">
        <v>98.2</v>
      </c>
      <c r="T11" s="919">
        <v>97.3</v>
      </c>
      <c r="U11" s="261"/>
      <c r="V11" s="261"/>
    </row>
    <row r="12" spans="1:23" x14ac:dyDescent="0.25">
      <c r="B12" s="920"/>
      <c r="C12" s="922"/>
      <c r="D12" s="123" t="s">
        <v>409</v>
      </c>
      <c r="E12" s="123"/>
      <c r="F12" s="923"/>
      <c r="G12" s="923"/>
      <c r="H12" s="923"/>
      <c r="I12" s="923"/>
      <c r="J12" s="923"/>
      <c r="K12" s="923"/>
      <c r="L12" s="923"/>
      <c r="M12" s="924">
        <v>122.8</v>
      </c>
      <c r="N12" s="924">
        <v>113.2</v>
      </c>
      <c r="O12" s="924">
        <v>112.1</v>
      </c>
      <c r="P12" s="925">
        <v>111.6502232873722</v>
      </c>
      <c r="Q12" s="925">
        <v>104.64002801243709</v>
      </c>
      <c r="R12" s="925">
        <v>101.4</v>
      </c>
      <c r="S12" s="925">
        <v>108.2</v>
      </c>
      <c r="T12" s="926">
        <v>95.4</v>
      </c>
      <c r="U12" s="261"/>
      <c r="V12" s="261"/>
    </row>
    <row r="13" spans="1:23" x14ac:dyDescent="0.25">
      <c r="B13" s="920"/>
      <c r="C13" s="922"/>
      <c r="D13" s="122"/>
      <c r="E13" s="122"/>
      <c r="F13" s="772"/>
      <c r="G13" s="772"/>
      <c r="H13" s="772"/>
      <c r="I13" s="772"/>
      <c r="J13" s="772"/>
      <c r="K13" s="772"/>
      <c r="L13" s="772"/>
      <c r="M13" s="772"/>
      <c r="N13" s="772"/>
      <c r="O13" s="772"/>
      <c r="Q13" s="927"/>
      <c r="R13" s="928"/>
    </row>
    <row r="14" spans="1:23" hidden="1" x14ac:dyDescent="0.25">
      <c r="B14" s="920"/>
      <c r="C14" s="922"/>
      <c r="D14" s="122"/>
      <c r="E14" s="122"/>
      <c r="F14" s="772"/>
      <c r="G14" s="772"/>
      <c r="H14" s="772"/>
      <c r="I14" s="772"/>
      <c r="J14" s="772"/>
      <c r="K14" s="772"/>
      <c r="L14" s="772"/>
      <c r="M14" s="772"/>
      <c r="N14" s="772"/>
      <c r="O14" s="772"/>
      <c r="Q14" s="927"/>
      <c r="R14" s="928"/>
    </row>
    <row r="15" spans="1:23" hidden="1" x14ac:dyDescent="0.25">
      <c r="B15" s="920"/>
      <c r="C15" s="922"/>
      <c r="D15" s="123" t="s">
        <v>67</v>
      </c>
      <c r="E15" s="123"/>
      <c r="F15" s="123" t="s">
        <v>410</v>
      </c>
      <c r="G15" s="929"/>
      <c r="H15" s="929"/>
      <c r="I15" s="123"/>
      <c r="J15" s="123"/>
      <c r="K15" s="123"/>
      <c r="L15" s="122"/>
      <c r="M15" s="122"/>
      <c r="N15" s="122"/>
      <c r="O15" s="122"/>
      <c r="Q15" s="927"/>
      <c r="R15" s="928"/>
    </row>
    <row r="16" spans="1:23" ht="21.75" hidden="1" customHeight="1" x14ac:dyDescent="0.25">
      <c r="B16" s="920"/>
      <c r="C16" s="922"/>
      <c r="D16" s="17"/>
      <c r="E16" s="17"/>
      <c r="F16" s="4268" t="s">
        <v>411</v>
      </c>
      <c r="G16" s="4269"/>
      <c r="H16" s="4270"/>
      <c r="I16" s="4268" t="s">
        <v>412</v>
      </c>
      <c r="J16" s="4269"/>
      <c r="K16" s="4270"/>
      <c r="L16" s="772"/>
      <c r="M16" s="772"/>
      <c r="N16" s="772"/>
      <c r="O16" s="772"/>
      <c r="Q16" s="927"/>
      <c r="R16" s="928"/>
    </row>
    <row r="17" spans="1:18" ht="21.6" hidden="1" customHeight="1" x14ac:dyDescent="0.25">
      <c r="B17" s="920"/>
      <c r="C17" s="922"/>
      <c r="D17" s="18"/>
      <c r="E17" s="18"/>
      <c r="F17" s="18">
        <v>2009</v>
      </c>
      <c r="G17" s="930">
        <v>2010</v>
      </c>
      <c r="H17" s="930">
        <v>2011</v>
      </c>
      <c r="I17" s="30">
        <v>2009</v>
      </c>
      <c r="J17" s="931">
        <v>2010</v>
      </c>
      <c r="K17" s="931">
        <v>2011</v>
      </c>
      <c r="L17" s="772"/>
      <c r="M17" s="772"/>
      <c r="N17" s="772"/>
      <c r="O17" s="772"/>
      <c r="Q17" s="927"/>
      <c r="R17" s="928"/>
    </row>
    <row r="18" spans="1:18" hidden="1" x14ac:dyDescent="0.25">
      <c r="B18" s="920"/>
      <c r="C18" s="922"/>
      <c r="D18" s="932" t="s">
        <v>19</v>
      </c>
      <c r="E18" s="932"/>
      <c r="F18" s="933">
        <v>66.2</v>
      </c>
      <c r="G18" s="934">
        <v>69.8</v>
      </c>
      <c r="H18" s="934">
        <v>71.400000000000006</v>
      </c>
      <c r="I18" s="935">
        <v>147.30000000000001</v>
      </c>
      <c r="J18" s="936">
        <v>134.4</v>
      </c>
      <c r="K18" s="936">
        <v>111.86137247341033</v>
      </c>
      <c r="L18" s="772"/>
      <c r="M18" s="772"/>
      <c r="N18" s="772"/>
      <c r="O18" s="772"/>
      <c r="Q18" s="927"/>
      <c r="R18" s="928"/>
    </row>
    <row r="19" spans="1:18" hidden="1" x14ac:dyDescent="0.25">
      <c r="B19" s="920"/>
      <c r="C19" s="922"/>
      <c r="D19" s="932" t="s">
        <v>20</v>
      </c>
      <c r="E19" s="932"/>
      <c r="F19" s="933">
        <v>7.1</v>
      </c>
      <c r="G19" s="934">
        <v>63.2</v>
      </c>
      <c r="H19" s="934">
        <v>70.900000000000006</v>
      </c>
      <c r="I19" s="935">
        <v>118.7</v>
      </c>
      <c r="J19" s="936">
        <v>93.1</v>
      </c>
      <c r="K19" s="936">
        <v>106.52713575706071</v>
      </c>
      <c r="L19" s="772"/>
      <c r="M19" s="772"/>
      <c r="N19" s="772"/>
      <c r="O19" s="772"/>
      <c r="Q19" s="927"/>
      <c r="R19" s="928"/>
    </row>
    <row r="20" spans="1:18" hidden="1" x14ac:dyDescent="0.25">
      <c r="B20" s="920"/>
      <c r="C20" s="922"/>
      <c r="D20" s="932" t="s">
        <v>21</v>
      </c>
      <c r="E20" s="932"/>
      <c r="F20" s="933">
        <v>68.3</v>
      </c>
      <c r="G20" s="934">
        <v>70.099999999999994</v>
      </c>
      <c r="H20" s="934">
        <v>73.400000000000006</v>
      </c>
      <c r="I20" s="935">
        <v>121.1</v>
      </c>
      <c r="J20" s="936">
        <v>112</v>
      </c>
      <c r="K20" s="936">
        <v>94.110006680386121</v>
      </c>
      <c r="L20" s="772"/>
      <c r="M20" s="772"/>
      <c r="N20" s="772"/>
      <c r="O20" s="772"/>
      <c r="Q20" s="927"/>
      <c r="R20" s="928"/>
    </row>
    <row r="21" spans="1:18" hidden="1" x14ac:dyDescent="0.25">
      <c r="D21" s="932" t="s">
        <v>22</v>
      </c>
      <c r="E21" s="932"/>
      <c r="F21" s="933">
        <v>50</v>
      </c>
      <c r="G21" s="934">
        <v>59.6</v>
      </c>
      <c r="H21" s="934">
        <v>53.1</v>
      </c>
      <c r="I21" s="935">
        <v>134.19999999999999</v>
      </c>
      <c r="J21" s="936">
        <v>111.7</v>
      </c>
      <c r="K21" s="936">
        <v>139.75708248778136</v>
      </c>
      <c r="L21" s="120"/>
      <c r="M21" s="120"/>
      <c r="N21" s="120"/>
      <c r="O21" s="120"/>
      <c r="Q21" s="927"/>
      <c r="R21" s="928"/>
    </row>
    <row r="22" spans="1:18" hidden="1" x14ac:dyDescent="0.25">
      <c r="D22" s="932" t="s">
        <v>23</v>
      </c>
      <c r="E22" s="932"/>
      <c r="F22" s="933">
        <v>67.8</v>
      </c>
      <c r="G22" s="934">
        <v>70.599999999999994</v>
      </c>
      <c r="H22" s="934">
        <v>75.5</v>
      </c>
      <c r="I22" s="935">
        <v>106.2</v>
      </c>
      <c r="J22" s="936">
        <v>120</v>
      </c>
      <c r="K22" s="936">
        <v>113.68510549561589</v>
      </c>
      <c r="L22" s="120"/>
      <c r="M22" s="120"/>
      <c r="N22" s="120"/>
      <c r="O22" s="120"/>
      <c r="Q22" s="927"/>
      <c r="R22" s="928"/>
    </row>
    <row r="23" spans="1:18" hidden="1" x14ac:dyDescent="0.25">
      <c r="D23" s="932" t="s">
        <v>24</v>
      </c>
      <c r="E23" s="932"/>
      <c r="F23" s="933">
        <v>59.7</v>
      </c>
      <c r="G23" s="934">
        <v>58.8</v>
      </c>
      <c r="H23" s="934">
        <v>66.3</v>
      </c>
      <c r="I23" s="935">
        <v>123.1</v>
      </c>
      <c r="J23" s="936">
        <v>105.9</v>
      </c>
      <c r="K23" s="936">
        <v>104.27941598012262</v>
      </c>
      <c r="L23" s="120"/>
      <c r="M23" s="120"/>
      <c r="N23" s="120"/>
      <c r="O23" s="120"/>
      <c r="Q23" s="927"/>
      <c r="R23" s="928"/>
    </row>
    <row r="24" spans="1:18" hidden="1" x14ac:dyDescent="0.25">
      <c r="D24" s="932" t="s">
        <v>26</v>
      </c>
      <c r="E24" s="932"/>
      <c r="F24" s="933">
        <v>48.6</v>
      </c>
      <c r="G24" s="934">
        <v>56</v>
      </c>
      <c r="H24" s="934">
        <v>62.8</v>
      </c>
      <c r="I24" s="935">
        <v>98.4</v>
      </c>
      <c r="J24" s="936">
        <v>90.7</v>
      </c>
      <c r="K24" s="936">
        <v>109.11354786418659</v>
      </c>
      <c r="L24" s="120"/>
      <c r="M24" s="120"/>
      <c r="N24" s="120"/>
      <c r="O24" s="120"/>
      <c r="Q24" s="927"/>
      <c r="R24" s="928"/>
    </row>
    <row r="25" spans="1:18" hidden="1" x14ac:dyDescent="0.25">
      <c r="D25" s="932" t="s">
        <v>25</v>
      </c>
      <c r="E25" s="932"/>
      <c r="F25" s="933">
        <v>55.5</v>
      </c>
      <c r="G25" s="934">
        <v>51.5</v>
      </c>
      <c r="H25" s="934">
        <v>54.2</v>
      </c>
      <c r="I25" s="935">
        <v>106.1</v>
      </c>
      <c r="J25" s="936">
        <v>161.4</v>
      </c>
      <c r="K25" s="936">
        <v>130.32400695853869</v>
      </c>
      <c r="L25" s="120"/>
      <c r="M25" s="120"/>
      <c r="N25" s="120"/>
      <c r="O25" s="120"/>
      <c r="Q25" s="927"/>
      <c r="R25" s="928"/>
    </row>
    <row r="26" spans="1:18" hidden="1" x14ac:dyDescent="0.25">
      <c r="D26" s="932" t="s">
        <v>27</v>
      </c>
      <c r="E26" s="932"/>
      <c r="F26" s="933">
        <v>55.2</v>
      </c>
      <c r="G26" s="934">
        <v>59.9</v>
      </c>
      <c r="H26" s="934">
        <v>62.4</v>
      </c>
      <c r="I26" s="935">
        <v>111.7</v>
      </c>
      <c r="J26" s="936">
        <v>106.3</v>
      </c>
      <c r="K26" s="936">
        <v>94.4536169782954</v>
      </c>
      <c r="L26" s="120"/>
      <c r="M26" s="120"/>
      <c r="N26" s="120"/>
      <c r="O26" s="120"/>
      <c r="Q26" s="927"/>
      <c r="R26" s="928"/>
    </row>
    <row r="27" spans="1:18" hidden="1" x14ac:dyDescent="0.25">
      <c r="C27" s="922"/>
      <c r="D27" s="937" t="s">
        <v>28</v>
      </c>
      <c r="E27" s="937"/>
      <c r="F27" s="938">
        <v>60</v>
      </c>
      <c r="G27" s="939">
        <v>64</v>
      </c>
      <c r="H27" s="939">
        <v>66</v>
      </c>
      <c r="I27" s="940">
        <v>122.8</v>
      </c>
      <c r="J27" s="941">
        <v>113.2</v>
      </c>
      <c r="K27" s="941">
        <v>112.08118283120878</v>
      </c>
      <c r="L27" s="120"/>
      <c r="M27" s="120"/>
      <c r="N27" s="120"/>
      <c r="O27" s="120"/>
      <c r="Q27" s="927"/>
      <c r="R27" s="928"/>
    </row>
    <row r="28" spans="1:18" hidden="1" x14ac:dyDescent="0.25">
      <c r="C28" s="922"/>
      <c r="D28" s="932"/>
      <c r="E28" s="932"/>
      <c r="F28" s="933"/>
      <c r="G28" s="933"/>
      <c r="H28" s="933"/>
      <c r="I28" s="933"/>
      <c r="J28" s="933"/>
      <c r="K28" s="933"/>
      <c r="L28" s="120"/>
      <c r="M28" s="120"/>
      <c r="N28" s="120"/>
      <c r="O28" s="120"/>
      <c r="Q28" s="927"/>
      <c r="R28" s="928"/>
    </row>
    <row r="29" spans="1:18" x14ac:dyDescent="0.25">
      <c r="A29" s="267"/>
      <c r="B29" s="267"/>
      <c r="C29" s="782"/>
      <c r="D29" s="932"/>
      <c r="E29" s="900"/>
      <c r="F29" s="120"/>
      <c r="G29" s="120"/>
      <c r="H29" s="120"/>
      <c r="I29" s="120"/>
      <c r="J29" s="120"/>
      <c r="K29" s="120"/>
      <c r="L29" s="120"/>
      <c r="M29" s="120"/>
      <c r="N29" s="120"/>
      <c r="O29" s="120"/>
    </row>
    <row r="30" spans="1:18" x14ac:dyDescent="0.25">
      <c r="A30" s="782">
        <v>6</v>
      </c>
      <c r="B30" s="782" t="s">
        <v>90</v>
      </c>
      <c r="D30" s="900"/>
      <c r="E30" s="900"/>
      <c r="F30" s="120"/>
      <c r="G30" s="120"/>
      <c r="H30" s="120"/>
      <c r="I30" s="120"/>
      <c r="J30" s="120"/>
      <c r="K30" s="120"/>
      <c r="L30" s="120"/>
      <c r="M30" s="120"/>
      <c r="N30" s="120"/>
      <c r="O30" s="120"/>
    </row>
    <row r="31" spans="1:18" x14ac:dyDescent="0.25">
      <c r="B31" s="920"/>
      <c r="D31" s="900"/>
      <c r="E31" s="900"/>
      <c r="F31" s="120"/>
      <c r="G31" s="120"/>
      <c r="H31" s="120"/>
      <c r="I31" s="120"/>
      <c r="J31" s="120"/>
      <c r="K31" s="120"/>
      <c r="L31" s="120"/>
      <c r="M31" s="120"/>
      <c r="N31" s="120"/>
      <c r="O31" s="120"/>
    </row>
    <row r="32" spans="1:18" x14ac:dyDescent="0.25">
      <c r="B32" s="920"/>
      <c r="D32" s="900"/>
      <c r="E32" s="900"/>
      <c r="F32" s="120"/>
      <c r="G32" s="120"/>
      <c r="H32" s="120"/>
      <c r="I32" s="120"/>
      <c r="J32" s="120"/>
      <c r="K32" s="120"/>
      <c r="L32" s="120"/>
      <c r="M32" s="120"/>
      <c r="N32" s="120"/>
      <c r="O32" s="120"/>
    </row>
    <row r="33" spans="1:20" x14ac:dyDescent="0.25">
      <c r="B33" s="920"/>
      <c r="D33" s="900"/>
      <c r="E33" s="900"/>
      <c r="F33" s="120"/>
      <c r="G33" s="120"/>
      <c r="H33" s="120"/>
      <c r="I33" s="120"/>
      <c r="J33" s="120"/>
      <c r="K33" s="120"/>
      <c r="L33" s="120"/>
      <c r="M33" s="120"/>
      <c r="N33" s="120"/>
      <c r="O33" s="120"/>
    </row>
    <row r="34" spans="1:20" x14ac:dyDescent="0.25">
      <c r="B34" s="920"/>
      <c r="D34" s="900"/>
      <c r="E34" s="900"/>
      <c r="F34" s="120"/>
      <c r="G34" s="120"/>
      <c r="H34" s="120"/>
      <c r="I34" s="120"/>
      <c r="J34" s="120"/>
      <c r="K34" s="120"/>
      <c r="L34" s="120"/>
      <c r="M34" s="120"/>
      <c r="N34" s="120"/>
      <c r="O34" s="120"/>
    </row>
    <row r="35" spans="1:20" x14ac:dyDescent="0.25">
      <c r="B35" s="920"/>
      <c r="D35" s="900"/>
      <c r="E35" s="900"/>
      <c r="F35" s="120"/>
      <c r="G35" s="120"/>
      <c r="H35" s="120"/>
      <c r="I35" s="120"/>
      <c r="J35" s="120"/>
      <c r="K35" s="120"/>
      <c r="L35" s="120"/>
      <c r="M35" s="120"/>
      <c r="N35" s="120"/>
      <c r="O35" s="120"/>
    </row>
    <row r="36" spans="1:20" x14ac:dyDescent="0.25">
      <c r="B36" s="920"/>
      <c r="D36" s="900"/>
      <c r="E36" s="900"/>
      <c r="F36" s="120"/>
      <c r="G36" s="120"/>
      <c r="H36" s="120"/>
      <c r="I36" s="120"/>
      <c r="J36" s="120"/>
      <c r="K36" s="120"/>
      <c r="L36" s="120"/>
      <c r="M36" s="120"/>
      <c r="N36" s="120"/>
      <c r="O36" s="120"/>
    </row>
    <row r="37" spans="1:20" x14ac:dyDescent="0.25">
      <c r="B37" s="920"/>
      <c r="D37" s="900"/>
      <c r="E37" s="900"/>
      <c r="F37" s="120"/>
      <c r="G37" s="120"/>
      <c r="H37" s="120"/>
      <c r="I37" s="120"/>
      <c r="J37" s="120"/>
      <c r="K37" s="120"/>
      <c r="L37" s="120"/>
      <c r="M37" s="120"/>
      <c r="N37" s="120"/>
      <c r="O37" s="120"/>
    </row>
    <row r="38" spans="1:20" x14ac:dyDescent="0.25">
      <c r="B38" s="920"/>
      <c r="D38" s="900"/>
      <c r="E38" s="900"/>
      <c r="F38" s="120"/>
      <c r="G38" s="120"/>
      <c r="H38" s="120"/>
      <c r="I38" s="120"/>
      <c r="J38" s="120"/>
      <c r="K38" s="120"/>
      <c r="L38" s="120"/>
      <c r="M38" s="120"/>
      <c r="N38" s="120"/>
      <c r="O38" s="120"/>
    </row>
    <row r="39" spans="1:20" x14ac:dyDescent="0.25">
      <c r="B39" s="920"/>
      <c r="D39" s="900"/>
      <c r="E39" s="900"/>
      <c r="F39" s="120"/>
      <c r="G39" s="120"/>
      <c r="H39" s="120"/>
      <c r="I39" s="120"/>
      <c r="J39" s="120"/>
      <c r="K39" s="120"/>
      <c r="L39" s="120"/>
      <c r="M39" s="120"/>
      <c r="N39" s="120"/>
      <c r="O39" s="120"/>
    </row>
    <row r="40" spans="1:20" x14ac:dyDescent="0.25">
      <c r="D40" s="900"/>
      <c r="E40" s="900"/>
      <c r="F40" s="120"/>
      <c r="G40" s="120"/>
      <c r="H40" s="120"/>
      <c r="I40" s="120"/>
      <c r="J40" s="120"/>
      <c r="K40" s="120"/>
      <c r="L40" s="120"/>
      <c r="M40" s="120"/>
      <c r="N40" s="120"/>
      <c r="O40" s="120"/>
    </row>
    <row r="41" spans="1:20" x14ac:dyDescent="0.25">
      <c r="D41" s="900"/>
      <c r="E41" s="900"/>
      <c r="F41" s="120"/>
      <c r="G41" s="120"/>
      <c r="H41" s="120"/>
      <c r="I41" s="120"/>
      <c r="J41" s="120"/>
      <c r="K41" s="120"/>
      <c r="L41" s="120"/>
      <c r="M41" s="120"/>
      <c r="N41" s="120"/>
      <c r="O41" s="120"/>
    </row>
    <row r="42" spans="1:20" x14ac:dyDescent="0.25">
      <c r="B42" s="942"/>
      <c r="C42" s="942"/>
      <c r="D42" s="900"/>
      <c r="E42" s="900"/>
      <c r="F42" s="120"/>
      <c r="G42" s="120"/>
      <c r="H42" s="120"/>
      <c r="I42" s="120"/>
      <c r="J42" s="120"/>
      <c r="K42" s="120"/>
      <c r="L42" s="120"/>
      <c r="M42" s="120"/>
      <c r="N42" s="120"/>
      <c r="O42" s="120"/>
    </row>
    <row r="43" spans="1:20" x14ac:dyDescent="0.25">
      <c r="D43" s="900"/>
      <c r="E43" s="900"/>
      <c r="F43" s="120"/>
      <c r="G43" s="120"/>
      <c r="H43" s="120"/>
      <c r="I43" s="120"/>
      <c r="J43" s="120"/>
      <c r="K43" s="120"/>
      <c r="L43" s="120"/>
      <c r="M43" s="120"/>
      <c r="N43" s="120"/>
      <c r="O43" s="120"/>
    </row>
    <row r="44" spans="1:20" x14ac:dyDescent="0.25">
      <c r="D44" s="900"/>
      <c r="E44" s="900"/>
      <c r="F44" s="120"/>
      <c r="G44" s="120"/>
      <c r="H44" s="120"/>
      <c r="I44" s="120"/>
      <c r="J44" s="120"/>
      <c r="K44" s="120"/>
      <c r="L44" s="120"/>
      <c r="M44" s="120"/>
      <c r="N44" s="120"/>
      <c r="O44" s="120"/>
    </row>
    <row r="45" spans="1:20" x14ac:dyDescent="0.25">
      <c r="D45" s="900"/>
      <c r="E45" s="900"/>
      <c r="F45" s="900"/>
      <c r="G45" s="900"/>
      <c r="H45" s="900"/>
      <c r="I45" s="900"/>
      <c r="J45" s="900"/>
      <c r="K45" s="900"/>
      <c r="L45" s="900"/>
      <c r="M45" s="900"/>
      <c r="N45" s="900"/>
      <c r="O45" s="900"/>
    </row>
    <row r="46" spans="1:20" x14ac:dyDescent="0.25">
      <c r="D46" s="900"/>
      <c r="E46" s="900"/>
      <c r="F46" s="900"/>
      <c r="G46" s="900"/>
      <c r="H46" s="900"/>
      <c r="I46" s="900"/>
      <c r="J46" s="900"/>
      <c r="K46" s="900"/>
      <c r="L46" s="900"/>
      <c r="M46" s="900"/>
      <c r="N46" s="900"/>
      <c r="O46" s="900"/>
    </row>
    <row r="47" spans="1:20" x14ac:dyDescent="0.25">
      <c r="D47" s="900"/>
      <c r="E47" s="900"/>
      <c r="F47" s="900"/>
      <c r="G47" s="900"/>
      <c r="H47" s="900"/>
      <c r="I47" s="900"/>
      <c r="J47" s="900"/>
      <c r="K47" s="900"/>
      <c r="L47" s="900"/>
      <c r="M47" s="900"/>
      <c r="N47" s="900"/>
      <c r="O47" s="900"/>
    </row>
    <row r="48" spans="1:20" ht="16.5" customHeight="1" x14ac:dyDescent="0.25">
      <c r="A48" s="782">
        <v>7</v>
      </c>
      <c r="B48" s="782" t="s">
        <v>29</v>
      </c>
      <c r="C48" s="782"/>
      <c r="D48" s="4048" t="s">
        <v>413</v>
      </c>
      <c r="E48" s="4049"/>
      <c r="F48" s="4049"/>
      <c r="G48" s="4049"/>
      <c r="H48" s="4049"/>
      <c r="I48" s="4049"/>
      <c r="J48" s="4049"/>
      <c r="K48" s="4049"/>
      <c r="L48" s="4049"/>
      <c r="M48" s="4049"/>
      <c r="N48" s="4049"/>
      <c r="O48" s="4049"/>
      <c r="P48" s="4049"/>
      <c r="Q48" s="4049"/>
      <c r="R48" s="4049"/>
      <c r="S48" s="4050"/>
      <c r="T48" s="142"/>
    </row>
    <row r="49" spans="1:20" ht="81" customHeight="1" x14ac:dyDescent="0.25">
      <c r="A49" s="818">
        <v>8</v>
      </c>
      <c r="B49" s="818" t="s">
        <v>32</v>
      </c>
      <c r="C49" s="818"/>
      <c r="D49" s="4078" t="s">
        <v>414</v>
      </c>
      <c r="E49" s="4079"/>
      <c r="F49" s="4079"/>
      <c r="G49" s="4079"/>
      <c r="H49" s="4079"/>
      <c r="I49" s="4079"/>
      <c r="J49" s="4079"/>
      <c r="K49" s="4079"/>
      <c r="L49" s="4079"/>
      <c r="M49" s="4079"/>
      <c r="N49" s="4079"/>
      <c r="O49" s="4079"/>
      <c r="P49" s="4079"/>
      <c r="Q49" s="4079"/>
      <c r="R49" s="4079"/>
      <c r="S49" s="4080"/>
      <c r="T49" s="230"/>
    </row>
    <row r="50" spans="1:20" ht="13.5" customHeight="1" x14ac:dyDescent="0.25">
      <c r="A50" s="782">
        <v>9</v>
      </c>
      <c r="B50" s="782" t="s">
        <v>31</v>
      </c>
      <c r="C50" s="782"/>
      <c r="D50" s="4072" t="s">
        <v>415</v>
      </c>
      <c r="E50" s="4073"/>
      <c r="F50" s="4073"/>
      <c r="G50" s="4073"/>
      <c r="H50" s="4073"/>
      <c r="I50" s="4073"/>
      <c r="J50" s="4073"/>
      <c r="K50" s="4073"/>
      <c r="L50" s="4073"/>
      <c r="M50" s="4073"/>
      <c r="N50" s="4073"/>
      <c r="O50" s="4073"/>
      <c r="P50" s="4073"/>
      <c r="Q50" s="4073"/>
      <c r="R50" s="4073"/>
      <c r="S50" s="4074"/>
      <c r="T50" s="229"/>
    </row>
    <row r="51" spans="1:20" s="943" customFormat="1" ht="30" customHeight="1" x14ac:dyDescent="0.2">
      <c r="A51" s="1">
        <v>10</v>
      </c>
      <c r="B51" s="1" t="s">
        <v>95</v>
      </c>
      <c r="C51" s="2"/>
      <c r="D51" s="4227" t="s">
        <v>416</v>
      </c>
      <c r="E51" s="4228"/>
      <c r="F51" s="4228"/>
      <c r="G51" s="4228"/>
      <c r="H51" s="4228"/>
      <c r="I51" s="4228"/>
      <c r="J51" s="4228"/>
      <c r="K51" s="4228"/>
      <c r="L51" s="4228"/>
      <c r="M51" s="4228"/>
      <c r="N51" s="4228"/>
      <c r="O51" s="4228"/>
      <c r="P51" s="4228"/>
      <c r="Q51" s="4228"/>
      <c r="R51" s="4228"/>
      <c r="S51" s="4229"/>
      <c r="T51" s="691"/>
    </row>
    <row r="52" spans="1:20" x14ac:dyDescent="0.25">
      <c r="B52" s="782"/>
      <c r="D52" s="51"/>
      <c r="E52" s="51"/>
      <c r="F52" s="51"/>
      <c r="G52" s="51"/>
      <c r="H52" s="51"/>
      <c r="I52" s="51"/>
      <c r="J52" s="51"/>
      <c r="K52" s="51"/>
      <c r="L52" s="51"/>
      <c r="M52" s="51"/>
      <c r="N52" s="51"/>
      <c r="O52" s="51"/>
      <c r="P52" s="903"/>
    </row>
    <row r="53" spans="1:20" x14ac:dyDescent="0.25">
      <c r="B53" s="782"/>
      <c r="D53" s="51"/>
      <c r="E53" s="51"/>
      <c r="F53" s="51"/>
      <c r="G53" s="51"/>
      <c r="H53" s="51"/>
      <c r="I53" s="51"/>
      <c r="J53" s="51"/>
      <c r="K53" s="51"/>
      <c r="L53" s="51"/>
      <c r="M53" s="51"/>
      <c r="N53" s="51"/>
      <c r="O53" s="51"/>
      <c r="P53" s="903"/>
    </row>
    <row r="54" spans="1:20" x14ac:dyDescent="0.25">
      <c r="B54" s="782"/>
      <c r="D54" s="51"/>
      <c r="E54" s="51"/>
      <c r="F54" s="51"/>
      <c r="G54" s="51"/>
      <c r="H54" s="51"/>
      <c r="I54" s="51"/>
      <c r="J54" s="51"/>
      <c r="K54" s="51"/>
      <c r="L54" s="51"/>
      <c r="M54" s="51"/>
      <c r="N54" s="51"/>
      <c r="O54" s="51"/>
      <c r="P54" s="903"/>
    </row>
    <row r="55" spans="1:20" x14ac:dyDescent="0.25">
      <c r="B55" s="782"/>
      <c r="D55" s="51"/>
      <c r="E55" s="51"/>
      <c r="F55" s="51"/>
      <c r="G55" s="51"/>
      <c r="H55" s="51"/>
      <c r="I55" s="51"/>
      <c r="J55" s="51"/>
      <c r="K55" s="51"/>
      <c r="L55" s="51"/>
      <c r="M55" s="51"/>
      <c r="N55" s="51"/>
      <c r="O55" s="51"/>
      <c r="P55" s="903"/>
    </row>
    <row r="56" spans="1:20" x14ac:dyDescent="0.25">
      <c r="B56" s="782"/>
      <c r="D56" s="51"/>
      <c r="E56" s="51"/>
      <c r="F56" s="51"/>
      <c r="G56" s="51"/>
      <c r="H56" s="51"/>
      <c r="I56" s="51"/>
      <c r="J56" s="51"/>
      <c r="K56" s="51"/>
      <c r="L56" s="51"/>
      <c r="M56" s="51"/>
      <c r="N56" s="51"/>
      <c r="O56" s="51"/>
      <c r="P56" s="903"/>
    </row>
  </sheetData>
  <mergeCells count="10">
    <mergeCell ref="D50:S50"/>
    <mergeCell ref="D51:S51"/>
    <mergeCell ref="D2:T2"/>
    <mergeCell ref="D3:T3"/>
    <mergeCell ref="D4:T4"/>
    <mergeCell ref="B8:B9"/>
    <mergeCell ref="F16:H16"/>
    <mergeCell ref="I16:K16"/>
    <mergeCell ref="D48:S48"/>
    <mergeCell ref="D49:S49"/>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47"/>
  <sheetViews>
    <sheetView showGridLines="0" view="pageBreakPreview" zoomScaleNormal="100" zoomScaleSheetLayoutView="100" workbookViewId="0">
      <selection activeCell="A47" sqref="A47"/>
    </sheetView>
  </sheetViews>
  <sheetFormatPr defaultColWidth="9.140625" defaultRowHeight="15" x14ac:dyDescent="0.25"/>
  <cols>
    <col min="1" max="1" width="3.7109375" style="782" customWidth="1"/>
    <col min="2" max="2" width="14.42578125" style="899" customWidth="1"/>
    <col min="3" max="3" width="3.7109375" style="899" customWidth="1"/>
    <col min="4" max="4" width="21" style="267" customWidth="1"/>
    <col min="5" max="12" width="8.7109375" style="267" customWidth="1"/>
    <col min="13" max="13" width="11.42578125" style="267" customWidth="1"/>
    <col min="14" max="14" width="8.7109375" style="267" customWidth="1"/>
    <col min="15" max="21" width="9.140625" style="267"/>
    <col min="22" max="22" width="13.28515625" style="267" customWidth="1"/>
    <col min="23" max="268" width="9.140625" style="267"/>
    <col min="269" max="269" width="3.7109375" style="267" customWidth="1"/>
    <col min="270" max="270" width="14.42578125" style="267" customWidth="1"/>
    <col min="271" max="271" width="3.7109375" style="267" customWidth="1"/>
    <col min="272" max="272" width="21.5703125" style="267" customWidth="1"/>
    <col min="273" max="282" width="8.7109375" style="267" customWidth="1"/>
    <col min="283" max="524" width="9.140625" style="267"/>
    <col min="525" max="525" width="3.7109375" style="267" customWidth="1"/>
    <col min="526" max="526" width="14.42578125" style="267" customWidth="1"/>
    <col min="527" max="527" width="3.7109375" style="267" customWidth="1"/>
    <col min="528" max="528" width="21.5703125" style="267" customWidth="1"/>
    <col min="529" max="538" width="8.7109375" style="267" customWidth="1"/>
    <col min="539" max="780" width="9.140625" style="267"/>
    <col min="781" max="781" width="3.7109375" style="267" customWidth="1"/>
    <col min="782" max="782" width="14.42578125" style="267" customWidth="1"/>
    <col min="783" max="783" width="3.7109375" style="267" customWidth="1"/>
    <col min="784" max="784" width="21.5703125" style="267" customWidth="1"/>
    <col min="785" max="794" width="8.7109375" style="267" customWidth="1"/>
    <col min="795" max="1036" width="9.140625" style="267"/>
    <col min="1037" max="1037" width="3.7109375" style="267" customWidth="1"/>
    <col min="1038" max="1038" width="14.42578125" style="267" customWidth="1"/>
    <col min="1039" max="1039" width="3.7109375" style="267" customWidth="1"/>
    <col min="1040" max="1040" width="21.5703125" style="267" customWidth="1"/>
    <col min="1041" max="1050" width="8.7109375" style="267" customWidth="1"/>
    <col min="1051" max="1292" width="9.140625" style="267"/>
    <col min="1293" max="1293" width="3.7109375" style="267" customWidth="1"/>
    <col min="1294" max="1294" width="14.42578125" style="267" customWidth="1"/>
    <col min="1295" max="1295" width="3.7109375" style="267" customWidth="1"/>
    <col min="1296" max="1296" width="21.5703125" style="267" customWidth="1"/>
    <col min="1297" max="1306" width="8.7109375" style="267" customWidth="1"/>
    <col min="1307" max="1548" width="9.140625" style="267"/>
    <col min="1549" max="1549" width="3.7109375" style="267" customWidth="1"/>
    <col min="1550" max="1550" width="14.42578125" style="267" customWidth="1"/>
    <col min="1551" max="1551" width="3.7109375" style="267" customWidth="1"/>
    <col min="1552" max="1552" width="21.5703125" style="267" customWidth="1"/>
    <col min="1553" max="1562" width="8.7109375" style="267" customWidth="1"/>
    <col min="1563" max="1804" width="9.140625" style="267"/>
    <col min="1805" max="1805" width="3.7109375" style="267" customWidth="1"/>
    <col min="1806" max="1806" width="14.42578125" style="267" customWidth="1"/>
    <col min="1807" max="1807" width="3.7109375" style="267" customWidth="1"/>
    <col min="1808" max="1808" width="21.5703125" style="267" customWidth="1"/>
    <col min="1809" max="1818" width="8.7109375" style="267" customWidth="1"/>
    <col min="1819" max="2060" width="9.140625" style="267"/>
    <col min="2061" max="2061" width="3.7109375" style="267" customWidth="1"/>
    <col min="2062" max="2062" width="14.42578125" style="267" customWidth="1"/>
    <col min="2063" max="2063" width="3.7109375" style="267" customWidth="1"/>
    <col min="2064" max="2064" width="21.5703125" style="267" customWidth="1"/>
    <col min="2065" max="2074" width="8.7109375" style="267" customWidth="1"/>
    <col min="2075" max="2316" width="9.140625" style="267"/>
    <col min="2317" max="2317" width="3.7109375" style="267" customWidth="1"/>
    <col min="2318" max="2318" width="14.42578125" style="267" customWidth="1"/>
    <col min="2319" max="2319" width="3.7109375" style="267" customWidth="1"/>
    <col min="2320" max="2320" width="21.5703125" style="267" customWidth="1"/>
    <col min="2321" max="2330" width="8.7109375" style="267" customWidth="1"/>
    <col min="2331" max="2572" width="9.140625" style="267"/>
    <col min="2573" max="2573" width="3.7109375" style="267" customWidth="1"/>
    <col min="2574" max="2574" width="14.42578125" style="267" customWidth="1"/>
    <col min="2575" max="2575" width="3.7109375" style="267" customWidth="1"/>
    <col min="2576" max="2576" width="21.5703125" style="267" customWidth="1"/>
    <col min="2577" max="2586" width="8.7109375" style="267" customWidth="1"/>
    <col min="2587" max="2828" width="9.140625" style="267"/>
    <col min="2829" max="2829" width="3.7109375" style="267" customWidth="1"/>
    <col min="2830" max="2830" width="14.42578125" style="267" customWidth="1"/>
    <col min="2831" max="2831" width="3.7109375" style="267" customWidth="1"/>
    <col min="2832" max="2832" width="21.5703125" style="267" customWidth="1"/>
    <col min="2833" max="2842" width="8.7109375" style="267" customWidth="1"/>
    <col min="2843" max="3084" width="9.140625" style="267"/>
    <col min="3085" max="3085" width="3.7109375" style="267" customWidth="1"/>
    <col min="3086" max="3086" width="14.42578125" style="267" customWidth="1"/>
    <col min="3087" max="3087" width="3.7109375" style="267" customWidth="1"/>
    <col min="3088" max="3088" width="21.5703125" style="267" customWidth="1"/>
    <col min="3089" max="3098" width="8.7109375" style="267" customWidth="1"/>
    <col min="3099" max="3340" width="9.140625" style="267"/>
    <col min="3341" max="3341" width="3.7109375" style="267" customWidth="1"/>
    <col min="3342" max="3342" width="14.42578125" style="267" customWidth="1"/>
    <col min="3343" max="3343" width="3.7109375" style="267" customWidth="1"/>
    <col min="3344" max="3344" width="21.5703125" style="267" customWidth="1"/>
    <col min="3345" max="3354" width="8.7109375" style="267" customWidth="1"/>
    <col min="3355" max="3596" width="9.140625" style="267"/>
    <col min="3597" max="3597" width="3.7109375" style="267" customWidth="1"/>
    <col min="3598" max="3598" width="14.42578125" style="267" customWidth="1"/>
    <col min="3599" max="3599" width="3.7109375" style="267" customWidth="1"/>
    <col min="3600" max="3600" width="21.5703125" style="267" customWidth="1"/>
    <col min="3601" max="3610" width="8.7109375" style="267" customWidth="1"/>
    <col min="3611" max="3852" width="9.140625" style="267"/>
    <col min="3853" max="3853" width="3.7109375" style="267" customWidth="1"/>
    <col min="3854" max="3854" width="14.42578125" style="267" customWidth="1"/>
    <col min="3855" max="3855" width="3.7109375" style="267" customWidth="1"/>
    <col min="3856" max="3856" width="21.5703125" style="267" customWidth="1"/>
    <col min="3857" max="3866" width="8.7109375" style="267" customWidth="1"/>
    <col min="3867" max="4108" width="9.140625" style="267"/>
    <col min="4109" max="4109" width="3.7109375" style="267" customWidth="1"/>
    <col min="4110" max="4110" width="14.42578125" style="267" customWidth="1"/>
    <col min="4111" max="4111" width="3.7109375" style="267" customWidth="1"/>
    <col min="4112" max="4112" width="21.5703125" style="267" customWidth="1"/>
    <col min="4113" max="4122" width="8.7109375" style="267" customWidth="1"/>
    <col min="4123" max="4364" width="9.140625" style="267"/>
    <col min="4365" max="4365" width="3.7109375" style="267" customWidth="1"/>
    <col min="4366" max="4366" width="14.42578125" style="267" customWidth="1"/>
    <col min="4367" max="4367" width="3.7109375" style="267" customWidth="1"/>
    <col min="4368" max="4368" width="21.5703125" style="267" customWidth="1"/>
    <col min="4369" max="4378" width="8.7109375" style="267" customWidth="1"/>
    <col min="4379" max="4620" width="9.140625" style="267"/>
    <col min="4621" max="4621" width="3.7109375" style="267" customWidth="1"/>
    <col min="4622" max="4622" width="14.42578125" style="267" customWidth="1"/>
    <col min="4623" max="4623" width="3.7109375" style="267" customWidth="1"/>
    <col min="4624" max="4624" width="21.5703125" style="267" customWidth="1"/>
    <col min="4625" max="4634" width="8.7109375" style="267" customWidth="1"/>
    <col min="4635" max="4876" width="9.140625" style="267"/>
    <col min="4877" max="4877" width="3.7109375" style="267" customWidth="1"/>
    <col min="4878" max="4878" width="14.42578125" style="267" customWidth="1"/>
    <col min="4879" max="4879" width="3.7109375" style="267" customWidth="1"/>
    <col min="4880" max="4880" width="21.5703125" style="267" customWidth="1"/>
    <col min="4881" max="4890" width="8.7109375" style="267" customWidth="1"/>
    <col min="4891" max="5132" width="9.140625" style="267"/>
    <col min="5133" max="5133" width="3.7109375" style="267" customWidth="1"/>
    <col min="5134" max="5134" width="14.42578125" style="267" customWidth="1"/>
    <col min="5135" max="5135" width="3.7109375" style="267" customWidth="1"/>
    <col min="5136" max="5136" width="21.5703125" style="267" customWidth="1"/>
    <col min="5137" max="5146" width="8.7109375" style="267" customWidth="1"/>
    <col min="5147" max="5388" width="9.140625" style="267"/>
    <col min="5389" max="5389" width="3.7109375" style="267" customWidth="1"/>
    <col min="5390" max="5390" width="14.42578125" style="267" customWidth="1"/>
    <col min="5391" max="5391" width="3.7109375" style="267" customWidth="1"/>
    <col min="5392" max="5392" width="21.5703125" style="267" customWidth="1"/>
    <col min="5393" max="5402" width="8.7109375" style="267" customWidth="1"/>
    <col min="5403" max="5644" width="9.140625" style="267"/>
    <col min="5645" max="5645" width="3.7109375" style="267" customWidth="1"/>
    <col min="5646" max="5646" width="14.42578125" style="267" customWidth="1"/>
    <col min="5647" max="5647" width="3.7109375" style="267" customWidth="1"/>
    <col min="5648" max="5648" width="21.5703125" style="267" customWidth="1"/>
    <col min="5649" max="5658" width="8.7109375" style="267" customWidth="1"/>
    <col min="5659" max="5900" width="9.140625" style="267"/>
    <col min="5901" max="5901" width="3.7109375" style="267" customWidth="1"/>
    <col min="5902" max="5902" width="14.42578125" style="267" customWidth="1"/>
    <col min="5903" max="5903" width="3.7109375" style="267" customWidth="1"/>
    <col min="5904" max="5904" width="21.5703125" style="267" customWidth="1"/>
    <col min="5905" max="5914" width="8.7109375" style="267" customWidth="1"/>
    <col min="5915" max="6156" width="9.140625" style="267"/>
    <col min="6157" max="6157" width="3.7109375" style="267" customWidth="1"/>
    <col min="6158" max="6158" width="14.42578125" style="267" customWidth="1"/>
    <col min="6159" max="6159" width="3.7109375" style="267" customWidth="1"/>
    <col min="6160" max="6160" width="21.5703125" style="267" customWidth="1"/>
    <col min="6161" max="6170" width="8.7109375" style="267" customWidth="1"/>
    <col min="6171" max="6412" width="9.140625" style="267"/>
    <col min="6413" max="6413" width="3.7109375" style="267" customWidth="1"/>
    <col min="6414" max="6414" width="14.42578125" style="267" customWidth="1"/>
    <col min="6415" max="6415" width="3.7109375" style="267" customWidth="1"/>
    <col min="6416" max="6416" width="21.5703125" style="267" customWidth="1"/>
    <col min="6417" max="6426" width="8.7109375" style="267" customWidth="1"/>
    <col min="6427" max="6668" width="9.140625" style="267"/>
    <col min="6669" max="6669" width="3.7109375" style="267" customWidth="1"/>
    <col min="6670" max="6670" width="14.42578125" style="267" customWidth="1"/>
    <col min="6671" max="6671" width="3.7109375" style="267" customWidth="1"/>
    <col min="6672" max="6672" width="21.5703125" style="267" customWidth="1"/>
    <col min="6673" max="6682" width="8.7109375" style="267" customWidth="1"/>
    <col min="6683" max="6924" width="9.140625" style="267"/>
    <col min="6925" max="6925" width="3.7109375" style="267" customWidth="1"/>
    <col min="6926" max="6926" width="14.42578125" style="267" customWidth="1"/>
    <col min="6927" max="6927" width="3.7109375" style="267" customWidth="1"/>
    <col min="6928" max="6928" width="21.5703125" style="267" customWidth="1"/>
    <col min="6929" max="6938" width="8.7109375" style="267" customWidth="1"/>
    <col min="6939" max="7180" width="9.140625" style="267"/>
    <col min="7181" max="7181" width="3.7109375" style="267" customWidth="1"/>
    <col min="7182" max="7182" width="14.42578125" style="267" customWidth="1"/>
    <col min="7183" max="7183" width="3.7109375" style="267" customWidth="1"/>
    <col min="7184" max="7184" width="21.5703125" style="267" customWidth="1"/>
    <col min="7185" max="7194" width="8.7109375" style="267" customWidth="1"/>
    <col min="7195" max="7436" width="9.140625" style="267"/>
    <col min="7437" max="7437" width="3.7109375" style="267" customWidth="1"/>
    <col min="7438" max="7438" width="14.42578125" style="267" customWidth="1"/>
    <col min="7439" max="7439" width="3.7109375" style="267" customWidth="1"/>
    <col min="7440" max="7440" width="21.5703125" style="267" customWidth="1"/>
    <col min="7441" max="7450" width="8.7109375" style="267" customWidth="1"/>
    <col min="7451" max="7692" width="9.140625" style="267"/>
    <col min="7693" max="7693" width="3.7109375" style="267" customWidth="1"/>
    <col min="7694" max="7694" width="14.42578125" style="267" customWidth="1"/>
    <col min="7695" max="7695" width="3.7109375" style="267" customWidth="1"/>
    <col min="7696" max="7696" width="21.5703125" style="267" customWidth="1"/>
    <col min="7697" max="7706" width="8.7109375" style="267" customWidth="1"/>
    <col min="7707" max="7948" width="9.140625" style="267"/>
    <col min="7949" max="7949" width="3.7109375" style="267" customWidth="1"/>
    <col min="7950" max="7950" width="14.42578125" style="267" customWidth="1"/>
    <col min="7951" max="7951" width="3.7109375" style="267" customWidth="1"/>
    <col min="7952" max="7952" width="21.5703125" style="267" customWidth="1"/>
    <col min="7953" max="7962" width="8.7109375" style="267" customWidth="1"/>
    <col min="7963" max="8204" width="9.140625" style="267"/>
    <col min="8205" max="8205" width="3.7109375" style="267" customWidth="1"/>
    <col min="8206" max="8206" width="14.42578125" style="267" customWidth="1"/>
    <col min="8207" max="8207" width="3.7109375" style="267" customWidth="1"/>
    <col min="8208" max="8208" width="21.5703125" style="267" customWidth="1"/>
    <col min="8209" max="8218" width="8.7109375" style="267" customWidth="1"/>
    <col min="8219" max="8460" width="9.140625" style="267"/>
    <col min="8461" max="8461" width="3.7109375" style="267" customWidth="1"/>
    <col min="8462" max="8462" width="14.42578125" style="267" customWidth="1"/>
    <col min="8463" max="8463" width="3.7109375" style="267" customWidth="1"/>
    <col min="8464" max="8464" width="21.5703125" style="267" customWidth="1"/>
    <col min="8465" max="8474" width="8.7109375" style="267" customWidth="1"/>
    <col min="8475" max="8716" width="9.140625" style="267"/>
    <col min="8717" max="8717" width="3.7109375" style="267" customWidth="1"/>
    <col min="8718" max="8718" width="14.42578125" style="267" customWidth="1"/>
    <col min="8719" max="8719" width="3.7109375" style="267" customWidth="1"/>
    <col min="8720" max="8720" width="21.5703125" style="267" customWidth="1"/>
    <col min="8721" max="8730" width="8.7109375" style="267" customWidth="1"/>
    <col min="8731" max="8972" width="9.140625" style="267"/>
    <col min="8973" max="8973" width="3.7109375" style="267" customWidth="1"/>
    <col min="8974" max="8974" width="14.42578125" style="267" customWidth="1"/>
    <col min="8975" max="8975" width="3.7109375" style="267" customWidth="1"/>
    <col min="8976" max="8976" width="21.5703125" style="267" customWidth="1"/>
    <col min="8977" max="8986" width="8.7109375" style="267" customWidth="1"/>
    <col min="8987" max="9228" width="9.140625" style="267"/>
    <col min="9229" max="9229" width="3.7109375" style="267" customWidth="1"/>
    <col min="9230" max="9230" width="14.42578125" style="267" customWidth="1"/>
    <col min="9231" max="9231" width="3.7109375" style="267" customWidth="1"/>
    <col min="9232" max="9232" width="21.5703125" style="267" customWidth="1"/>
    <col min="9233" max="9242" width="8.7109375" style="267" customWidth="1"/>
    <col min="9243" max="9484" width="9.140625" style="267"/>
    <col min="9485" max="9485" width="3.7109375" style="267" customWidth="1"/>
    <col min="9486" max="9486" width="14.42578125" style="267" customWidth="1"/>
    <col min="9487" max="9487" width="3.7109375" style="267" customWidth="1"/>
    <col min="9488" max="9488" width="21.5703125" style="267" customWidth="1"/>
    <col min="9489" max="9498" width="8.7109375" style="267" customWidth="1"/>
    <col min="9499" max="9740" width="9.140625" style="267"/>
    <col min="9741" max="9741" width="3.7109375" style="267" customWidth="1"/>
    <col min="9742" max="9742" width="14.42578125" style="267" customWidth="1"/>
    <col min="9743" max="9743" width="3.7109375" style="267" customWidth="1"/>
    <col min="9744" max="9744" width="21.5703125" style="267" customWidth="1"/>
    <col min="9745" max="9754" width="8.7109375" style="267" customWidth="1"/>
    <col min="9755" max="9996" width="9.140625" style="267"/>
    <col min="9997" max="9997" width="3.7109375" style="267" customWidth="1"/>
    <col min="9998" max="9998" width="14.42578125" style="267" customWidth="1"/>
    <col min="9999" max="9999" width="3.7109375" style="267" customWidth="1"/>
    <col min="10000" max="10000" width="21.5703125" style="267" customWidth="1"/>
    <col min="10001" max="10010" width="8.7109375" style="267" customWidth="1"/>
    <col min="10011" max="10252" width="9.140625" style="267"/>
    <col min="10253" max="10253" width="3.7109375" style="267" customWidth="1"/>
    <col min="10254" max="10254" width="14.42578125" style="267" customWidth="1"/>
    <col min="10255" max="10255" width="3.7109375" style="267" customWidth="1"/>
    <col min="10256" max="10256" width="21.5703125" style="267" customWidth="1"/>
    <col min="10257" max="10266" width="8.7109375" style="267" customWidth="1"/>
    <col min="10267" max="10508" width="9.140625" style="267"/>
    <col min="10509" max="10509" width="3.7109375" style="267" customWidth="1"/>
    <col min="10510" max="10510" width="14.42578125" style="267" customWidth="1"/>
    <col min="10511" max="10511" width="3.7109375" style="267" customWidth="1"/>
    <col min="10512" max="10512" width="21.5703125" style="267" customWidth="1"/>
    <col min="10513" max="10522" width="8.7109375" style="267" customWidth="1"/>
    <col min="10523" max="10764" width="9.140625" style="267"/>
    <col min="10765" max="10765" width="3.7109375" style="267" customWidth="1"/>
    <col min="10766" max="10766" width="14.42578125" style="267" customWidth="1"/>
    <col min="10767" max="10767" width="3.7109375" style="267" customWidth="1"/>
    <col min="10768" max="10768" width="21.5703125" style="267" customWidth="1"/>
    <col min="10769" max="10778" width="8.7109375" style="267" customWidth="1"/>
    <col min="10779" max="11020" width="9.140625" style="267"/>
    <col min="11021" max="11021" width="3.7109375" style="267" customWidth="1"/>
    <col min="11022" max="11022" width="14.42578125" style="267" customWidth="1"/>
    <col min="11023" max="11023" width="3.7109375" style="267" customWidth="1"/>
    <col min="11024" max="11024" width="21.5703125" style="267" customWidth="1"/>
    <col min="11025" max="11034" width="8.7109375" style="267" customWidth="1"/>
    <col min="11035" max="11276" width="9.140625" style="267"/>
    <col min="11277" max="11277" width="3.7109375" style="267" customWidth="1"/>
    <col min="11278" max="11278" width="14.42578125" style="267" customWidth="1"/>
    <col min="11279" max="11279" width="3.7109375" style="267" customWidth="1"/>
    <col min="11280" max="11280" width="21.5703125" style="267" customWidth="1"/>
    <col min="11281" max="11290" width="8.7109375" style="267" customWidth="1"/>
    <col min="11291" max="11532" width="9.140625" style="267"/>
    <col min="11533" max="11533" width="3.7109375" style="267" customWidth="1"/>
    <col min="11534" max="11534" width="14.42578125" style="267" customWidth="1"/>
    <col min="11535" max="11535" width="3.7109375" style="267" customWidth="1"/>
    <col min="11536" max="11536" width="21.5703125" style="267" customWidth="1"/>
    <col min="11537" max="11546" width="8.7109375" style="267" customWidth="1"/>
    <col min="11547" max="11788" width="9.140625" style="267"/>
    <col min="11789" max="11789" width="3.7109375" style="267" customWidth="1"/>
    <col min="11790" max="11790" width="14.42578125" style="267" customWidth="1"/>
    <col min="11791" max="11791" width="3.7109375" style="267" customWidth="1"/>
    <col min="11792" max="11792" width="21.5703125" style="267" customWidth="1"/>
    <col min="11793" max="11802" width="8.7109375" style="267" customWidth="1"/>
    <col min="11803" max="12044" width="9.140625" style="267"/>
    <col min="12045" max="12045" width="3.7109375" style="267" customWidth="1"/>
    <col min="12046" max="12046" width="14.42578125" style="267" customWidth="1"/>
    <col min="12047" max="12047" width="3.7109375" style="267" customWidth="1"/>
    <col min="12048" max="12048" width="21.5703125" style="267" customWidth="1"/>
    <col min="12049" max="12058" width="8.7109375" style="267" customWidth="1"/>
    <col min="12059" max="12300" width="9.140625" style="267"/>
    <col min="12301" max="12301" width="3.7109375" style="267" customWidth="1"/>
    <col min="12302" max="12302" width="14.42578125" style="267" customWidth="1"/>
    <col min="12303" max="12303" width="3.7109375" style="267" customWidth="1"/>
    <col min="12304" max="12304" width="21.5703125" style="267" customWidth="1"/>
    <col min="12305" max="12314" width="8.7109375" style="267" customWidth="1"/>
    <col min="12315" max="12556" width="9.140625" style="267"/>
    <col min="12557" max="12557" width="3.7109375" style="267" customWidth="1"/>
    <col min="12558" max="12558" width="14.42578125" style="267" customWidth="1"/>
    <col min="12559" max="12559" width="3.7109375" style="267" customWidth="1"/>
    <col min="12560" max="12560" width="21.5703125" style="267" customWidth="1"/>
    <col min="12561" max="12570" width="8.7109375" style="267" customWidth="1"/>
    <col min="12571" max="12812" width="9.140625" style="267"/>
    <col min="12813" max="12813" width="3.7109375" style="267" customWidth="1"/>
    <col min="12814" max="12814" width="14.42578125" style="267" customWidth="1"/>
    <col min="12815" max="12815" width="3.7109375" style="267" customWidth="1"/>
    <col min="12816" max="12816" width="21.5703125" style="267" customWidth="1"/>
    <col min="12817" max="12826" width="8.7109375" style="267" customWidth="1"/>
    <col min="12827" max="13068" width="9.140625" style="267"/>
    <col min="13069" max="13069" width="3.7109375" style="267" customWidth="1"/>
    <col min="13070" max="13070" width="14.42578125" style="267" customWidth="1"/>
    <col min="13071" max="13071" width="3.7109375" style="267" customWidth="1"/>
    <col min="13072" max="13072" width="21.5703125" style="267" customWidth="1"/>
    <col min="13073" max="13082" width="8.7109375" style="267" customWidth="1"/>
    <col min="13083" max="13324" width="9.140625" style="267"/>
    <col min="13325" max="13325" width="3.7109375" style="267" customWidth="1"/>
    <col min="13326" max="13326" width="14.42578125" style="267" customWidth="1"/>
    <col min="13327" max="13327" width="3.7109375" style="267" customWidth="1"/>
    <col min="13328" max="13328" width="21.5703125" style="267" customWidth="1"/>
    <col min="13329" max="13338" width="8.7109375" style="267" customWidth="1"/>
    <col min="13339" max="13580" width="9.140625" style="267"/>
    <col min="13581" max="13581" width="3.7109375" style="267" customWidth="1"/>
    <col min="13582" max="13582" width="14.42578125" style="267" customWidth="1"/>
    <col min="13583" max="13583" width="3.7109375" style="267" customWidth="1"/>
    <col min="13584" max="13584" width="21.5703125" style="267" customWidth="1"/>
    <col min="13585" max="13594" width="8.7109375" style="267" customWidth="1"/>
    <col min="13595" max="13836" width="9.140625" style="267"/>
    <col min="13837" max="13837" width="3.7109375" style="267" customWidth="1"/>
    <col min="13838" max="13838" width="14.42578125" style="267" customWidth="1"/>
    <col min="13839" max="13839" width="3.7109375" style="267" customWidth="1"/>
    <col min="13840" max="13840" width="21.5703125" style="267" customWidth="1"/>
    <col min="13841" max="13850" width="8.7109375" style="267" customWidth="1"/>
    <col min="13851" max="14092" width="9.140625" style="267"/>
    <col min="14093" max="14093" width="3.7109375" style="267" customWidth="1"/>
    <col min="14094" max="14094" width="14.42578125" style="267" customWidth="1"/>
    <col min="14095" max="14095" width="3.7109375" style="267" customWidth="1"/>
    <col min="14096" max="14096" width="21.5703125" style="267" customWidth="1"/>
    <col min="14097" max="14106" width="8.7109375" style="267" customWidth="1"/>
    <col min="14107" max="14348" width="9.140625" style="267"/>
    <col min="14349" max="14349" width="3.7109375" style="267" customWidth="1"/>
    <col min="14350" max="14350" width="14.42578125" style="267" customWidth="1"/>
    <col min="14351" max="14351" width="3.7109375" style="267" customWidth="1"/>
    <col min="14352" max="14352" width="21.5703125" style="267" customWidth="1"/>
    <col min="14353" max="14362" width="8.7109375" style="267" customWidth="1"/>
    <col min="14363" max="14604" width="9.140625" style="267"/>
    <col min="14605" max="14605" width="3.7109375" style="267" customWidth="1"/>
    <col min="14606" max="14606" width="14.42578125" style="267" customWidth="1"/>
    <col min="14607" max="14607" width="3.7109375" style="267" customWidth="1"/>
    <col min="14608" max="14608" width="21.5703125" style="267" customWidth="1"/>
    <col min="14609" max="14618" width="8.7109375" style="267" customWidth="1"/>
    <col min="14619" max="14860" width="9.140625" style="267"/>
    <col min="14861" max="14861" width="3.7109375" style="267" customWidth="1"/>
    <col min="14862" max="14862" width="14.42578125" style="267" customWidth="1"/>
    <col min="14863" max="14863" width="3.7109375" style="267" customWidth="1"/>
    <col min="14864" max="14864" width="21.5703125" style="267" customWidth="1"/>
    <col min="14865" max="14874" width="8.7109375" style="267" customWidth="1"/>
    <col min="14875" max="15116" width="9.140625" style="267"/>
    <col min="15117" max="15117" width="3.7109375" style="267" customWidth="1"/>
    <col min="15118" max="15118" width="14.42578125" style="267" customWidth="1"/>
    <col min="15119" max="15119" width="3.7109375" style="267" customWidth="1"/>
    <col min="15120" max="15120" width="21.5703125" style="267" customWidth="1"/>
    <col min="15121" max="15130" width="8.7109375" style="267" customWidth="1"/>
    <col min="15131" max="15372" width="9.140625" style="267"/>
    <col min="15373" max="15373" width="3.7109375" style="267" customWidth="1"/>
    <col min="15374" max="15374" width="14.42578125" style="267" customWidth="1"/>
    <col min="15375" max="15375" width="3.7109375" style="267" customWidth="1"/>
    <col min="15376" max="15376" width="21.5703125" style="267" customWidth="1"/>
    <col min="15377" max="15386" width="8.7109375" style="267" customWidth="1"/>
    <col min="15387" max="15628" width="9.140625" style="267"/>
    <col min="15629" max="15629" width="3.7109375" style="267" customWidth="1"/>
    <col min="15630" max="15630" width="14.42578125" style="267" customWidth="1"/>
    <col min="15631" max="15631" width="3.7109375" style="267" customWidth="1"/>
    <col min="15632" max="15632" width="21.5703125" style="267" customWidth="1"/>
    <col min="15633" max="15642" width="8.7109375" style="267" customWidth="1"/>
    <col min="15643" max="15884" width="9.140625" style="267"/>
    <col min="15885" max="15885" width="3.7109375" style="267" customWidth="1"/>
    <col min="15886" max="15886" width="14.42578125" style="267" customWidth="1"/>
    <col min="15887" max="15887" width="3.7109375" style="267" customWidth="1"/>
    <col min="15888" max="15888" width="21.5703125" style="267" customWidth="1"/>
    <col min="15889" max="15898" width="8.7109375" style="267" customWidth="1"/>
    <col min="15899" max="16140" width="9.140625" style="267"/>
    <col min="16141" max="16141" width="3.7109375" style="267" customWidth="1"/>
    <col min="16142" max="16142" width="14.42578125" style="267" customWidth="1"/>
    <col min="16143" max="16143" width="3.7109375" style="267" customWidth="1"/>
    <col min="16144" max="16144" width="21.5703125" style="267" customWidth="1"/>
    <col min="16145" max="16154" width="8.7109375" style="267" customWidth="1"/>
    <col min="16155" max="16384" width="9.140625" style="267"/>
  </cols>
  <sheetData>
    <row r="1" spans="1:32" x14ac:dyDescent="0.25">
      <c r="D1" s="900"/>
      <c r="E1" s="900"/>
      <c r="F1" s="900"/>
      <c r="G1" s="900"/>
      <c r="H1" s="900"/>
      <c r="I1" s="900"/>
      <c r="J1" s="900"/>
      <c r="K1" s="900"/>
      <c r="L1" s="900"/>
      <c r="M1" s="900"/>
      <c r="N1" s="900"/>
      <c r="O1" s="900"/>
      <c r="P1" s="900"/>
      <c r="Q1" s="900"/>
      <c r="R1" s="900"/>
      <c r="S1" s="900"/>
      <c r="T1" s="900"/>
    </row>
    <row r="2" spans="1:32" ht="14.45" customHeight="1" x14ac:dyDescent="0.25">
      <c r="A2" s="782">
        <v>1</v>
      </c>
      <c r="B2" s="782" t="s">
        <v>0</v>
      </c>
      <c r="C2" s="782">
        <f>1+ECD!C2</f>
        <v>42</v>
      </c>
      <c r="D2" s="4097" t="s">
        <v>417</v>
      </c>
      <c r="E2" s="4098"/>
      <c r="F2" s="4098"/>
      <c r="G2" s="4098"/>
      <c r="H2" s="4098"/>
      <c r="I2" s="4098"/>
      <c r="J2" s="4098"/>
      <c r="K2" s="4098"/>
      <c r="L2" s="4098"/>
      <c r="M2" s="4098"/>
      <c r="N2" s="4098"/>
      <c r="O2" s="4098"/>
      <c r="P2" s="4098"/>
      <c r="Q2" s="4098"/>
      <c r="R2" s="4098"/>
      <c r="S2" s="4098"/>
      <c r="T2" s="4098"/>
      <c r="U2" s="4098"/>
      <c r="V2" s="4098"/>
      <c r="W2" s="4098"/>
      <c r="X2" s="4098"/>
      <c r="Y2" s="4098"/>
      <c r="Z2" s="4098"/>
      <c r="AA2" s="4098"/>
      <c r="AB2" s="4098"/>
      <c r="AC2" s="4099"/>
      <c r="AD2" s="901"/>
    </row>
    <row r="3" spans="1:32" x14ac:dyDescent="0.25">
      <c r="A3" s="782">
        <v>2</v>
      </c>
      <c r="B3" s="782" t="s">
        <v>2</v>
      </c>
      <c r="C3" s="782"/>
      <c r="D3" s="4097" t="s">
        <v>402</v>
      </c>
      <c r="E3" s="4098"/>
      <c r="F3" s="4098"/>
      <c r="G3" s="4098"/>
      <c r="H3" s="4098"/>
      <c r="I3" s="4098"/>
      <c r="J3" s="4098"/>
      <c r="K3" s="4098"/>
      <c r="L3" s="4098"/>
      <c r="M3" s="4098"/>
      <c r="N3" s="4098"/>
      <c r="O3" s="4098"/>
      <c r="P3" s="4098"/>
      <c r="Q3" s="4098"/>
      <c r="R3" s="4098"/>
      <c r="S3" s="4098"/>
      <c r="T3" s="4098"/>
      <c r="U3" s="4098"/>
      <c r="V3" s="4098"/>
      <c r="W3" s="4098"/>
      <c r="X3" s="4098"/>
      <c r="Y3" s="4098"/>
      <c r="Z3" s="4098"/>
      <c r="AA3" s="4098"/>
      <c r="AB3" s="4098"/>
      <c r="AC3" s="4099"/>
    </row>
    <row r="4" spans="1:32" ht="19.5" customHeight="1" x14ac:dyDescent="0.25">
      <c r="A4" s="782">
        <v>3</v>
      </c>
      <c r="B4" s="782" t="s">
        <v>4</v>
      </c>
      <c r="C4" s="782"/>
      <c r="D4" s="4097" t="s">
        <v>418</v>
      </c>
      <c r="E4" s="4098"/>
      <c r="F4" s="4098"/>
      <c r="G4" s="4098"/>
      <c r="H4" s="4098"/>
      <c r="I4" s="4098"/>
      <c r="J4" s="4098"/>
      <c r="K4" s="4098"/>
      <c r="L4" s="4098"/>
      <c r="M4" s="4098"/>
      <c r="N4" s="4098"/>
      <c r="O4" s="4098"/>
      <c r="P4" s="4098"/>
      <c r="Q4" s="4098"/>
      <c r="R4" s="4098"/>
      <c r="S4" s="4098"/>
      <c r="T4" s="4098"/>
      <c r="U4" s="4098"/>
      <c r="V4" s="4098"/>
      <c r="W4" s="4098"/>
      <c r="X4" s="4098"/>
      <c r="Y4" s="4098"/>
      <c r="Z4" s="4098"/>
      <c r="AA4" s="4098"/>
      <c r="AB4" s="4098"/>
      <c r="AC4" s="4099"/>
    </row>
    <row r="5" spans="1:32" x14ac:dyDescent="0.25">
      <c r="C5" s="902"/>
    </row>
    <row r="6" spans="1:32" x14ac:dyDescent="0.25">
      <c r="A6" s="782">
        <v>4</v>
      </c>
      <c r="B6" s="902" t="s">
        <v>5</v>
      </c>
      <c r="D6" s="123" t="s">
        <v>40</v>
      </c>
      <c r="E6" s="123" t="s">
        <v>419</v>
      </c>
      <c r="F6" s="123"/>
      <c r="G6" s="123"/>
      <c r="H6" s="123"/>
      <c r="I6" s="123"/>
      <c r="J6" s="123"/>
      <c r="K6" s="123"/>
      <c r="L6" s="123"/>
      <c r="M6" s="944"/>
      <c r="N6" s="944"/>
      <c r="O6" s="944"/>
      <c r="P6" s="945"/>
      <c r="Q6" s="945"/>
      <c r="R6" s="945"/>
      <c r="S6" s="945"/>
      <c r="T6" s="945"/>
    </row>
    <row r="7" spans="1:32" x14ac:dyDescent="0.25">
      <c r="D7" s="139"/>
      <c r="E7" s="946">
        <v>1999</v>
      </c>
      <c r="F7" s="946">
        <v>2000</v>
      </c>
      <c r="G7" s="946">
        <v>2001</v>
      </c>
      <c r="H7" s="946">
        <v>2002</v>
      </c>
      <c r="I7" s="908">
        <v>2003</v>
      </c>
      <c r="J7" s="908">
        <v>2004</v>
      </c>
      <c r="K7" s="908">
        <v>2005</v>
      </c>
      <c r="L7" s="908">
        <v>2006</v>
      </c>
      <c r="M7" s="908">
        <v>2007</v>
      </c>
      <c r="N7" s="908">
        <v>2008</v>
      </c>
      <c r="O7" s="908">
        <v>2009</v>
      </c>
      <c r="P7" s="908">
        <v>2010</v>
      </c>
      <c r="Q7" s="908">
        <v>2011</v>
      </c>
      <c r="R7" s="908">
        <v>2012</v>
      </c>
      <c r="S7" s="908">
        <v>2013</v>
      </c>
      <c r="T7" s="908">
        <v>2014</v>
      </c>
      <c r="U7" s="947">
        <v>2015</v>
      </c>
      <c r="V7" s="948">
        <v>2016</v>
      </c>
      <c r="W7" s="948">
        <v>2017</v>
      </c>
      <c r="X7" s="911"/>
      <c r="Y7" s="911"/>
      <c r="Z7" s="911"/>
      <c r="AA7" s="911"/>
      <c r="AB7" s="911"/>
      <c r="AC7" s="911"/>
      <c r="AD7" s="911"/>
      <c r="AE7" s="949"/>
    </row>
    <row r="8" spans="1:32" x14ac:dyDescent="0.25">
      <c r="D8" s="138" t="s">
        <v>420</v>
      </c>
      <c r="E8" s="950">
        <v>365447</v>
      </c>
      <c r="F8" s="950">
        <v>363343</v>
      </c>
      <c r="G8" s="950">
        <v>354201</v>
      </c>
      <c r="H8" s="950">
        <v>360155</v>
      </c>
      <c r="I8" s="951">
        <v>362598</v>
      </c>
      <c r="J8" s="951">
        <v>362042</v>
      </c>
      <c r="K8" s="951">
        <v>382133</v>
      </c>
      <c r="L8" s="951">
        <v>386595</v>
      </c>
      <c r="M8" s="951">
        <v>395452</v>
      </c>
      <c r="N8" s="951">
        <v>400953</v>
      </c>
      <c r="O8" s="951">
        <v>386587</v>
      </c>
      <c r="P8" s="951">
        <v>389329</v>
      </c>
      <c r="Q8" s="951">
        <v>390074</v>
      </c>
      <c r="R8" s="951">
        <v>392377</v>
      </c>
      <c r="S8" s="951">
        <v>391829</v>
      </c>
      <c r="T8" s="951">
        <v>390608</v>
      </c>
      <c r="U8" s="952">
        <v>379613</v>
      </c>
      <c r="V8" s="951">
        <v>418611</v>
      </c>
      <c r="W8" s="952">
        <v>433320</v>
      </c>
      <c r="X8" s="953"/>
      <c r="Y8" s="953"/>
      <c r="Z8" s="954"/>
      <c r="AA8" s="953"/>
      <c r="AB8" s="953"/>
      <c r="AC8" s="953"/>
      <c r="AD8" s="953"/>
      <c r="AE8" s="955"/>
      <c r="AF8" s="956"/>
    </row>
    <row r="9" spans="1:32" x14ac:dyDescent="0.25">
      <c r="D9" s="957" t="s">
        <v>421</v>
      </c>
      <c r="E9" s="950">
        <v>12313899</v>
      </c>
      <c r="F9" s="950">
        <v>11903455</v>
      </c>
      <c r="G9" s="950">
        <v>11738126</v>
      </c>
      <c r="H9" s="950">
        <v>11917017</v>
      </c>
      <c r="I9" s="951">
        <v>12038922</v>
      </c>
      <c r="J9" s="951">
        <v>12176391</v>
      </c>
      <c r="K9" s="951">
        <v>12217765</v>
      </c>
      <c r="L9" s="951">
        <v>12302236</v>
      </c>
      <c r="M9" s="951">
        <v>12410501</v>
      </c>
      <c r="N9" s="951">
        <v>12239363</v>
      </c>
      <c r="O9" s="951">
        <v>11828747</v>
      </c>
      <c r="P9" s="951">
        <v>11809355</v>
      </c>
      <c r="Q9" s="951">
        <v>11804066</v>
      </c>
      <c r="R9" s="951">
        <v>11923674</v>
      </c>
      <c r="S9" s="951">
        <v>11975844</v>
      </c>
      <c r="T9" s="951">
        <v>12117015</v>
      </c>
      <c r="U9" s="952">
        <v>12248279</v>
      </c>
      <c r="V9" s="951">
        <v>12932565</v>
      </c>
      <c r="W9" s="952">
        <v>12892273</v>
      </c>
      <c r="X9" s="953"/>
      <c r="Y9" s="953"/>
      <c r="Z9" s="953"/>
      <c r="AA9" s="953"/>
      <c r="AB9" s="953"/>
      <c r="AC9" s="953"/>
      <c r="AD9" s="953"/>
      <c r="AE9" s="955"/>
    </row>
    <row r="10" spans="1:32" x14ac:dyDescent="0.25">
      <c r="D10" s="821" t="s">
        <v>422</v>
      </c>
      <c r="E10" s="958">
        <f t="shared" ref="E10:P10" si="0">E9/E8</f>
        <v>33.695444209420245</v>
      </c>
      <c r="F10" s="958">
        <f t="shared" si="0"/>
        <v>32.760931131190091</v>
      </c>
      <c r="G10" s="958">
        <f t="shared" si="0"/>
        <v>33.139731395450603</v>
      </c>
      <c r="H10" s="958">
        <f t="shared" si="0"/>
        <v>33.088578528689034</v>
      </c>
      <c r="I10" s="959">
        <f t="shared" si="0"/>
        <v>33.201843363725118</v>
      </c>
      <c r="J10" s="960">
        <f t="shared" si="0"/>
        <v>33.63253710895421</v>
      </c>
      <c r="K10" s="959">
        <f t="shared" si="0"/>
        <v>31.972546207733956</v>
      </c>
      <c r="L10" s="959">
        <f t="shared" si="0"/>
        <v>31.822025634061486</v>
      </c>
      <c r="M10" s="959">
        <f t="shared" si="0"/>
        <v>31.383078097973964</v>
      </c>
      <c r="N10" s="959">
        <f t="shared" si="0"/>
        <v>30.525680067239801</v>
      </c>
      <c r="O10" s="959">
        <f t="shared" si="0"/>
        <v>30.597891289670891</v>
      </c>
      <c r="P10" s="959">
        <f t="shared" si="0"/>
        <v>30.332585037333462</v>
      </c>
      <c r="Q10" s="959">
        <v>30.261094048821505</v>
      </c>
      <c r="R10" s="959">
        <f>+R9/R8</f>
        <v>30.388310222056848</v>
      </c>
      <c r="S10" s="959">
        <v>30.261094048821505</v>
      </c>
      <c r="T10" s="959">
        <f>+T9/T8</f>
        <v>31.02090842993487</v>
      </c>
      <c r="U10" s="961">
        <v>32</v>
      </c>
      <c r="V10" s="959">
        <f>(V9/V8)</f>
        <v>30.893992274450504</v>
      </c>
      <c r="W10" s="959">
        <f>(W9/W8)</f>
        <v>29.752314686605743</v>
      </c>
      <c r="X10" s="962"/>
      <c r="Y10" s="962"/>
      <c r="Z10" s="962"/>
      <c r="AA10" s="962"/>
      <c r="AB10" s="962"/>
      <c r="AC10" s="962"/>
      <c r="AD10" s="962"/>
      <c r="AE10" s="963"/>
    </row>
    <row r="11" spans="1:32" x14ac:dyDescent="0.25">
      <c r="D11" s="900"/>
      <c r="E11" s="120"/>
      <c r="F11" s="120"/>
      <c r="G11" s="120"/>
      <c r="H11" s="120"/>
      <c r="I11" s="120"/>
      <c r="J11" s="120"/>
      <c r="L11" s="120"/>
      <c r="M11" s="120"/>
      <c r="N11" s="120"/>
      <c r="O11" s="900"/>
      <c r="P11" s="120"/>
      <c r="Q11" s="120"/>
      <c r="R11" s="120"/>
      <c r="S11" s="120"/>
      <c r="T11" s="120"/>
      <c r="U11" s="964"/>
      <c r="V11" s="965"/>
      <c r="W11" s="965"/>
      <c r="X11" s="965"/>
      <c r="Y11" s="965"/>
      <c r="Z11" s="965"/>
      <c r="AA11" s="965"/>
      <c r="AB11" s="965"/>
      <c r="AC11" s="965"/>
    </row>
    <row r="12" spans="1:32" x14ac:dyDescent="0.25">
      <c r="D12" s="900"/>
      <c r="E12" s="120"/>
      <c r="F12" s="120"/>
      <c r="G12" s="120"/>
      <c r="H12" s="120"/>
      <c r="I12" s="120"/>
      <c r="J12" s="120"/>
      <c r="K12" s="120"/>
      <c r="L12" s="120"/>
      <c r="M12" s="120"/>
      <c r="N12" s="120"/>
      <c r="O12" s="900"/>
      <c r="P12" s="120"/>
      <c r="Q12" s="120"/>
      <c r="R12" s="120"/>
      <c r="S12" s="120"/>
      <c r="T12" s="120"/>
      <c r="U12" s="965"/>
      <c r="V12" s="965"/>
      <c r="W12" s="965"/>
      <c r="X12" s="965"/>
      <c r="Y12" s="965"/>
      <c r="Z12" s="965"/>
      <c r="AA12" s="965"/>
      <c r="AB12" s="965"/>
      <c r="AC12" s="965"/>
    </row>
    <row r="13" spans="1:32" ht="14.25" customHeight="1" x14ac:dyDescent="0.25">
      <c r="B13" s="902"/>
      <c r="D13" s="123" t="s">
        <v>67</v>
      </c>
      <c r="E13" s="123" t="s">
        <v>423</v>
      </c>
      <c r="F13" s="966"/>
      <c r="G13" s="966"/>
      <c r="H13" s="966"/>
      <c r="I13" s="966"/>
      <c r="J13" s="966"/>
      <c r="K13" s="966"/>
      <c r="L13" s="120"/>
      <c r="M13" s="123" t="s">
        <v>67</v>
      </c>
      <c r="N13" s="123" t="s">
        <v>424</v>
      </c>
      <c r="O13" s="966"/>
      <c r="P13" s="966"/>
      <c r="Q13" s="966"/>
      <c r="R13" s="966"/>
      <c r="S13" s="966"/>
      <c r="T13" s="966"/>
      <c r="U13" s="965"/>
      <c r="V13" s="123" t="s">
        <v>67</v>
      </c>
      <c r="W13" s="123" t="s">
        <v>425</v>
      </c>
      <c r="X13" s="966"/>
      <c r="Y13" s="966"/>
      <c r="Z13" s="966"/>
      <c r="AA13" s="966"/>
      <c r="AB13" s="966"/>
      <c r="AC13" s="966"/>
      <c r="AD13" s="967"/>
      <c r="AE13" s="967"/>
    </row>
    <row r="14" spans="1:32" ht="33.75" x14ac:dyDescent="0.25">
      <c r="D14" s="968"/>
      <c r="E14" s="969" t="s">
        <v>421</v>
      </c>
      <c r="F14" s="970" t="s">
        <v>426</v>
      </c>
      <c r="G14" s="971" t="s">
        <v>427</v>
      </c>
      <c r="H14" s="972" t="s">
        <v>426</v>
      </c>
      <c r="I14" s="971" t="s">
        <v>428</v>
      </c>
      <c r="J14" s="972" t="s">
        <v>426</v>
      </c>
      <c r="K14" s="973" t="s">
        <v>422</v>
      </c>
      <c r="L14" s="120"/>
      <c r="M14" s="968"/>
      <c r="N14" s="969" t="s">
        <v>421</v>
      </c>
      <c r="O14" s="970" t="s">
        <v>426</v>
      </c>
      <c r="P14" s="971" t="s">
        <v>427</v>
      </c>
      <c r="Q14" s="972" t="s">
        <v>426</v>
      </c>
      <c r="R14" s="971" t="s">
        <v>428</v>
      </c>
      <c r="S14" s="972" t="s">
        <v>426</v>
      </c>
      <c r="T14" s="973" t="s">
        <v>422</v>
      </c>
      <c r="U14" s="965"/>
      <c r="V14" s="968"/>
      <c r="W14" s="969" t="s">
        <v>421</v>
      </c>
      <c r="X14" s="970" t="s">
        <v>426</v>
      </c>
      <c r="Y14" s="971" t="s">
        <v>427</v>
      </c>
      <c r="Z14" s="972" t="s">
        <v>426</v>
      </c>
      <c r="AA14" s="971" t="s">
        <v>428</v>
      </c>
      <c r="AB14" s="972" t="s">
        <v>426</v>
      </c>
      <c r="AC14" s="973" t="s">
        <v>422</v>
      </c>
      <c r="AD14" s="903"/>
      <c r="AE14" s="903"/>
    </row>
    <row r="15" spans="1:32" x14ac:dyDescent="0.25">
      <c r="D15" s="967" t="s">
        <v>19</v>
      </c>
      <c r="E15" s="974">
        <v>1953397</v>
      </c>
      <c r="F15" s="975">
        <f t="shared" ref="F15:F23" si="1">+E15/$E$24</f>
        <v>0.15948338538010115</v>
      </c>
      <c r="G15" s="976">
        <v>64256</v>
      </c>
      <c r="H15" s="977">
        <f t="shared" ref="H15:H20" si="2">+G15/$G$24</f>
        <v>0.16926712204271191</v>
      </c>
      <c r="I15" s="976">
        <v>5727</v>
      </c>
      <c r="J15" s="977">
        <f t="shared" ref="J15:J23" si="3">+I15/$I$24</f>
        <v>0.23957331102279858</v>
      </c>
      <c r="K15" s="978">
        <f>+E15/G15</f>
        <v>30.400227216135459</v>
      </c>
      <c r="L15" s="120"/>
      <c r="M15" s="967" t="s">
        <v>19</v>
      </c>
      <c r="N15" s="974">
        <v>1961547</v>
      </c>
      <c r="O15" s="975">
        <f t="shared" ref="O15:O20" si="4">+N15/$N$24</f>
        <v>0.15167501574513639</v>
      </c>
      <c r="P15" s="976">
        <v>61629</v>
      </c>
      <c r="Q15" s="977">
        <f t="shared" ref="Q15:Q20" si="5">+P15/$P$24</f>
        <v>0.16171558272871595</v>
      </c>
      <c r="R15" s="976">
        <v>5727</v>
      </c>
      <c r="S15" s="977">
        <f t="shared" ref="S15:S23" si="6">+R15/$R$24</f>
        <v>0.2385454848383872</v>
      </c>
      <c r="T15" s="978">
        <f>+N15/P15</f>
        <v>31.828311346930828</v>
      </c>
      <c r="U15" s="965"/>
      <c r="V15" s="967" t="s">
        <v>19</v>
      </c>
      <c r="W15" s="974">
        <v>1795563</v>
      </c>
      <c r="X15" s="975">
        <f t="shared" ref="X15:X20" si="7">+W15/$W$24</f>
        <v>0.13927435449125225</v>
      </c>
      <c r="Y15" s="976">
        <v>63459</v>
      </c>
      <c r="Z15" s="977">
        <f t="shared" ref="Z15:Z20" si="8">+Y15/$Y$24</f>
        <v>0.14644835225699251</v>
      </c>
      <c r="AA15" s="976">
        <v>5569</v>
      </c>
      <c r="AB15" s="977">
        <f t="shared" ref="AB15:AB23" si="9">+AA15/$AA$24</f>
        <v>0.2161711047278938</v>
      </c>
      <c r="AC15" s="978">
        <f>+W15/Y15</f>
        <v>28.294851794071764</v>
      </c>
    </row>
    <row r="16" spans="1:32" x14ac:dyDescent="0.25">
      <c r="D16" s="967" t="s">
        <v>20</v>
      </c>
      <c r="E16" s="974">
        <v>682704</v>
      </c>
      <c r="F16" s="975">
        <f t="shared" si="1"/>
        <v>5.5738769503862542E-2</v>
      </c>
      <c r="G16" s="976">
        <v>23661</v>
      </c>
      <c r="H16" s="977">
        <f t="shared" si="2"/>
        <v>6.2329266911301771E-2</v>
      </c>
      <c r="I16" s="976">
        <v>1332</v>
      </c>
      <c r="J16" s="977">
        <f t="shared" si="3"/>
        <v>5.5720560552185737E-2</v>
      </c>
      <c r="K16" s="978">
        <f t="shared" ref="K16:K23" si="10">+E16/G16</f>
        <v>28.85355648535565</v>
      </c>
      <c r="L16" s="120"/>
      <c r="M16" s="967" t="s">
        <v>20</v>
      </c>
      <c r="N16" s="974">
        <v>688349</v>
      </c>
      <c r="O16" s="975">
        <f t="shared" si="4"/>
        <v>5.322602283460396E-2</v>
      </c>
      <c r="P16" s="976">
        <v>23523</v>
      </c>
      <c r="Q16" s="977">
        <f t="shared" si="5"/>
        <v>6.1724766790432831E-2</v>
      </c>
      <c r="R16" s="976">
        <v>1332</v>
      </c>
      <c r="S16" s="977">
        <f t="shared" si="6"/>
        <v>5.5481506164611796E-2</v>
      </c>
      <c r="T16" s="978">
        <f t="shared" ref="T16:T23" si="11">+N16/P16</f>
        <v>29.262806614802535</v>
      </c>
      <c r="U16" s="965"/>
      <c r="V16" s="967" t="s">
        <v>20</v>
      </c>
      <c r="W16" s="974">
        <v>701487</v>
      </c>
      <c r="X16" s="975">
        <f t="shared" si="7"/>
        <v>5.4411429233619239E-2</v>
      </c>
      <c r="Y16" s="976">
        <v>23590</v>
      </c>
      <c r="Z16" s="977">
        <f t="shared" si="8"/>
        <v>5.4440136619588297E-2</v>
      </c>
      <c r="AA16" s="976">
        <v>1255</v>
      </c>
      <c r="AB16" s="977">
        <f t="shared" si="9"/>
        <v>4.8715161866314728E-2</v>
      </c>
      <c r="AC16" s="978">
        <f t="shared" ref="AC16:AC24" si="12">+W16/Y16</f>
        <v>29.736625688851209</v>
      </c>
    </row>
    <row r="17" spans="1:29" x14ac:dyDescent="0.25">
      <c r="D17" s="967" t="s">
        <v>21</v>
      </c>
      <c r="E17" s="974">
        <v>2262319</v>
      </c>
      <c r="F17" s="975">
        <f t="shared" si="1"/>
        <v>0.18470505121576672</v>
      </c>
      <c r="G17" s="976">
        <v>79354</v>
      </c>
      <c r="H17" s="977">
        <f t="shared" si="2"/>
        <v>0.20903920571740167</v>
      </c>
      <c r="I17" s="976">
        <v>2780</v>
      </c>
      <c r="J17" s="977">
        <f t="shared" si="3"/>
        <v>0.11629366241372098</v>
      </c>
      <c r="K17" s="978">
        <f t="shared" si="10"/>
        <v>28.509199284220077</v>
      </c>
      <c r="L17" s="120"/>
      <c r="M17" s="967" t="s">
        <v>21</v>
      </c>
      <c r="N17" s="974">
        <v>2326584</v>
      </c>
      <c r="O17" s="975">
        <f t="shared" si="4"/>
        <v>0.17990120289362552</v>
      </c>
      <c r="P17" s="976">
        <v>82078</v>
      </c>
      <c r="Q17" s="977">
        <f t="shared" si="5"/>
        <v>0.21537411931408179</v>
      </c>
      <c r="R17" s="976">
        <v>2780</v>
      </c>
      <c r="S17" s="977">
        <f t="shared" si="6"/>
        <v>0.1157947350883039</v>
      </c>
      <c r="T17" s="978">
        <f t="shared" si="11"/>
        <v>28.346012329735132</v>
      </c>
      <c r="U17" s="965"/>
      <c r="V17" s="967" t="s">
        <v>21</v>
      </c>
      <c r="W17" s="974">
        <v>2413225</v>
      </c>
      <c r="X17" s="975">
        <f t="shared" si="7"/>
        <v>0.18718382708774473</v>
      </c>
      <c r="Y17" s="976">
        <v>88599</v>
      </c>
      <c r="Z17" s="977">
        <f t="shared" si="8"/>
        <v>0.20446552201606202</v>
      </c>
      <c r="AA17" s="976">
        <v>3067</v>
      </c>
      <c r="AB17" s="977">
        <f t="shared" si="9"/>
        <v>0.11905131589162332</v>
      </c>
      <c r="AC17" s="978">
        <f t="shared" si="12"/>
        <v>27.237609905303671</v>
      </c>
    </row>
    <row r="18" spans="1:29" x14ac:dyDescent="0.25">
      <c r="D18" s="967" t="s">
        <v>22</v>
      </c>
      <c r="E18" s="974">
        <v>2881518</v>
      </c>
      <c r="F18" s="975">
        <f t="shared" si="1"/>
        <v>0.23525901067407104</v>
      </c>
      <c r="G18" s="976">
        <v>86493</v>
      </c>
      <c r="H18" s="977">
        <f t="shared" si="2"/>
        <v>0.22784520024340579</v>
      </c>
      <c r="I18" s="976">
        <v>6137</v>
      </c>
      <c r="J18" s="977">
        <f t="shared" si="3"/>
        <v>0.2567245346161891</v>
      </c>
      <c r="K18" s="978">
        <f t="shared" si="10"/>
        <v>33.315042835836429</v>
      </c>
      <c r="L18" s="120"/>
      <c r="M18" s="967" t="s">
        <v>22</v>
      </c>
      <c r="N18" s="974">
        <v>2877544</v>
      </c>
      <c r="O18" s="975">
        <f t="shared" si="4"/>
        <v>0.22250373379140179</v>
      </c>
      <c r="P18" s="976">
        <v>89799</v>
      </c>
      <c r="Q18" s="977">
        <f t="shared" si="5"/>
        <v>0.23563415946155158</v>
      </c>
      <c r="R18" s="976">
        <v>6137</v>
      </c>
      <c r="S18" s="977">
        <f t="shared" si="6"/>
        <v>0.25562312562479172</v>
      </c>
      <c r="T18" s="978">
        <f t="shared" si="11"/>
        <v>32.044276662323632</v>
      </c>
      <c r="U18" s="965"/>
      <c r="V18" s="967" t="s">
        <v>22</v>
      </c>
      <c r="W18" s="974">
        <v>2863316</v>
      </c>
      <c r="X18" s="975">
        <f t="shared" si="7"/>
        <v>0.22209551411143713</v>
      </c>
      <c r="Y18" s="976">
        <v>93340</v>
      </c>
      <c r="Z18" s="977">
        <f t="shared" si="8"/>
        <v>0.21540662789624296</v>
      </c>
      <c r="AA18" s="976">
        <v>6099</v>
      </c>
      <c r="AB18" s="977">
        <f t="shared" si="9"/>
        <v>0.23674404161167611</v>
      </c>
      <c r="AC18" s="978">
        <f t="shared" si="12"/>
        <v>30.676194557531606</v>
      </c>
    </row>
    <row r="19" spans="1:29" x14ac:dyDescent="0.25">
      <c r="D19" s="967" t="s">
        <v>23</v>
      </c>
      <c r="E19" s="974">
        <v>1753734</v>
      </c>
      <c r="F19" s="975">
        <f t="shared" si="1"/>
        <v>0.14318207480414188</v>
      </c>
      <c r="G19" s="976">
        <v>55930</v>
      </c>
      <c r="H19" s="977">
        <f t="shared" si="2"/>
        <v>0.14733425883728957</v>
      </c>
      <c r="I19" s="976">
        <v>4045</v>
      </c>
      <c r="J19" s="977">
        <f t="shared" si="3"/>
        <v>0.1692114620372307</v>
      </c>
      <c r="K19" s="978">
        <f t="shared" si="10"/>
        <v>31.355873413195066</v>
      </c>
      <c r="L19" s="120"/>
      <c r="M19" s="967" t="s">
        <v>23</v>
      </c>
      <c r="N19" s="974">
        <v>1765555</v>
      </c>
      <c r="O19" s="975">
        <f t="shared" si="4"/>
        <v>0.13652009481491104</v>
      </c>
      <c r="P19" s="976">
        <v>54418</v>
      </c>
      <c r="Q19" s="977">
        <f t="shared" si="5"/>
        <v>0.14279379157427938</v>
      </c>
      <c r="R19" s="976">
        <v>4045</v>
      </c>
      <c r="S19" s="977">
        <f t="shared" si="6"/>
        <v>0.16848550483172275</v>
      </c>
      <c r="T19" s="978">
        <f t="shared" si="11"/>
        <v>32.44431989415267</v>
      </c>
      <c r="U19" s="965"/>
      <c r="V19" s="967" t="s">
        <v>23</v>
      </c>
      <c r="W19" s="974">
        <v>1776467</v>
      </c>
      <c r="X19" s="975">
        <f t="shared" si="7"/>
        <v>0.13779315718803037</v>
      </c>
      <c r="Y19" s="976">
        <v>53736</v>
      </c>
      <c r="Z19" s="977">
        <f t="shared" si="8"/>
        <v>0.12400996953752423</v>
      </c>
      <c r="AA19" s="976">
        <v>4025</v>
      </c>
      <c r="AB19" s="977">
        <f t="shared" si="9"/>
        <v>0.15623786973061099</v>
      </c>
      <c r="AC19" s="978">
        <f t="shared" si="12"/>
        <v>33.059159595057316</v>
      </c>
    </row>
    <row r="20" spans="1:29" x14ac:dyDescent="0.25">
      <c r="D20" s="967" t="s">
        <v>24</v>
      </c>
      <c r="E20" s="974">
        <v>1079280</v>
      </c>
      <c r="F20" s="975">
        <f t="shared" si="1"/>
        <v>8.8116869316905669E-2</v>
      </c>
      <c r="G20" s="976">
        <v>35153</v>
      </c>
      <c r="H20" s="977">
        <f t="shared" si="2"/>
        <v>9.2602202769662786E-2</v>
      </c>
      <c r="I20" s="976">
        <v>1862</v>
      </c>
      <c r="J20" s="977">
        <f t="shared" si="3"/>
        <v>7.7891654465592972E-2</v>
      </c>
      <c r="K20" s="978">
        <f t="shared" si="10"/>
        <v>30.702358262452705</v>
      </c>
      <c r="L20" s="120"/>
      <c r="M20" s="967" t="s">
        <v>24</v>
      </c>
      <c r="N20" s="974">
        <v>1074352</v>
      </c>
      <c r="O20" s="975">
        <f t="shared" si="4"/>
        <v>8.3073388767038861E-2</v>
      </c>
      <c r="P20" s="976">
        <v>34404</v>
      </c>
      <c r="Q20" s="977">
        <f t="shared" si="5"/>
        <v>9.0276702659441876E-2</v>
      </c>
      <c r="R20" s="976">
        <v>1862</v>
      </c>
      <c r="S20" s="977">
        <f t="shared" si="6"/>
        <v>7.7557480839720097E-2</v>
      </c>
      <c r="T20" s="978">
        <f t="shared" si="11"/>
        <v>31.227531682362518</v>
      </c>
      <c r="U20" s="965"/>
      <c r="V20" s="967" t="s">
        <v>24</v>
      </c>
      <c r="W20" s="974">
        <v>1096428</v>
      </c>
      <c r="X20" s="975">
        <f t="shared" si="7"/>
        <v>8.5045360116094343E-2</v>
      </c>
      <c r="Y20" s="976">
        <v>34546</v>
      </c>
      <c r="Z20" s="977">
        <f t="shared" si="8"/>
        <v>7.9723991507430994E-2</v>
      </c>
      <c r="AA20" s="976">
        <v>1836</v>
      </c>
      <c r="AB20" s="977">
        <f t="shared" si="9"/>
        <v>7.1267758714385523E-2</v>
      </c>
      <c r="AC20" s="978">
        <f t="shared" si="12"/>
        <v>31.738204133618943</v>
      </c>
    </row>
    <row r="21" spans="1:29" x14ac:dyDescent="0.25">
      <c r="D21" s="967" t="s">
        <v>26</v>
      </c>
      <c r="E21" s="979">
        <v>290139</v>
      </c>
      <c r="F21" s="980">
        <f t="shared" si="1"/>
        <v>2.3688144269084662E-2</v>
      </c>
      <c r="G21" s="976">
        <v>9162</v>
      </c>
      <c r="H21" s="977">
        <f>+G22/$G$24</f>
        <v>6.6188460353043752E-2</v>
      </c>
      <c r="I21" s="976">
        <v>581</v>
      </c>
      <c r="J21" s="977">
        <f t="shared" si="3"/>
        <v>2.4304538799414348E-2</v>
      </c>
      <c r="K21" s="978">
        <f t="shared" si="10"/>
        <v>31.667648984937788</v>
      </c>
      <c r="M21" s="967" t="s">
        <v>26</v>
      </c>
      <c r="N21" s="979">
        <v>292595</v>
      </c>
      <c r="O21" s="975">
        <f>+N22/$N$24</f>
        <v>6.4137856643287694E-2</v>
      </c>
      <c r="P21" s="976">
        <v>9179</v>
      </c>
      <c r="Q21" s="977">
        <f>+P22/$P$24</f>
        <v>6.8395019614531816E-2</v>
      </c>
      <c r="R21" s="976">
        <v>1544</v>
      </c>
      <c r="S21" s="977">
        <f t="shared" si="6"/>
        <v>6.4311896034655119E-2</v>
      </c>
      <c r="T21" s="978">
        <f t="shared" si="11"/>
        <v>31.876566074735809</v>
      </c>
      <c r="U21" s="965"/>
      <c r="V21" s="967" t="s">
        <v>26</v>
      </c>
      <c r="W21" s="979">
        <v>292377</v>
      </c>
      <c r="X21" s="975">
        <f>+W22/$W$24</f>
        <v>6.4052010068356452E-2</v>
      </c>
      <c r="Y21" s="976">
        <v>10233</v>
      </c>
      <c r="Z21" s="977">
        <f>+Y22/$Y$24</f>
        <v>6.5152773931505578E-2</v>
      </c>
      <c r="AA21" s="976">
        <v>1556</v>
      </c>
      <c r="AB21" s="977">
        <f t="shared" si="9"/>
        <v>6.0399037341821289E-2</v>
      </c>
      <c r="AC21" s="978">
        <f t="shared" si="12"/>
        <v>28.571973028437409</v>
      </c>
    </row>
    <row r="22" spans="1:29" x14ac:dyDescent="0.25">
      <c r="D22" s="967" t="s">
        <v>25</v>
      </c>
      <c r="E22" s="979">
        <v>813873</v>
      </c>
      <c r="F22" s="980">
        <f t="shared" si="1"/>
        <v>6.6447947503481916E-2</v>
      </c>
      <c r="G22" s="976">
        <v>25126</v>
      </c>
      <c r="H22" s="977">
        <f>+G21/$G$24</f>
        <v>2.4135106015863526E-2</v>
      </c>
      <c r="I22" s="976">
        <v>1544</v>
      </c>
      <c r="J22" s="977">
        <f t="shared" si="3"/>
        <v>6.4588998117548632E-2</v>
      </c>
      <c r="K22" s="978">
        <f t="shared" si="10"/>
        <v>32.391666003343154</v>
      </c>
      <c r="M22" s="967" t="s">
        <v>25</v>
      </c>
      <c r="N22" s="979">
        <v>829467</v>
      </c>
      <c r="O22" s="975">
        <f>+N21/$N$24</f>
        <v>2.2624668810866212E-2</v>
      </c>
      <c r="P22" s="976">
        <v>26065</v>
      </c>
      <c r="Q22" s="977">
        <f>+P21/$P$24</f>
        <v>2.40858578569648E-2</v>
      </c>
      <c r="R22" s="976">
        <v>581</v>
      </c>
      <c r="S22" s="977">
        <f t="shared" si="6"/>
        <v>2.4200266577807397E-2</v>
      </c>
      <c r="T22" s="978">
        <f t="shared" si="11"/>
        <v>31.823019374640321</v>
      </c>
      <c r="U22" s="965"/>
      <c r="V22" s="967" t="s">
        <v>25</v>
      </c>
      <c r="W22" s="979">
        <v>825776</v>
      </c>
      <c r="X22" s="975">
        <f>+W21/$W$24</f>
        <v>2.2678467947428664E-2</v>
      </c>
      <c r="Y22" s="976">
        <v>28232</v>
      </c>
      <c r="Z22" s="977">
        <f>+Y21/$Y$24</f>
        <v>2.3615342010523399E-2</v>
      </c>
      <c r="AA22" s="976">
        <v>579</v>
      </c>
      <c r="AB22" s="977">
        <f t="shared" si="9"/>
        <v>2.2474963123981059E-2</v>
      </c>
      <c r="AC22" s="978">
        <f t="shared" si="12"/>
        <v>29.249645792009069</v>
      </c>
    </row>
    <row r="23" spans="1:29" x14ac:dyDescent="0.25">
      <c r="D23" s="967" t="s">
        <v>27</v>
      </c>
      <c r="E23" s="974">
        <v>1097509</v>
      </c>
      <c r="F23" s="975">
        <f t="shared" si="1"/>
        <v>8.9605160039218576E-2</v>
      </c>
      <c r="G23" s="976">
        <v>36958</v>
      </c>
      <c r="H23" s="977">
        <f>+G23/$G$24</f>
        <v>9.7357045201297107E-2</v>
      </c>
      <c r="I23" s="976">
        <v>1683</v>
      </c>
      <c r="J23" s="977">
        <f t="shared" si="3"/>
        <v>7.0403681238234678E-2</v>
      </c>
      <c r="K23" s="978">
        <f t="shared" si="10"/>
        <v>29.696114508360843</v>
      </c>
      <c r="M23" s="967" t="s">
        <v>27</v>
      </c>
      <c r="N23" s="974">
        <v>1116572</v>
      </c>
      <c r="O23" s="975">
        <f>+N23/$N$24</f>
        <v>8.6338015699128523E-2</v>
      </c>
      <c r="P23" s="976">
        <v>37516</v>
      </c>
      <c r="Q23" s="977">
        <f>+P23/$P$24</f>
        <v>9.8442645534577988E-2</v>
      </c>
      <c r="R23" s="976">
        <v>1683</v>
      </c>
      <c r="S23" s="977">
        <f t="shared" si="6"/>
        <v>7.0101632789070306E-2</v>
      </c>
      <c r="T23" s="978">
        <f t="shared" si="11"/>
        <v>29.762554643352171</v>
      </c>
      <c r="U23" s="965"/>
      <c r="V23" s="967" t="s">
        <v>27</v>
      </c>
      <c r="W23" s="974">
        <v>1127634</v>
      </c>
      <c r="X23" s="975">
        <f>+W23/$W$24</f>
        <v>8.7465879756036813E-2</v>
      </c>
      <c r="Y23" s="976">
        <v>37585</v>
      </c>
      <c r="Z23" s="977">
        <f>+Y23/$Y$24</f>
        <v>8.6737284224129976E-2</v>
      </c>
      <c r="AA23" s="976">
        <v>1776</v>
      </c>
      <c r="AB23" s="977">
        <f t="shared" si="9"/>
        <v>6.8938746991693195E-2</v>
      </c>
      <c r="AC23" s="978">
        <f t="shared" si="12"/>
        <v>30.002234934149261</v>
      </c>
    </row>
    <row r="24" spans="1:29" x14ac:dyDescent="0.25">
      <c r="D24" s="981" t="s">
        <v>429</v>
      </c>
      <c r="E24" s="982">
        <v>12248279</v>
      </c>
      <c r="F24" s="983">
        <f>SUM(F15:F20)</f>
        <v>0.86648516089484906</v>
      </c>
      <c r="G24" s="984">
        <v>379613</v>
      </c>
      <c r="H24" s="985">
        <f>SUM(H15:H20)</f>
        <v>0.90841725652177352</v>
      </c>
      <c r="I24" s="984">
        <v>23905</v>
      </c>
      <c r="J24" s="985">
        <f>SUM(J15:J20)</f>
        <v>0.91541518510771813</v>
      </c>
      <c r="K24" s="986">
        <f>+E24/G24</f>
        <v>32.265172689028034</v>
      </c>
      <c r="M24" s="981" t="s">
        <v>429</v>
      </c>
      <c r="N24" s="982">
        <f>SUM(N15:N23)</f>
        <v>12932565</v>
      </c>
      <c r="O24" s="983">
        <f>SUM(O15:O22)</f>
        <v>0.91366198430087131</v>
      </c>
      <c r="P24" s="982">
        <f>SUM(P15:P22)</f>
        <v>381095</v>
      </c>
      <c r="Q24" s="985">
        <f>SUM(Q15:Q22)</f>
        <v>1</v>
      </c>
      <c r="R24" s="982">
        <f>SUM(R15:R22)</f>
        <v>24008</v>
      </c>
      <c r="S24" s="985">
        <f>SUM(S15:S22)</f>
        <v>1.0000000000000002</v>
      </c>
      <c r="T24" s="987">
        <f>+N24/P24</f>
        <v>33.935278605072227</v>
      </c>
      <c r="U24" s="965"/>
      <c r="V24" s="981" t="s">
        <v>429</v>
      </c>
      <c r="W24" s="982">
        <f t="shared" ref="W24:AB24" si="13">SUM(W15:W23)</f>
        <v>12892273</v>
      </c>
      <c r="X24" s="983">
        <f t="shared" si="13"/>
        <v>1</v>
      </c>
      <c r="Y24" s="982">
        <f t="shared" si="13"/>
        <v>433320</v>
      </c>
      <c r="Z24" s="985">
        <f t="shared" si="13"/>
        <v>0.99999999999999989</v>
      </c>
      <c r="AA24" s="982">
        <f t="shared" si="13"/>
        <v>25762</v>
      </c>
      <c r="AB24" s="985">
        <f t="shared" si="13"/>
        <v>1</v>
      </c>
      <c r="AC24" s="987">
        <f t="shared" si="12"/>
        <v>29.752314686605743</v>
      </c>
    </row>
    <row r="25" spans="1:29" x14ac:dyDescent="0.25">
      <c r="D25" s="900"/>
      <c r="E25" s="120"/>
      <c r="F25" s="120"/>
      <c r="G25" s="120"/>
      <c r="H25" s="120"/>
      <c r="I25" s="120"/>
      <c r="J25" s="120"/>
      <c r="K25" s="120"/>
      <c r="L25" s="120"/>
      <c r="M25" s="120"/>
      <c r="N25" s="120"/>
      <c r="O25" s="900"/>
      <c r="P25" s="120"/>
      <c r="Q25" s="120"/>
      <c r="R25" s="120"/>
      <c r="S25" s="120"/>
      <c r="T25" s="120"/>
      <c r="U25" s="965"/>
      <c r="V25" s="965"/>
      <c r="W25" s="965"/>
      <c r="X25" s="965"/>
      <c r="Y25" s="965"/>
      <c r="Z25" s="965"/>
      <c r="AA25" s="965"/>
      <c r="AB25" s="965"/>
      <c r="AC25" s="965"/>
    </row>
    <row r="26" spans="1:29" x14ac:dyDescent="0.25">
      <c r="A26" s="782">
        <v>5</v>
      </c>
      <c r="B26" s="782" t="s">
        <v>90</v>
      </c>
      <c r="C26" s="782"/>
      <c r="D26" s="900"/>
      <c r="E26" s="900"/>
      <c r="F26" s="900"/>
      <c r="G26" s="900"/>
      <c r="H26" s="900"/>
      <c r="I26" s="900"/>
      <c r="J26" s="900"/>
      <c r="K26" s="900"/>
      <c r="L26" s="900"/>
      <c r="M26" s="900"/>
      <c r="N26" s="900"/>
      <c r="O26" s="900"/>
      <c r="Q26" s="900"/>
      <c r="S26" s="900"/>
      <c r="T26" s="900"/>
    </row>
    <row r="27" spans="1:29" x14ac:dyDescent="0.25">
      <c r="B27" s="782"/>
      <c r="C27" s="782"/>
      <c r="D27" s="900"/>
      <c r="E27" s="900"/>
      <c r="F27" s="900"/>
      <c r="G27" s="900"/>
      <c r="H27" s="900"/>
      <c r="I27" s="900"/>
      <c r="J27" s="900"/>
      <c r="K27" s="900"/>
      <c r="L27" s="900"/>
      <c r="M27" s="900"/>
      <c r="N27" s="900"/>
      <c r="O27" s="900"/>
      <c r="P27" s="900"/>
      <c r="Q27" s="900"/>
      <c r="R27" s="900"/>
      <c r="S27" s="900"/>
      <c r="T27" s="900"/>
    </row>
    <row r="28" spans="1:29" x14ac:dyDescent="0.25">
      <c r="B28" s="782"/>
      <c r="C28" s="782"/>
      <c r="D28" s="900"/>
      <c r="E28" s="900"/>
      <c r="F28" s="900"/>
      <c r="G28" s="900"/>
      <c r="H28" s="900"/>
      <c r="I28" s="900"/>
      <c r="J28" s="900"/>
      <c r="K28" s="900"/>
      <c r="L28" s="900"/>
      <c r="M28" s="900"/>
      <c r="N28" s="900"/>
      <c r="O28" s="900"/>
      <c r="P28" s="900"/>
      <c r="Q28" s="900"/>
      <c r="R28" s="900"/>
      <c r="S28" s="900"/>
      <c r="T28" s="900"/>
    </row>
    <row r="29" spans="1:29" x14ac:dyDescent="0.25">
      <c r="B29" s="782"/>
      <c r="C29" s="782"/>
      <c r="D29" s="900"/>
      <c r="E29" s="900"/>
      <c r="F29" s="900"/>
      <c r="G29" s="900"/>
      <c r="H29" s="900"/>
      <c r="I29" s="900"/>
      <c r="J29" s="900"/>
      <c r="K29" s="900"/>
      <c r="L29" s="900"/>
      <c r="M29" s="900"/>
      <c r="N29" s="900"/>
      <c r="O29" s="900"/>
    </row>
    <row r="30" spans="1:29" x14ac:dyDescent="0.25">
      <c r="B30" s="782"/>
      <c r="C30" s="782"/>
      <c r="D30" s="900"/>
      <c r="E30" s="900"/>
      <c r="F30" s="900"/>
      <c r="G30" s="900"/>
      <c r="H30" s="900"/>
      <c r="I30" s="900"/>
      <c r="J30" s="900"/>
      <c r="K30" s="900"/>
      <c r="L30" s="900"/>
      <c r="M30" s="900"/>
      <c r="N30" s="900"/>
      <c r="O30" s="900"/>
    </row>
    <row r="31" spans="1:29" x14ac:dyDescent="0.25">
      <c r="B31" s="782"/>
      <c r="C31" s="782"/>
      <c r="D31" s="900"/>
      <c r="E31" s="900"/>
      <c r="F31" s="900"/>
      <c r="G31" s="900"/>
      <c r="H31" s="900"/>
      <c r="I31" s="900"/>
      <c r="J31" s="900"/>
      <c r="K31" s="900"/>
      <c r="L31" s="900"/>
      <c r="M31" s="900"/>
      <c r="N31" s="900"/>
      <c r="O31" s="900"/>
    </row>
    <row r="32" spans="1:29" x14ac:dyDescent="0.25">
      <c r="B32" s="782"/>
      <c r="C32" s="782"/>
      <c r="D32" s="900"/>
      <c r="E32" s="900"/>
      <c r="F32" s="900"/>
      <c r="G32" s="900"/>
      <c r="H32" s="900"/>
      <c r="I32" s="900"/>
      <c r="J32" s="900"/>
      <c r="K32" s="900"/>
      <c r="L32" s="900"/>
      <c r="M32" s="900"/>
      <c r="N32" s="900"/>
      <c r="O32" s="900"/>
    </row>
    <row r="33" spans="1:29" x14ac:dyDescent="0.25">
      <c r="B33" s="782"/>
      <c r="C33" s="782"/>
      <c r="D33" s="900"/>
      <c r="E33" s="900"/>
      <c r="F33" s="900"/>
      <c r="G33" s="900"/>
      <c r="H33" s="900"/>
      <c r="I33" s="900"/>
      <c r="J33" s="900"/>
      <c r="K33" s="900"/>
      <c r="L33" s="900"/>
      <c r="M33" s="900"/>
      <c r="N33" s="900"/>
      <c r="O33" s="900"/>
      <c r="P33" s="900"/>
      <c r="Q33" s="900"/>
      <c r="R33" s="900"/>
      <c r="S33" s="900"/>
      <c r="T33" s="900"/>
    </row>
    <row r="34" spans="1:29" x14ac:dyDescent="0.25">
      <c r="B34" s="782"/>
      <c r="C34" s="782"/>
      <c r="D34" s="900"/>
      <c r="E34" s="900"/>
      <c r="F34" s="900"/>
      <c r="G34" s="900"/>
      <c r="H34" s="900"/>
      <c r="I34" s="900"/>
      <c r="J34" s="900"/>
      <c r="K34" s="900"/>
      <c r="L34" s="900"/>
      <c r="M34" s="900"/>
      <c r="N34" s="900"/>
      <c r="O34" s="900"/>
      <c r="P34" s="900"/>
      <c r="Q34" s="900"/>
      <c r="R34" s="900"/>
      <c r="S34" s="900"/>
      <c r="T34" s="900"/>
    </row>
    <row r="35" spans="1:29" x14ac:dyDescent="0.25">
      <c r="B35" s="782"/>
      <c r="C35" s="782"/>
      <c r="D35" s="900"/>
      <c r="E35" s="900"/>
      <c r="F35" s="900"/>
      <c r="G35" s="900"/>
      <c r="H35" s="900"/>
      <c r="I35" s="900"/>
      <c r="J35" s="900"/>
      <c r="K35" s="900"/>
      <c r="L35" s="900"/>
      <c r="M35" s="900"/>
      <c r="N35" s="900"/>
      <c r="O35" s="900"/>
      <c r="P35" s="900"/>
      <c r="Q35" s="900"/>
      <c r="R35" s="900"/>
      <c r="S35" s="900"/>
      <c r="T35" s="900"/>
    </row>
    <row r="36" spans="1:29" x14ac:dyDescent="0.25">
      <c r="B36" s="782"/>
      <c r="C36" s="782"/>
      <c r="D36" s="900"/>
      <c r="E36" s="900"/>
      <c r="F36" s="900"/>
      <c r="G36" s="900"/>
      <c r="H36" s="900"/>
      <c r="I36" s="900"/>
      <c r="J36" s="900"/>
      <c r="K36" s="900"/>
      <c r="L36" s="900"/>
      <c r="M36" s="900"/>
      <c r="N36" s="900"/>
      <c r="O36" s="900"/>
      <c r="P36" s="900"/>
      <c r="Q36" s="900"/>
      <c r="R36" s="900"/>
      <c r="S36" s="900"/>
      <c r="T36" s="900"/>
    </row>
    <row r="37" spans="1:29" x14ac:dyDescent="0.25">
      <c r="B37" s="782"/>
      <c r="C37" s="782"/>
      <c r="D37" s="900"/>
      <c r="E37" s="900"/>
      <c r="F37" s="900"/>
      <c r="G37" s="900"/>
      <c r="H37" s="900"/>
      <c r="I37" s="900"/>
      <c r="J37" s="900"/>
      <c r="K37" s="900"/>
      <c r="L37" s="900"/>
      <c r="M37" s="900"/>
      <c r="N37" s="900"/>
      <c r="O37" s="900"/>
      <c r="P37" s="900"/>
      <c r="Q37" s="900"/>
      <c r="R37" s="900"/>
      <c r="S37" s="900"/>
      <c r="T37" s="900"/>
    </row>
    <row r="38" spans="1:29" x14ac:dyDescent="0.25">
      <c r="B38" s="782"/>
      <c r="C38" s="782"/>
      <c r="D38" s="900"/>
      <c r="E38" s="900"/>
      <c r="F38" s="900"/>
      <c r="G38" s="900"/>
      <c r="H38" s="900"/>
      <c r="I38" s="900"/>
      <c r="J38" s="900"/>
      <c r="K38" s="900"/>
      <c r="L38" s="900"/>
      <c r="M38" s="900"/>
      <c r="N38" s="900"/>
      <c r="O38" s="900"/>
      <c r="P38" s="900"/>
      <c r="Q38" s="900"/>
      <c r="R38" s="900"/>
      <c r="S38" s="900"/>
      <c r="T38" s="900"/>
    </row>
    <row r="39" spans="1:29" x14ac:dyDescent="0.25">
      <c r="B39" s="782"/>
      <c r="C39" s="782"/>
      <c r="D39" s="900"/>
      <c r="E39" s="900"/>
      <c r="F39" s="900"/>
      <c r="G39" s="900"/>
      <c r="H39" s="900"/>
      <c r="I39" s="900"/>
      <c r="J39" s="900"/>
      <c r="K39" s="900"/>
      <c r="L39" s="900"/>
      <c r="M39" s="900"/>
      <c r="N39" s="900"/>
      <c r="O39" s="900"/>
      <c r="P39" s="900"/>
      <c r="Q39" s="900"/>
      <c r="R39" s="900"/>
      <c r="S39" s="900"/>
      <c r="T39" s="900"/>
    </row>
    <row r="40" spans="1:29" x14ac:dyDescent="0.25">
      <c r="B40" s="782"/>
      <c r="C40" s="782"/>
      <c r="D40" s="900"/>
      <c r="E40" s="900"/>
      <c r="F40" s="900"/>
      <c r="G40" s="900"/>
      <c r="H40" s="900"/>
      <c r="I40" s="900"/>
      <c r="J40" s="900"/>
      <c r="K40" s="900"/>
      <c r="L40" s="900"/>
      <c r="M40" s="900"/>
      <c r="N40" s="900"/>
      <c r="O40" s="900"/>
      <c r="P40" s="900"/>
      <c r="Q40" s="900"/>
      <c r="R40" s="900"/>
      <c r="S40" s="900"/>
      <c r="T40" s="900"/>
    </row>
    <row r="41" spans="1:29" x14ac:dyDescent="0.25">
      <c r="B41" s="782"/>
      <c r="C41" s="782"/>
      <c r="D41" s="900"/>
      <c r="E41" s="900"/>
      <c r="F41" s="900"/>
      <c r="G41" s="900"/>
      <c r="H41" s="900"/>
      <c r="I41" s="900"/>
      <c r="J41" s="900"/>
      <c r="K41" s="900"/>
      <c r="L41" s="900"/>
      <c r="M41" s="900"/>
      <c r="N41" s="900"/>
      <c r="O41" s="900"/>
      <c r="P41" s="900"/>
      <c r="Q41" s="900"/>
      <c r="R41" s="900"/>
      <c r="S41" s="900"/>
      <c r="T41" s="900"/>
    </row>
    <row r="42" spans="1:29" x14ac:dyDescent="0.25">
      <c r="B42" s="782"/>
      <c r="C42" s="782"/>
      <c r="D42" s="900"/>
      <c r="E42" s="900"/>
      <c r="F42" s="900"/>
      <c r="G42" s="900"/>
      <c r="H42" s="900"/>
      <c r="I42" s="900"/>
      <c r="J42" s="900"/>
      <c r="K42" s="900"/>
      <c r="L42" s="900"/>
      <c r="M42" s="900"/>
      <c r="N42" s="900"/>
      <c r="O42" s="900"/>
      <c r="P42" s="900"/>
      <c r="Q42" s="900"/>
      <c r="R42" s="900"/>
      <c r="S42" s="900"/>
      <c r="T42" s="900"/>
    </row>
    <row r="43" spans="1:29" x14ac:dyDescent="0.25">
      <c r="A43" s="782">
        <v>6</v>
      </c>
      <c r="B43" s="782" t="s">
        <v>29</v>
      </c>
      <c r="C43" s="782"/>
      <c r="D43" s="4048" t="s">
        <v>430</v>
      </c>
      <c r="E43" s="4049"/>
      <c r="F43" s="4049"/>
      <c r="G43" s="4049"/>
      <c r="H43" s="4049"/>
      <c r="I43" s="4049"/>
      <c r="J43" s="4049"/>
      <c r="K43" s="4049"/>
      <c r="L43" s="4049"/>
      <c r="M43" s="4049"/>
      <c r="N43" s="4049"/>
      <c r="O43" s="4049"/>
      <c r="P43" s="4049"/>
      <c r="Q43" s="4049"/>
      <c r="R43" s="4049"/>
      <c r="S43" s="4049"/>
      <c r="T43" s="4049"/>
      <c r="U43" s="4050"/>
      <c r="V43" s="142"/>
      <c r="W43" s="142"/>
      <c r="X43" s="142"/>
      <c r="Y43" s="142"/>
      <c r="Z43" s="142"/>
      <c r="AA43" s="142"/>
      <c r="AB43" s="142"/>
      <c r="AC43" s="142"/>
    </row>
    <row r="44" spans="1:29" ht="12.75" customHeight="1" x14ac:dyDescent="0.25">
      <c r="A44" s="818">
        <v>7</v>
      </c>
      <c r="B44" s="818" t="s">
        <v>32</v>
      </c>
      <c r="C44" s="818"/>
      <c r="D44" s="4048" t="s">
        <v>431</v>
      </c>
      <c r="E44" s="4049"/>
      <c r="F44" s="4049"/>
      <c r="G44" s="4049"/>
      <c r="H44" s="4049"/>
      <c r="I44" s="4049"/>
      <c r="J44" s="4049"/>
      <c r="K44" s="4049"/>
      <c r="L44" s="4049"/>
      <c r="M44" s="4049"/>
      <c r="N44" s="4049"/>
      <c r="O44" s="4049"/>
      <c r="P44" s="4049"/>
      <c r="Q44" s="4049"/>
      <c r="R44" s="4049"/>
      <c r="S44" s="4049"/>
      <c r="T44" s="4049"/>
      <c r="U44" s="4050"/>
      <c r="V44" s="142"/>
      <c r="W44" s="142"/>
      <c r="X44" s="142"/>
      <c r="Y44" s="142"/>
      <c r="Z44" s="142"/>
      <c r="AA44" s="142"/>
      <c r="AB44" s="142"/>
      <c r="AC44" s="142"/>
    </row>
    <row r="45" spans="1:29" ht="38.25" customHeight="1" x14ac:dyDescent="0.25">
      <c r="A45" s="782">
        <v>8</v>
      </c>
      <c r="B45" s="782" t="s">
        <v>31</v>
      </c>
      <c r="C45" s="782"/>
      <c r="D45" s="4072" t="s">
        <v>432</v>
      </c>
      <c r="E45" s="4073"/>
      <c r="F45" s="4073"/>
      <c r="G45" s="4073"/>
      <c r="H45" s="4073"/>
      <c r="I45" s="4073"/>
      <c r="J45" s="4073"/>
      <c r="K45" s="4073"/>
      <c r="L45" s="4073"/>
      <c r="M45" s="4073"/>
      <c r="N45" s="4073"/>
      <c r="O45" s="4073"/>
      <c r="P45" s="4073"/>
      <c r="Q45" s="4073"/>
      <c r="R45" s="4073"/>
      <c r="S45" s="4073"/>
      <c r="T45" s="4073"/>
      <c r="U45" s="4074"/>
      <c r="V45" s="229"/>
      <c r="W45" s="229"/>
      <c r="X45" s="229"/>
      <c r="Y45" s="229"/>
      <c r="Z45" s="229"/>
      <c r="AA45" s="229"/>
      <c r="AB45" s="229"/>
      <c r="AC45" s="229"/>
    </row>
    <row r="46" spans="1:29" ht="21" customHeight="1" x14ac:dyDescent="0.25">
      <c r="A46" s="782">
        <v>9</v>
      </c>
      <c r="B46" s="782" t="s">
        <v>95</v>
      </c>
      <c r="C46" s="782"/>
      <c r="D46" s="4072" t="s">
        <v>433</v>
      </c>
      <c r="E46" s="4073"/>
      <c r="F46" s="4073"/>
      <c r="G46" s="4073"/>
      <c r="H46" s="4073"/>
      <c r="I46" s="4073"/>
      <c r="J46" s="4073"/>
      <c r="K46" s="4073"/>
      <c r="L46" s="4073"/>
      <c r="M46" s="4073"/>
      <c r="N46" s="4073"/>
      <c r="O46" s="4073"/>
      <c r="P46" s="4073"/>
      <c r="Q46" s="4073"/>
      <c r="R46" s="4073"/>
      <c r="S46" s="4073"/>
      <c r="T46" s="4073"/>
      <c r="U46" s="4074"/>
      <c r="V46" s="229"/>
      <c r="W46" s="229"/>
      <c r="X46" s="229"/>
      <c r="Y46" s="229"/>
      <c r="Z46" s="229"/>
      <c r="AA46" s="229"/>
      <c r="AB46" s="229"/>
      <c r="AC46" s="229"/>
    </row>
    <row r="47" spans="1:29" x14ac:dyDescent="0.25">
      <c r="B47" s="988"/>
      <c r="C47" s="988"/>
    </row>
  </sheetData>
  <mergeCells count="7">
    <mergeCell ref="D45:U45"/>
    <mergeCell ref="D46:U46"/>
    <mergeCell ref="D2:AC2"/>
    <mergeCell ref="D3:AC3"/>
    <mergeCell ref="D4:AC4"/>
    <mergeCell ref="D43:U43"/>
    <mergeCell ref="D44:U44"/>
  </mergeCells>
  <pageMargins left="0.74803149606299202" right="0.74803149606299202" top="0.98425196850393704" bottom="0.98425196850393704" header="0.511811023622047" footer="0.511811023622047"/>
  <pageSetup paperSize="9" scale="45"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79"/>
  <sheetViews>
    <sheetView showGridLines="0" view="pageBreakPreview" zoomScaleNormal="100" zoomScaleSheetLayoutView="100" workbookViewId="0">
      <selection activeCell="F10" sqref="F10"/>
    </sheetView>
  </sheetViews>
  <sheetFormatPr defaultColWidth="9.140625" defaultRowHeight="15" x14ac:dyDescent="0.25"/>
  <cols>
    <col min="1" max="1" width="3.7109375" style="782" customWidth="1"/>
    <col min="2" max="2" width="14.42578125" style="899" customWidth="1"/>
    <col min="3" max="3" width="3.7109375" style="899" customWidth="1"/>
    <col min="4" max="4" width="23.42578125" style="267" bestFit="1" customWidth="1"/>
    <col min="5" max="262" width="9.140625" style="267"/>
    <col min="263" max="263" width="3.7109375" style="267" customWidth="1"/>
    <col min="264" max="264" width="14.42578125" style="267" customWidth="1"/>
    <col min="265" max="265" width="3.7109375" style="267" customWidth="1"/>
    <col min="266" max="266" width="23.42578125" style="267" bestFit="1" customWidth="1"/>
    <col min="267" max="518" width="9.140625" style="267"/>
    <col min="519" max="519" width="3.7109375" style="267" customWidth="1"/>
    <col min="520" max="520" width="14.42578125" style="267" customWidth="1"/>
    <col min="521" max="521" width="3.7109375" style="267" customWidth="1"/>
    <col min="522" max="522" width="23.42578125" style="267" bestFit="1" customWidth="1"/>
    <col min="523" max="774" width="9.140625" style="267"/>
    <col min="775" max="775" width="3.7109375" style="267" customWidth="1"/>
    <col min="776" max="776" width="14.42578125" style="267" customWidth="1"/>
    <col min="777" max="777" width="3.7109375" style="267" customWidth="1"/>
    <col min="778" max="778" width="23.42578125" style="267" bestFit="1" customWidth="1"/>
    <col min="779" max="1030" width="9.140625" style="267"/>
    <col min="1031" max="1031" width="3.7109375" style="267" customWidth="1"/>
    <col min="1032" max="1032" width="14.42578125" style="267" customWidth="1"/>
    <col min="1033" max="1033" width="3.7109375" style="267" customWidth="1"/>
    <col min="1034" max="1034" width="23.42578125" style="267" bestFit="1" customWidth="1"/>
    <col min="1035" max="1286" width="9.140625" style="267"/>
    <col min="1287" max="1287" width="3.7109375" style="267" customWidth="1"/>
    <col min="1288" max="1288" width="14.42578125" style="267" customWidth="1"/>
    <col min="1289" max="1289" width="3.7109375" style="267" customWidth="1"/>
    <col min="1290" max="1290" width="23.42578125" style="267" bestFit="1" customWidth="1"/>
    <col min="1291" max="1542" width="9.140625" style="267"/>
    <col min="1543" max="1543" width="3.7109375" style="267" customWidth="1"/>
    <col min="1544" max="1544" width="14.42578125" style="267" customWidth="1"/>
    <col min="1545" max="1545" width="3.7109375" style="267" customWidth="1"/>
    <col min="1546" max="1546" width="23.42578125" style="267" bestFit="1" customWidth="1"/>
    <col min="1547" max="1798" width="9.140625" style="267"/>
    <col min="1799" max="1799" width="3.7109375" style="267" customWidth="1"/>
    <col min="1800" max="1800" width="14.42578125" style="267" customWidth="1"/>
    <col min="1801" max="1801" width="3.7109375" style="267" customWidth="1"/>
    <col min="1802" max="1802" width="23.42578125" style="267" bestFit="1" customWidth="1"/>
    <col min="1803" max="2054" width="9.140625" style="267"/>
    <col min="2055" max="2055" width="3.7109375" style="267" customWidth="1"/>
    <col min="2056" max="2056" width="14.42578125" style="267" customWidth="1"/>
    <col min="2057" max="2057" width="3.7109375" style="267" customWidth="1"/>
    <col min="2058" max="2058" width="23.42578125" style="267" bestFit="1" customWidth="1"/>
    <col min="2059" max="2310" width="9.140625" style="267"/>
    <col min="2311" max="2311" width="3.7109375" style="267" customWidth="1"/>
    <col min="2312" max="2312" width="14.42578125" style="267" customWidth="1"/>
    <col min="2313" max="2313" width="3.7109375" style="267" customWidth="1"/>
    <col min="2314" max="2314" width="23.42578125" style="267" bestFit="1" customWidth="1"/>
    <col min="2315" max="2566" width="9.140625" style="267"/>
    <col min="2567" max="2567" width="3.7109375" style="267" customWidth="1"/>
    <col min="2568" max="2568" width="14.42578125" style="267" customWidth="1"/>
    <col min="2569" max="2569" width="3.7109375" style="267" customWidth="1"/>
    <col min="2570" max="2570" width="23.42578125" style="267" bestFit="1" customWidth="1"/>
    <col min="2571" max="2822" width="9.140625" style="267"/>
    <col min="2823" max="2823" width="3.7109375" style="267" customWidth="1"/>
    <col min="2824" max="2824" width="14.42578125" style="267" customWidth="1"/>
    <col min="2825" max="2825" width="3.7109375" style="267" customWidth="1"/>
    <col min="2826" max="2826" width="23.42578125" style="267" bestFit="1" customWidth="1"/>
    <col min="2827" max="3078" width="9.140625" style="267"/>
    <col min="3079" max="3079" width="3.7109375" style="267" customWidth="1"/>
    <col min="3080" max="3080" width="14.42578125" style="267" customWidth="1"/>
    <col min="3081" max="3081" width="3.7109375" style="267" customWidth="1"/>
    <col min="3082" max="3082" width="23.42578125" style="267" bestFit="1" customWidth="1"/>
    <col min="3083" max="3334" width="9.140625" style="267"/>
    <col min="3335" max="3335" width="3.7109375" style="267" customWidth="1"/>
    <col min="3336" max="3336" width="14.42578125" style="267" customWidth="1"/>
    <col min="3337" max="3337" width="3.7109375" style="267" customWidth="1"/>
    <col min="3338" max="3338" width="23.42578125" style="267" bestFit="1" customWidth="1"/>
    <col min="3339" max="3590" width="9.140625" style="267"/>
    <col min="3591" max="3591" width="3.7109375" style="267" customWidth="1"/>
    <col min="3592" max="3592" width="14.42578125" style="267" customWidth="1"/>
    <col min="3593" max="3593" width="3.7109375" style="267" customWidth="1"/>
    <col min="3594" max="3594" width="23.42578125" style="267" bestFit="1" customWidth="1"/>
    <col min="3595" max="3846" width="9.140625" style="267"/>
    <col min="3847" max="3847" width="3.7109375" style="267" customWidth="1"/>
    <col min="3848" max="3848" width="14.42578125" style="267" customWidth="1"/>
    <col min="3849" max="3849" width="3.7109375" style="267" customWidth="1"/>
    <col min="3850" max="3850" width="23.42578125" style="267" bestFit="1" customWidth="1"/>
    <col min="3851" max="4102" width="9.140625" style="267"/>
    <col min="4103" max="4103" width="3.7109375" style="267" customWidth="1"/>
    <col min="4104" max="4104" width="14.42578125" style="267" customWidth="1"/>
    <col min="4105" max="4105" width="3.7109375" style="267" customWidth="1"/>
    <col min="4106" max="4106" width="23.42578125" style="267" bestFit="1" customWidth="1"/>
    <col min="4107" max="4358" width="9.140625" style="267"/>
    <col min="4359" max="4359" width="3.7109375" style="267" customWidth="1"/>
    <col min="4360" max="4360" width="14.42578125" style="267" customWidth="1"/>
    <col min="4361" max="4361" width="3.7109375" style="267" customWidth="1"/>
    <col min="4362" max="4362" width="23.42578125" style="267" bestFit="1" customWidth="1"/>
    <col min="4363" max="4614" width="9.140625" style="267"/>
    <col min="4615" max="4615" width="3.7109375" style="267" customWidth="1"/>
    <col min="4616" max="4616" width="14.42578125" style="267" customWidth="1"/>
    <col min="4617" max="4617" width="3.7109375" style="267" customWidth="1"/>
    <col min="4618" max="4618" width="23.42578125" style="267" bestFit="1" customWidth="1"/>
    <col min="4619" max="4870" width="9.140625" style="267"/>
    <col min="4871" max="4871" width="3.7109375" style="267" customWidth="1"/>
    <col min="4872" max="4872" width="14.42578125" style="267" customWidth="1"/>
    <col min="4873" max="4873" width="3.7109375" style="267" customWidth="1"/>
    <col min="4874" max="4874" width="23.42578125" style="267" bestFit="1" customWidth="1"/>
    <col min="4875" max="5126" width="9.140625" style="267"/>
    <col min="5127" max="5127" width="3.7109375" style="267" customWidth="1"/>
    <col min="5128" max="5128" width="14.42578125" style="267" customWidth="1"/>
    <col min="5129" max="5129" width="3.7109375" style="267" customWidth="1"/>
    <col min="5130" max="5130" width="23.42578125" style="267" bestFit="1" customWidth="1"/>
    <col min="5131" max="5382" width="9.140625" style="267"/>
    <col min="5383" max="5383" width="3.7109375" style="267" customWidth="1"/>
    <col min="5384" max="5384" width="14.42578125" style="267" customWidth="1"/>
    <col min="5385" max="5385" width="3.7109375" style="267" customWidth="1"/>
    <col min="5386" max="5386" width="23.42578125" style="267" bestFit="1" customWidth="1"/>
    <col min="5387" max="5638" width="9.140625" style="267"/>
    <col min="5639" max="5639" width="3.7109375" style="267" customWidth="1"/>
    <col min="5640" max="5640" width="14.42578125" style="267" customWidth="1"/>
    <col min="5641" max="5641" width="3.7109375" style="267" customWidth="1"/>
    <col min="5642" max="5642" width="23.42578125" style="267" bestFit="1" customWidth="1"/>
    <col min="5643" max="5894" width="9.140625" style="267"/>
    <col min="5895" max="5895" width="3.7109375" style="267" customWidth="1"/>
    <col min="5896" max="5896" width="14.42578125" style="267" customWidth="1"/>
    <col min="5897" max="5897" width="3.7109375" style="267" customWidth="1"/>
    <col min="5898" max="5898" width="23.42578125" style="267" bestFit="1" customWidth="1"/>
    <col min="5899" max="6150" width="9.140625" style="267"/>
    <col min="6151" max="6151" width="3.7109375" style="267" customWidth="1"/>
    <col min="6152" max="6152" width="14.42578125" style="267" customWidth="1"/>
    <col min="6153" max="6153" width="3.7109375" style="267" customWidth="1"/>
    <col min="6154" max="6154" width="23.42578125" style="267" bestFit="1" customWidth="1"/>
    <col min="6155" max="6406" width="9.140625" style="267"/>
    <col min="6407" max="6407" width="3.7109375" style="267" customWidth="1"/>
    <col min="6408" max="6408" width="14.42578125" style="267" customWidth="1"/>
    <col min="6409" max="6409" width="3.7109375" style="267" customWidth="1"/>
    <col min="6410" max="6410" width="23.42578125" style="267" bestFit="1" customWidth="1"/>
    <col min="6411" max="6662" width="9.140625" style="267"/>
    <col min="6663" max="6663" width="3.7109375" style="267" customWidth="1"/>
    <col min="6664" max="6664" width="14.42578125" style="267" customWidth="1"/>
    <col min="6665" max="6665" width="3.7109375" style="267" customWidth="1"/>
    <col min="6666" max="6666" width="23.42578125" style="267" bestFit="1" customWidth="1"/>
    <col min="6667" max="6918" width="9.140625" style="267"/>
    <col min="6919" max="6919" width="3.7109375" style="267" customWidth="1"/>
    <col min="6920" max="6920" width="14.42578125" style="267" customWidth="1"/>
    <col min="6921" max="6921" width="3.7109375" style="267" customWidth="1"/>
    <col min="6922" max="6922" width="23.42578125" style="267" bestFit="1" customWidth="1"/>
    <col min="6923" max="7174" width="9.140625" style="267"/>
    <col min="7175" max="7175" width="3.7109375" style="267" customWidth="1"/>
    <col min="7176" max="7176" width="14.42578125" style="267" customWidth="1"/>
    <col min="7177" max="7177" width="3.7109375" style="267" customWidth="1"/>
    <col min="7178" max="7178" width="23.42578125" style="267" bestFit="1" customWidth="1"/>
    <col min="7179" max="7430" width="9.140625" style="267"/>
    <col min="7431" max="7431" width="3.7109375" style="267" customWidth="1"/>
    <col min="7432" max="7432" width="14.42578125" style="267" customWidth="1"/>
    <col min="7433" max="7433" width="3.7109375" style="267" customWidth="1"/>
    <col min="7434" max="7434" width="23.42578125" style="267" bestFit="1" customWidth="1"/>
    <col min="7435" max="7686" width="9.140625" style="267"/>
    <col min="7687" max="7687" width="3.7109375" style="267" customWidth="1"/>
    <col min="7688" max="7688" width="14.42578125" style="267" customWidth="1"/>
    <col min="7689" max="7689" width="3.7109375" style="267" customWidth="1"/>
    <col min="7690" max="7690" width="23.42578125" style="267" bestFit="1" customWidth="1"/>
    <col min="7691" max="7942" width="9.140625" style="267"/>
    <col min="7943" max="7943" width="3.7109375" style="267" customWidth="1"/>
    <col min="7944" max="7944" width="14.42578125" style="267" customWidth="1"/>
    <col min="7945" max="7945" width="3.7109375" style="267" customWidth="1"/>
    <col min="7946" max="7946" width="23.42578125" style="267" bestFit="1" customWidth="1"/>
    <col min="7947" max="8198" width="9.140625" style="267"/>
    <col min="8199" max="8199" width="3.7109375" style="267" customWidth="1"/>
    <col min="8200" max="8200" width="14.42578125" style="267" customWidth="1"/>
    <col min="8201" max="8201" width="3.7109375" style="267" customWidth="1"/>
    <col min="8202" max="8202" width="23.42578125" style="267" bestFit="1" customWidth="1"/>
    <col min="8203" max="8454" width="9.140625" style="267"/>
    <col min="8455" max="8455" width="3.7109375" style="267" customWidth="1"/>
    <col min="8456" max="8456" width="14.42578125" style="267" customWidth="1"/>
    <col min="8457" max="8457" width="3.7109375" style="267" customWidth="1"/>
    <col min="8458" max="8458" width="23.42578125" style="267" bestFit="1" customWidth="1"/>
    <col min="8459" max="8710" width="9.140625" style="267"/>
    <col min="8711" max="8711" width="3.7109375" style="267" customWidth="1"/>
    <col min="8712" max="8712" width="14.42578125" style="267" customWidth="1"/>
    <col min="8713" max="8713" width="3.7109375" style="267" customWidth="1"/>
    <col min="8714" max="8714" width="23.42578125" style="267" bestFit="1" customWidth="1"/>
    <col min="8715" max="8966" width="9.140625" style="267"/>
    <col min="8967" max="8967" width="3.7109375" style="267" customWidth="1"/>
    <col min="8968" max="8968" width="14.42578125" style="267" customWidth="1"/>
    <col min="8969" max="8969" width="3.7109375" style="267" customWidth="1"/>
    <col min="8970" max="8970" width="23.42578125" style="267" bestFit="1" customWidth="1"/>
    <col min="8971" max="9222" width="9.140625" style="267"/>
    <col min="9223" max="9223" width="3.7109375" style="267" customWidth="1"/>
    <col min="9224" max="9224" width="14.42578125" style="267" customWidth="1"/>
    <col min="9225" max="9225" width="3.7109375" style="267" customWidth="1"/>
    <col min="9226" max="9226" width="23.42578125" style="267" bestFit="1" customWidth="1"/>
    <col min="9227" max="9478" width="9.140625" style="267"/>
    <col min="9479" max="9479" width="3.7109375" style="267" customWidth="1"/>
    <col min="9480" max="9480" width="14.42578125" style="267" customWidth="1"/>
    <col min="9481" max="9481" width="3.7109375" style="267" customWidth="1"/>
    <col min="9482" max="9482" width="23.42578125" style="267" bestFit="1" customWidth="1"/>
    <col min="9483" max="9734" width="9.140625" style="267"/>
    <col min="9735" max="9735" width="3.7109375" style="267" customWidth="1"/>
    <col min="9736" max="9736" width="14.42578125" style="267" customWidth="1"/>
    <col min="9737" max="9737" width="3.7109375" style="267" customWidth="1"/>
    <col min="9738" max="9738" width="23.42578125" style="267" bestFit="1" customWidth="1"/>
    <col min="9739" max="9990" width="9.140625" style="267"/>
    <col min="9991" max="9991" width="3.7109375" style="267" customWidth="1"/>
    <col min="9992" max="9992" width="14.42578125" style="267" customWidth="1"/>
    <col min="9993" max="9993" width="3.7109375" style="267" customWidth="1"/>
    <col min="9994" max="9994" width="23.42578125" style="267" bestFit="1" customWidth="1"/>
    <col min="9995" max="10246" width="9.140625" style="267"/>
    <col min="10247" max="10247" width="3.7109375" style="267" customWidth="1"/>
    <col min="10248" max="10248" width="14.42578125" style="267" customWidth="1"/>
    <col min="10249" max="10249" width="3.7109375" style="267" customWidth="1"/>
    <col min="10250" max="10250" width="23.42578125" style="267" bestFit="1" customWidth="1"/>
    <col min="10251" max="10502" width="9.140625" style="267"/>
    <col min="10503" max="10503" width="3.7109375" style="267" customWidth="1"/>
    <col min="10504" max="10504" width="14.42578125" style="267" customWidth="1"/>
    <col min="10505" max="10505" width="3.7109375" style="267" customWidth="1"/>
    <col min="10506" max="10506" width="23.42578125" style="267" bestFit="1" customWidth="1"/>
    <col min="10507" max="10758" width="9.140625" style="267"/>
    <col min="10759" max="10759" width="3.7109375" style="267" customWidth="1"/>
    <col min="10760" max="10760" width="14.42578125" style="267" customWidth="1"/>
    <col min="10761" max="10761" width="3.7109375" style="267" customWidth="1"/>
    <col min="10762" max="10762" width="23.42578125" style="267" bestFit="1" customWidth="1"/>
    <col min="10763" max="11014" width="9.140625" style="267"/>
    <col min="11015" max="11015" width="3.7109375" style="267" customWidth="1"/>
    <col min="11016" max="11016" width="14.42578125" style="267" customWidth="1"/>
    <col min="11017" max="11017" width="3.7109375" style="267" customWidth="1"/>
    <col min="11018" max="11018" width="23.42578125" style="267" bestFit="1" customWidth="1"/>
    <col min="11019" max="11270" width="9.140625" style="267"/>
    <col min="11271" max="11271" width="3.7109375" style="267" customWidth="1"/>
    <col min="11272" max="11272" width="14.42578125" style="267" customWidth="1"/>
    <col min="11273" max="11273" width="3.7109375" style="267" customWidth="1"/>
    <col min="11274" max="11274" width="23.42578125" style="267" bestFit="1" customWidth="1"/>
    <col min="11275" max="11526" width="9.140625" style="267"/>
    <col min="11527" max="11527" width="3.7109375" style="267" customWidth="1"/>
    <col min="11528" max="11528" width="14.42578125" style="267" customWidth="1"/>
    <col min="11529" max="11529" width="3.7109375" style="267" customWidth="1"/>
    <col min="11530" max="11530" width="23.42578125" style="267" bestFit="1" customWidth="1"/>
    <col min="11531" max="11782" width="9.140625" style="267"/>
    <col min="11783" max="11783" width="3.7109375" style="267" customWidth="1"/>
    <col min="11784" max="11784" width="14.42578125" style="267" customWidth="1"/>
    <col min="11785" max="11785" width="3.7109375" style="267" customWidth="1"/>
    <col min="11786" max="11786" width="23.42578125" style="267" bestFit="1" customWidth="1"/>
    <col min="11787" max="12038" width="9.140625" style="267"/>
    <col min="12039" max="12039" width="3.7109375" style="267" customWidth="1"/>
    <col min="12040" max="12040" width="14.42578125" style="267" customWidth="1"/>
    <col min="12041" max="12041" width="3.7109375" style="267" customWidth="1"/>
    <col min="12042" max="12042" width="23.42578125" style="267" bestFit="1" customWidth="1"/>
    <col min="12043" max="12294" width="9.140625" style="267"/>
    <col min="12295" max="12295" width="3.7109375" style="267" customWidth="1"/>
    <col min="12296" max="12296" width="14.42578125" style="267" customWidth="1"/>
    <col min="12297" max="12297" width="3.7109375" style="267" customWidth="1"/>
    <col min="12298" max="12298" width="23.42578125" style="267" bestFit="1" customWidth="1"/>
    <col min="12299" max="12550" width="9.140625" style="267"/>
    <col min="12551" max="12551" width="3.7109375" style="267" customWidth="1"/>
    <col min="12552" max="12552" width="14.42578125" style="267" customWidth="1"/>
    <col min="12553" max="12553" width="3.7109375" style="267" customWidth="1"/>
    <col min="12554" max="12554" width="23.42578125" style="267" bestFit="1" customWidth="1"/>
    <col min="12555" max="12806" width="9.140625" style="267"/>
    <col min="12807" max="12807" width="3.7109375" style="267" customWidth="1"/>
    <col min="12808" max="12808" width="14.42578125" style="267" customWidth="1"/>
    <col min="12809" max="12809" width="3.7109375" style="267" customWidth="1"/>
    <col min="12810" max="12810" width="23.42578125" style="267" bestFit="1" customWidth="1"/>
    <col min="12811" max="13062" width="9.140625" style="267"/>
    <col min="13063" max="13063" width="3.7109375" style="267" customWidth="1"/>
    <col min="13064" max="13064" width="14.42578125" style="267" customWidth="1"/>
    <col min="13065" max="13065" width="3.7109375" style="267" customWidth="1"/>
    <col min="13066" max="13066" width="23.42578125" style="267" bestFit="1" customWidth="1"/>
    <col min="13067" max="13318" width="9.140625" style="267"/>
    <col min="13319" max="13319" width="3.7109375" style="267" customWidth="1"/>
    <col min="13320" max="13320" width="14.42578125" style="267" customWidth="1"/>
    <col min="13321" max="13321" width="3.7109375" style="267" customWidth="1"/>
    <col min="13322" max="13322" width="23.42578125" style="267" bestFit="1" customWidth="1"/>
    <col min="13323" max="13574" width="9.140625" style="267"/>
    <col min="13575" max="13575" width="3.7109375" style="267" customWidth="1"/>
    <col min="13576" max="13576" width="14.42578125" style="267" customWidth="1"/>
    <col min="13577" max="13577" width="3.7109375" style="267" customWidth="1"/>
    <col min="13578" max="13578" width="23.42578125" style="267" bestFit="1" customWidth="1"/>
    <col min="13579" max="13830" width="9.140625" style="267"/>
    <col min="13831" max="13831" width="3.7109375" style="267" customWidth="1"/>
    <col min="13832" max="13832" width="14.42578125" style="267" customWidth="1"/>
    <col min="13833" max="13833" width="3.7109375" style="267" customWidth="1"/>
    <col min="13834" max="13834" width="23.42578125" style="267" bestFit="1" customWidth="1"/>
    <col min="13835" max="14086" width="9.140625" style="267"/>
    <col min="14087" max="14087" width="3.7109375" style="267" customWidth="1"/>
    <col min="14088" max="14088" width="14.42578125" style="267" customWidth="1"/>
    <col min="14089" max="14089" width="3.7109375" style="267" customWidth="1"/>
    <col min="14090" max="14090" width="23.42578125" style="267" bestFit="1" customWidth="1"/>
    <col min="14091" max="14342" width="9.140625" style="267"/>
    <col min="14343" max="14343" width="3.7109375" style="267" customWidth="1"/>
    <col min="14344" max="14344" width="14.42578125" style="267" customWidth="1"/>
    <col min="14345" max="14345" width="3.7109375" style="267" customWidth="1"/>
    <col min="14346" max="14346" width="23.42578125" style="267" bestFit="1" customWidth="1"/>
    <col min="14347" max="14598" width="9.140625" style="267"/>
    <col min="14599" max="14599" width="3.7109375" style="267" customWidth="1"/>
    <col min="14600" max="14600" width="14.42578125" style="267" customWidth="1"/>
    <col min="14601" max="14601" width="3.7109375" style="267" customWidth="1"/>
    <col min="14602" max="14602" width="23.42578125" style="267" bestFit="1" customWidth="1"/>
    <col min="14603" max="14854" width="9.140625" style="267"/>
    <col min="14855" max="14855" width="3.7109375" style="267" customWidth="1"/>
    <col min="14856" max="14856" width="14.42578125" style="267" customWidth="1"/>
    <col min="14857" max="14857" width="3.7109375" style="267" customWidth="1"/>
    <col min="14858" max="14858" width="23.42578125" style="267" bestFit="1" customWidth="1"/>
    <col min="14859" max="15110" width="9.140625" style="267"/>
    <col min="15111" max="15111" width="3.7109375" style="267" customWidth="1"/>
    <col min="15112" max="15112" width="14.42578125" style="267" customWidth="1"/>
    <col min="15113" max="15113" width="3.7109375" style="267" customWidth="1"/>
    <col min="15114" max="15114" width="23.42578125" style="267" bestFit="1" customWidth="1"/>
    <col min="15115" max="15366" width="9.140625" style="267"/>
    <col min="15367" max="15367" width="3.7109375" style="267" customWidth="1"/>
    <col min="15368" max="15368" width="14.42578125" style="267" customWidth="1"/>
    <col min="15369" max="15369" width="3.7109375" style="267" customWidth="1"/>
    <col min="15370" max="15370" width="23.42578125" style="267" bestFit="1" customWidth="1"/>
    <col min="15371" max="15622" width="9.140625" style="267"/>
    <col min="15623" max="15623" width="3.7109375" style="267" customWidth="1"/>
    <col min="15624" max="15624" width="14.42578125" style="267" customWidth="1"/>
    <col min="15625" max="15625" width="3.7109375" style="267" customWidth="1"/>
    <col min="15626" max="15626" width="23.42578125" style="267" bestFit="1" customWidth="1"/>
    <col min="15627" max="15878" width="9.140625" style="267"/>
    <col min="15879" max="15879" width="3.7109375" style="267" customWidth="1"/>
    <col min="15880" max="15880" width="14.42578125" style="267" customWidth="1"/>
    <col min="15881" max="15881" width="3.7109375" style="267" customWidth="1"/>
    <col min="15882" max="15882" width="23.42578125" style="267" bestFit="1" customWidth="1"/>
    <col min="15883" max="16134" width="9.140625" style="267"/>
    <col min="16135" max="16135" width="3.7109375" style="267" customWidth="1"/>
    <col min="16136" max="16136" width="14.42578125" style="267" customWidth="1"/>
    <col min="16137" max="16137" width="3.7109375" style="267" customWidth="1"/>
    <col min="16138" max="16138" width="23.42578125" style="267" bestFit="1" customWidth="1"/>
    <col min="16139" max="16384" width="9.140625" style="267"/>
  </cols>
  <sheetData>
    <row r="1" spans="1:28" x14ac:dyDescent="0.25">
      <c r="D1" s="900"/>
      <c r="E1" s="900"/>
      <c r="F1" s="900"/>
      <c r="G1" s="900"/>
      <c r="H1" s="900"/>
      <c r="I1" s="900"/>
      <c r="J1" s="900"/>
      <c r="K1" s="900"/>
      <c r="L1" s="900"/>
      <c r="M1" s="900"/>
      <c r="N1" s="900"/>
      <c r="O1" s="900"/>
      <c r="P1" s="900"/>
      <c r="Q1" s="900"/>
      <c r="R1" s="900"/>
      <c r="S1" s="900"/>
      <c r="T1" s="900"/>
      <c r="U1" s="900"/>
    </row>
    <row r="2" spans="1:28" ht="14.45" customHeight="1" x14ac:dyDescent="0.25">
      <c r="A2" s="782">
        <v>1</v>
      </c>
      <c r="B2" s="782" t="s">
        <v>0</v>
      </c>
      <c r="C2" s="782">
        <f>1+'Educator Learner ratio'!C2</f>
        <v>43</v>
      </c>
      <c r="D2" s="4126" t="s">
        <v>434</v>
      </c>
      <c r="E2" s="4127"/>
      <c r="F2" s="4127"/>
      <c r="G2" s="4127"/>
      <c r="H2" s="4127"/>
      <c r="I2" s="4127"/>
      <c r="J2" s="4127"/>
      <c r="K2" s="4127"/>
      <c r="L2" s="4127"/>
      <c r="M2" s="4127"/>
      <c r="N2" s="4127"/>
      <c r="O2" s="4127"/>
      <c r="P2" s="4127"/>
      <c r="Q2" s="4127"/>
      <c r="R2" s="4127"/>
      <c r="S2" s="4127"/>
      <c r="T2" s="4127"/>
      <c r="U2" s="4127"/>
      <c r="V2" s="4127"/>
      <c r="W2" s="4127"/>
      <c r="X2" s="4127"/>
      <c r="Y2" s="4128"/>
    </row>
    <row r="3" spans="1:28" x14ac:dyDescent="0.25">
      <c r="A3" s="782">
        <v>2</v>
      </c>
      <c r="B3" s="782" t="s">
        <v>2</v>
      </c>
      <c r="C3" s="782"/>
      <c r="D3" s="4126" t="s">
        <v>402</v>
      </c>
      <c r="E3" s="4127"/>
      <c r="F3" s="4127"/>
      <c r="G3" s="4127"/>
      <c r="H3" s="4127"/>
      <c r="I3" s="4127"/>
      <c r="J3" s="4127"/>
      <c r="K3" s="4127"/>
      <c r="L3" s="4127"/>
      <c r="M3" s="4127"/>
      <c r="N3" s="4127"/>
      <c r="O3" s="4127"/>
      <c r="P3" s="4127"/>
      <c r="Q3" s="4127"/>
      <c r="R3" s="4127"/>
      <c r="S3" s="4127"/>
      <c r="T3" s="4127"/>
      <c r="U3" s="4127"/>
      <c r="V3" s="4127"/>
      <c r="W3" s="4127"/>
      <c r="X3" s="4127"/>
      <c r="Y3" s="4128"/>
    </row>
    <row r="4" spans="1:28" ht="15" customHeight="1" x14ac:dyDescent="0.25">
      <c r="A4" s="782">
        <v>3</v>
      </c>
      <c r="B4" s="782" t="s">
        <v>4</v>
      </c>
      <c r="C4" s="782"/>
      <c r="D4" s="4126" t="s">
        <v>435</v>
      </c>
      <c r="E4" s="4127"/>
      <c r="F4" s="4127"/>
      <c r="G4" s="4127"/>
      <c r="H4" s="4127"/>
      <c r="I4" s="4127"/>
      <c r="J4" s="4127"/>
      <c r="K4" s="4127"/>
      <c r="L4" s="4127"/>
      <c r="M4" s="4127"/>
      <c r="N4" s="4127"/>
      <c r="O4" s="4127"/>
      <c r="P4" s="4127"/>
      <c r="Q4" s="4127"/>
      <c r="R4" s="4127"/>
      <c r="S4" s="4127"/>
      <c r="T4" s="4127"/>
      <c r="U4" s="4127"/>
      <c r="V4" s="4127"/>
      <c r="W4" s="4127"/>
      <c r="X4" s="4127"/>
      <c r="Y4" s="4128"/>
    </row>
    <row r="5" spans="1:28" x14ac:dyDescent="0.25">
      <c r="C5" s="902"/>
      <c r="D5" s="956"/>
    </row>
    <row r="6" spans="1:28" x14ac:dyDescent="0.25">
      <c r="A6" s="782">
        <v>4</v>
      </c>
      <c r="B6" s="902" t="s">
        <v>5</v>
      </c>
      <c r="D6" s="123" t="s">
        <v>40</v>
      </c>
      <c r="E6" s="122" t="s">
        <v>436</v>
      </c>
      <c r="F6" s="122"/>
      <c r="G6" s="122"/>
      <c r="H6" s="122"/>
      <c r="I6" s="122"/>
      <c r="J6" s="122"/>
      <c r="K6" s="122"/>
      <c r="L6" s="122"/>
      <c r="M6" s="900"/>
      <c r="N6" s="900"/>
      <c r="O6" s="900"/>
      <c r="P6" s="900"/>
      <c r="Q6" s="900"/>
      <c r="R6" s="900"/>
      <c r="S6" s="900"/>
      <c r="T6" s="900"/>
      <c r="U6" s="900"/>
    </row>
    <row r="7" spans="1:28" s="998" customFormat="1" x14ac:dyDescent="0.25">
      <c r="A7" s="989"/>
      <c r="B7" s="942"/>
      <c r="C7" s="942"/>
      <c r="D7" s="990"/>
      <c r="E7" s="991">
        <v>1997</v>
      </c>
      <c r="F7" s="991">
        <v>1998</v>
      </c>
      <c r="G7" s="991">
        <v>1999</v>
      </c>
      <c r="H7" s="991">
        <v>2000</v>
      </c>
      <c r="I7" s="991">
        <v>2001</v>
      </c>
      <c r="J7" s="991">
        <v>2002</v>
      </c>
      <c r="K7" s="991">
        <v>2003</v>
      </c>
      <c r="L7" s="991">
        <v>2004</v>
      </c>
      <c r="M7" s="991">
        <v>2005</v>
      </c>
      <c r="N7" s="992">
        <v>2006</v>
      </c>
      <c r="O7" s="992">
        <v>2007</v>
      </c>
      <c r="P7" s="992">
        <v>2008</v>
      </c>
      <c r="Q7" s="992">
        <v>2009</v>
      </c>
      <c r="R7" s="992">
        <v>2010</v>
      </c>
      <c r="S7" s="992">
        <v>2011</v>
      </c>
      <c r="T7" s="992">
        <v>2012</v>
      </c>
      <c r="U7" s="992">
        <v>2013</v>
      </c>
      <c r="V7" s="992">
        <v>2014</v>
      </c>
      <c r="W7" s="993">
        <v>2015</v>
      </c>
      <c r="X7" s="993">
        <v>2016</v>
      </c>
      <c r="Y7" s="994">
        <v>2017</v>
      </c>
      <c r="Z7" s="995"/>
      <c r="AA7" s="996"/>
      <c r="AB7" s="997"/>
    </row>
    <row r="8" spans="1:28" s="196" customFormat="1" ht="12.75" x14ac:dyDescent="0.2">
      <c r="A8" s="999"/>
      <c r="B8" s="1000"/>
      <c r="C8" s="1000"/>
      <c r="D8" s="371" t="s">
        <v>437</v>
      </c>
      <c r="E8" s="1001"/>
      <c r="F8" s="1001"/>
      <c r="G8" s="1001"/>
      <c r="H8" s="1001"/>
      <c r="I8" s="1001"/>
      <c r="J8" s="1001"/>
      <c r="K8" s="1001"/>
      <c r="L8" s="1001"/>
      <c r="M8" s="1001"/>
      <c r="N8" s="1002"/>
      <c r="O8" s="1002"/>
      <c r="P8" s="1002"/>
      <c r="Q8" s="1002"/>
      <c r="R8" s="1002"/>
      <c r="S8" s="1002"/>
      <c r="T8" s="1002"/>
      <c r="U8" s="1002"/>
      <c r="V8" s="1002"/>
      <c r="W8" s="1003"/>
      <c r="X8" s="1003"/>
      <c r="Y8" s="1004"/>
      <c r="Z8" s="669"/>
      <c r="AA8" s="1005"/>
      <c r="AB8" s="1006"/>
    </row>
    <row r="9" spans="1:28" s="196" customFormat="1" ht="12.75" x14ac:dyDescent="0.2">
      <c r="A9" s="999"/>
      <c r="B9" s="1000"/>
      <c r="C9" s="1000"/>
      <c r="D9" s="139" t="s">
        <v>438</v>
      </c>
      <c r="E9" s="1007">
        <v>116.46884349643946</v>
      </c>
      <c r="F9" s="1007">
        <v>114.64542675075597</v>
      </c>
      <c r="G9" s="1007">
        <v>112.6701441518783</v>
      </c>
      <c r="H9" s="1007">
        <v>103.15922078685679</v>
      </c>
      <c r="I9" s="1007">
        <v>102.75689666055395</v>
      </c>
      <c r="J9" s="1007">
        <v>103.042517648174</v>
      </c>
      <c r="K9" s="1007">
        <v>102.63462601815201</v>
      </c>
      <c r="L9" s="1007">
        <v>101.99929937820961</v>
      </c>
      <c r="M9" s="1007">
        <v>101</v>
      </c>
      <c r="N9" s="1008">
        <v>106.53</v>
      </c>
      <c r="O9" s="1008">
        <v>101.6</v>
      </c>
      <c r="P9" s="1008">
        <v>96.637409507176358</v>
      </c>
      <c r="Q9" s="1008">
        <v>96</v>
      </c>
      <c r="R9" s="1008">
        <v>94.659830579029986</v>
      </c>
      <c r="S9" s="1008">
        <v>91</v>
      </c>
      <c r="T9" s="1008">
        <v>96</v>
      </c>
      <c r="U9" s="1008">
        <v>96.809171484516895</v>
      </c>
      <c r="V9" s="1008">
        <v>97</v>
      </c>
      <c r="W9" s="1009">
        <v>97</v>
      </c>
      <c r="X9" s="1009">
        <v>97</v>
      </c>
      <c r="Y9" s="1010">
        <v>97</v>
      </c>
      <c r="Z9" s="1011"/>
      <c r="AA9" s="1012"/>
      <c r="AB9" s="1013"/>
    </row>
    <row r="10" spans="1:28" s="196" customFormat="1" ht="12.75" x14ac:dyDescent="0.2">
      <c r="A10" s="999"/>
      <c r="B10" s="1000"/>
      <c r="C10" s="1000"/>
      <c r="D10" s="139" t="s">
        <v>439</v>
      </c>
      <c r="E10" s="1007">
        <v>119.79873206170512</v>
      </c>
      <c r="F10" s="1007">
        <v>117.8683216439664</v>
      </c>
      <c r="G10" s="1007">
        <v>116.32950113900253</v>
      </c>
      <c r="H10" s="1007">
        <v>108.86587682439261</v>
      </c>
      <c r="I10" s="1007">
        <v>107.06945248946968</v>
      </c>
      <c r="J10" s="1007">
        <v>107.1474767650661</v>
      </c>
      <c r="K10" s="1007">
        <v>107.04120464798635</v>
      </c>
      <c r="L10" s="1007">
        <v>106.80439525965599</v>
      </c>
      <c r="M10" s="1007">
        <v>105</v>
      </c>
      <c r="N10" s="1008">
        <v>101.41</v>
      </c>
      <c r="O10" s="1008">
        <v>105.18</v>
      </c>
      <c r="P10" s="1008">
        <v>99.061288446299514</v>
      </c>
      <c r="Q10" s="1008">
        <v>99</v>
      </c>
      <c r="R10" s="1008">
        <v>98.554415682065653</v>
      </c>
      <c r="S10" s="1008">
        <v>95</v>
      </c>
      <c r="T10" s="1008">
        <v>101</v>
      </c>
      <c r="U10" s="1008">
        <v>102.4324751311642</v>
      </c>
      <c r="V10" s="1008">
        <v>101</v>
      </c>
      <c r="W10" s="1009">
        <v>101</v>
      </c>
      <c r="X10" s="1009">
        <v>101</v>
      </c>
      <c r="Y10" s="1010">
        <v>105</v>
      </c>
      <c r="Z10" s="1011"/>
      <c r="AA10" s="1012"/>
      <c r="AB10" s="1013"/>
    </row>
    <row r="11" spans="1:28" s="196" customFormat="1" ht="12.75" x14ac:dyDescent="0.2">
      <c r="A11" s="999"/>
      <c r="B11" s="1000"/>
      <c r="C11" s="1000"/>
      <c r="D11" s="1014" t="s">
        <v>440</v>
      </c>
      <c r="E11" s="1015">
        <v>0.97220430877723707</v>
      </c>
      <c r="F11" s="1015">
        <v>0.97265681865781106</v>
      </c>
      <c r="G11" s="1015">
        <v>0.96854317304471504</v>
      </c>
      <c r="H11" s="1015">
        <v>0.94758085633443245</v>
      </c>
      <c r="I11" s="1015">
        <v>0.95972188398609892</v>
      </c>
      <c r="J11" s="1015">
        <v>0.96168870009050489</v>
      </c>
      <c r="K11" s="1015">
        <v>0.95883287520608784</v>
      </c>
      <c r="L11" s="1015">
        <v>0.95501031704018791</v>
      </c>
      <c r="M11" s="1015">
        <v>0.96190476190476193</v>
      </c>
      <c r="N11" s="1016">
        <v>0.96</v>
      </c>
      <c r="O11" s="1016">
        <v>0.96596311085757736</v>
      </c>
      <c r="P11" s="1016">
        <v>0.98</v>
      </c>
      <c r="Q11" s="1016">
        <v>0.98</v>
      </c>
      <c r="R11" s="1016">
        <v>0.96048289591001679</v>
      </c>
      <c r="S11" s="1016">
        <v>0.95789473684210524</v>
      </c>
      <c r="T11" s="1016">
        <v>0.95049504950495045</v>
      </c>
      <c r="U11" s="1016">
        <v>0.94510233556841527</v>
      </c>
      <c r="V11" s="1016">
        <v>0.96</v>
      </c>
      <c r="W11" s="1017">
        <v>0.96</v>
      </c>
      <c r="X11" s="1017">
        <v>0.96</v>
      </c>
      <c r="Y11" s="1018">
        <v>0.94</v>
      </c>
      <c r="Z11" s="1019"/>
      <c r="AA11" s="1020"/>
      <c r="AB11" s="1021"/>
    </row>
    <row r="12" spans="1:28" s="196" customFormat="1" ht="12.75" x14ac:dyDescent="0.2">
      <c r="A12" s="999"/>
      <c r="B12" s="1000"/>
      <c r="C12" s="1000"/>
      <c r="D12" s="371" t="s">
        <v>441</v>
      </c>
      <c r="E12" s="1001"/>
      <c r="F12" s="1001"/>
      <c r="G12" s="1001"/>
      <c r="H12" s="1001"/>
      <c r="I12" s="1001"/>
      <c r="J12" s="1001"/>
      <c r="K12" s="1001"/>
      <c r="L12" s="1001"/>
      <c r="M12" s="1001"/>
      <c r="N12" s="1002"/>
      <c r="O12" s="1002"/>
      <c r="P12" s="1022"/>
      <c r="Q12" s="1022"/>
      <c r="R12" s="1022"/>
      <c r="S12" s="1022"/>
      <c r="T12" s="1022"/>
      <c r="U12" s="1022"/>
      <c r="V12" s="1022"/>
      <c r="W12" s="1023"/>
      <c r="X12" s="1023"/>
      <c r="Y12" s="1024"/>
      <c r="Z12" s="1019"/>
      <c r="AA12" s="1020"/>
      <c r="AB12" s="1021"/>
    </row>
    <row r="13" spans="1:28" s="196" customFormat="1" ht="12.75" x14ac:dyDescent="0.2">
      <c r="A13" s="999"/>
      <c r="B13" s="1000"/>
      <c r="C13" s="1000"/>
      <c r="D13" s="139" t="s">
        <v>442</v>
      </c>
      <c r="E13" s="1007">
        <v>89.826645801043512</v>
      </c>
      <c r="F13" s="1007">
        <v>91.624834429406604</v>
      </c>
      <c r="G13" s="1007">
        <v>90.636810492291815</v>
      </c>
      <c r="H13" s="1007">
        <v>87.366434134254817</v>
      </c>
      <c r="I13" s="1007">
        <v>88.732898814251541</v>
      </c>
      <c r="J13" s="1007">
        <v>89.658810754319731</v>
      </c>
      <c r="K13" s="1007">
        <v>90.644396594581593</v>
      </c>
      <c r="L13" s="1007">
        <v>92.803666816366288</v>
      </c>
      <c r="M13" s="1007">
        <v>92</v>
      </c>
      <c r="N13" s="1008">
        <v>97.59</v>
      </c>
      <c r="O13" s="1008">
        <v>93.3</v>
      </c>
      <c r="P13" s="1008">
        <v>87.881619560637901</v>
      </c>
      <c r="Q13" s="1008">
        <v>83</v>
      </c>
      <c r="R13" s="1008">
        <v>88.363376071830601</v>
      </c>
      <c r="S13" s="1008">
        <v>90</v>
      </c>
      <c r="T13" s="1008">
        <v>92</v>
      </c>
      <c r="U13" s="1008">
        <v>91.597094298506192</v>
      </c>
      <c r="V13" s="1008">
        <v>91</v>
      </c>
      <c r="W13" s="1009">
        <v>97</v>
      </c>
      <c r="X13" s="1009">
        <v>97</v>
      </c>
      <c r="Y13" s="1010">
        <v>99</v>
      </c>
      <c r="Z13" s="1011"/>
      <c r="AA13" s="1012"/>
      <c r="AB13" s="1013"/>
    </row>
    <row r="14" spans="1:28" s="196" customFormat="1" ht="12.75" x14ac:dyDescent="0.2">
      <c r="A14" s="999"/>
      <c r="B14" s="1000"/>
      <c r="C14" s="1000"/>
      <c r="D14" s="139" t="s">
        <v>443</v>
      </c>
      <c r="E14" s="1007">
        <v>77.295368318125441</v>
      </c>
      <c r="F14" s="1007">
        <v>79.955259158653661</v>
      </c>
      <c r="G14" s="1007">
        <v>79.551541748294881</v>
      </c>
      <c r="H14" s="1007">
        <v>77.494055709824195</v>
      </c>
      <c r="I14" s="1007">
        <v>79.280437367959479</v>
      </c>
      <c r="J14" s="1007">
        <v>81.280335324831711</v>
      </c>
      <c r="K14" s="1007">
        <v>82.843738951410302</v>
      </c>
      <c r="L14" s="1007">
        <v>84.619954764370547</v>
      </c>
      <c r="M14" s="1007">
        <v>85</v>
      </c>
      <c r="N14" s="1008">
        <v>80.8</v>
      </c>
      <c r="O14" s="1008">
        <v>88.17</v>
      </c>
      <c r="P14" s="1008">
        <v>81.61571145575158</v>
      </c>
      <c r="Q14" s="1008">
        <v>82</v>
      </c>
      <c r="R14" s="1008">
        <v>82.522334185123782</v>
      </c>
      <c r="S14" s="1008">
        <v>84</v>
      </c>
      <c r="T14" s="1008">
        <v>86</v>
      </c>
      <c r="U14" s="1008">
        <v>86.385034696440968</v>
      </c>
      <c r="V14" s="1008">
        <v>86</v>
      </c>
      <c r="W14" s="1009">
        <v>92</v>
      </c>
      <c r="X14" s="1009">
        <v>91</v>
      </c>
      <c r="Y14" s="1010">
        <v>95</v>
      </c>
      <c r="Z14" s="1011"/>
      <c r="AA14" s="1012"/>
      <c r="AB14" s="1013"/>
    </row>
    <row r="15" spans="1:28" s="196" customFormat="1" ht="12.75" x14ac:dyDescent="0.2">
      <c r="A15" s="999"/>
      <c r="B15" s="1000"/>
      <c r="C15" s="1000"/>
      <c r="D15" s="1014" t="s">
        <v>444</v>
      </c>
      <c r="E15" s="1015">
        <v>1.1621219712847857</v>
      </c>
      <c r="F15" s="1015">
        <v>1.145951315692658</v>
      </c>
      <c r="G15" s="1015">
        <v>1.1393470007039119</v>
      </c>
      <c r="H15" s="1015">
        <v>1.1273952993426704</v>
      </c>
      <c r="I15" s="1015">
        <v>1.1192281697743534</v>
      </c>
      <c r="J15" s="1015">
        <v>1.1030812114148394</v>
      </c>
      <c r="K15" s="1015">
        <v>1.0941611006686522</v>
      </c>
      <c r="L15" s="1015">
        <v>1.0967113735144836</v>
      </c>
      <c r="M15" s="1015">
        <v>1.0823529411764705</v>
      </c>
      <c r="N15" s="1016">
        <v>1.0900000000000001</v>
      </c>
      <c r="O15" s="1016">
        <v>1.0580000000000001</v>
      </c>
      <c r="P15" s="1016">
        <v>1.08</v>
      </c>
      <c r="Q15" s="1016">
        <v>1.01</v>
      </c>
      <c r="R15" s="1016">
        <v>1.07078134597603</v>
      </c>
      <c r="S15" s="1016">
        <v>1.0714285714285714</v>
      </c>
      <c r="T15" s="1016">
        <v>1.069767441860465</v>
      </c>
      <c r="U15" s="1016">
        <v>1.0603352145470628</v>
      </c>
      <c r="V15" s="1016">
        <v>1.07</v>
      </c>
      <c r="W15" s="1017">
        <v>1.05</v>
      </c>
      <c r="X15" s="1017">
        <v>1.06</v>
      </c>
      <c r="Y15" s="1018">
        <v>1.04</v>
      </c>
      <c r="Z15" s="1019"/>
      <c r="AA15" s="1020"/>
      <c r="AB15" s="1021"/>
    </row>
    <row r="16" spans="1:28" s="196" customFormat="1" ht="12.75" x14ac:dyDescent="0.2">
      <c r="A16" s="999"/>
      <c r="B16" s="1000"/>
      <c r="C16" s="1000"/>
      <c r="D16" s="371" t="s">
        <v>445</v>
      </c>
      <c r="E16" s="1025"/>
      <c r="F16" s="1025"/>
      <c r="G16" s="1025"/>
      <c r="H16" s="1025"/>
      <c r="I16" s="1025"/>
      <c r="J16" s="1025"/>
      <c r="K16" s="1025"/>
      <c r="L16" s="1025"/>
      <c r="M16" s="1025"/>
      <c r="N16" s="1022"/>
      <c r="O16" s="1022"/>
      <c r="P16" s="1022"/>
      <c r="Q16" s="1022"/>
      <c r="R16" s="1022"/>
      <c r="S16" s="1022"/>
      <c r="T16" s="1022"/>
      <c r="U16" s="1022"/>
      <c r="V16" s="1022"/>
      <c r="W16" s="1023"/>
      <c r="X16" s="1023"/>
      <c r="Y16" s="1024"/>
      <c r="Z16" s="1019"/>
      <c r="AA16" s="1020"/>
      <c r="AB16" s="1021"/>
    </row>
    <row r="17" spans="1:28" s="196" customFormat="1" ht="12.75" x14ac:dyDescent="0.2">
      <c r="A17" s="999"/>
      <c r="B17" s="1000"/>
      <c r="C17" s="1000"/>
      <c r="D17" s="139" t="s">
        <v>446</v>
      </c>
      <c r="E17" s="1007">
        <v>105.59343184716576</v>
      </c>
      <c r="F17" s="1007">
        <v>105.21637636044481</v>
      </c>
      <c r="G17" s="1007">
        <v>103.65264189378658</v>
      </c>
      <c r="H17" s="1007">
        <v>96.757884772191375</v>
      </c>
      <c r="I17" s="1007">
        <v>97.084292464482971</v>
      </c>
      <c r="J17" s="1007">
        <v>97.638166119700699</v>
      </c>
      <c r="K17" s="1007">
        <v>97.789199593132409</v>
      </c>
      <c r="L17" s="1007">
        <v>98.264991992196755</v>
      </c>
      <c r="M17" s="1026">
        <v>97</v>
      </c>
      <c r="N17" s="1008">
        <v>94</v>
      </c>
      <c r="O17" s="1027">
        <v>98.45</v>
      </c>
      <c r="P17" s="1008">
        <v>93.018484575991323</v>
      </c>
      <c r="Q17" s="1008">
        <v>92</v>
      </c>
      <c r="R17" s="1008">
        <v>92.021667424361581</v>
      </c>
      <c r="S17" s="1008">
        <v>91</v>
      </c>
      <c r="T17" s="1008">
        <v>94</v>
      </c>
      <c r="U17" s="1008">
        <v>94.611554888294307</v>
      </c>
      <c r="V17" s="1008">
        <v>95</v>
      </c>
      <c r="W17" s="1009">
        <v>97</v>
      </c>
      <c r="X17" s="1009">
        <v>97</v>
      </c>
      <c r="Y17" s="1010">
        <v>98</v>
      </c>
      <c r="Z17" s="1011"/>
      <c r="AA17" s="1012"/>
      <c r="AB17" s="1013"/>
    </row>
    <row r="18" spans="1:28" s="196" customFormat="1" ht="12.75" x14ac:dyDescent="0.2">
      <c r="A18" s="999"/>
      <c r="B18" s="1000"/>
      <c r="C18" s="1000"/>
      <c r="D18" s="139" t="s">
        <v>447</v>
      </c>
      <c r="E18" s="1001">
        <v>102.5136168092352</v>
      </c>
      <c r="F18" s="1001">
        <v>102.38558895365368</v>
      </c>
      <c r="G18" s="1001">
        <v>101.30752021558165</v>
      </c>
      <c r="H18" s="1001">
        <v>96.155874774198068</v>
      </c>
      <c r="I18" s="1001">
        <v>95.836663358432659</v>
      </c>
      <c r="J18" s="1001">
        <v>96.71165756765788</v>
      </c>
      <c r="K18" s="1001">
        <v>97.2754824850782</v>
      </c>
      <c r="L18" s="1001">
        <v>97.812304119842636</v>
      </c>
      <c r="M18" s="1001">
        <v>97</v>
      </c>
      <c r="N18" s="1002">
        <v>93</v>
      </c>
      <c r="O18" s="1002">
        <v>97.85</v>
      </c>
      <c r="P18" s="1008">
        <v>91.863519207021469</v>
      </c>
      <c r="Q18" s="1008">
        <v>90</v>
      </c>
      <c r="R18" s="1008">
        <v>91.849680108833823</v>
      </c>
      <c r="S18" s="1008">
        <v>91</v>
      </c>
      <c r="T18" s="1008">
        <v>95</v>
      </c>
      <c r="U18" s="1008">
        <v>95.677043767544234</v>
      </c>
      <c r="V18" s="1008">
        <v>95</v>
      </c>
      <c r="W18" s="1009">
        <v>97</v>
      </c>
      <c r="X18" s="1009">
        <v>96</v>
      </c>
      <c r="Y18" s="1010">
        <v>100</v>
      </c>
      <c r="Z18" s="1011"/>
      <c r="AA18" s="1012"/>
      <c r="AB18" s="1013"/>
    </row>
    <row r="19" spans="1:28" s="196" customFormat="1" ht="12.75" x14ac:dyDescent="0.2">
      <c r="A19" s="999"/>
      <c r="B19" s="1000"/>
      <c r="C19" s="1000"/>
      <c r="D19" s="148" t="s">
        <v>448</v>
      </c>
      <c r="E19" s="1028">
        <v>1.03</v>
      </c>
      <c r="F19" s="1028">
        <v>1.0269999999999999</v>
      </c>
      <c r="G19" s="1028">
        <v>1.0229999999999999</v>
      </c>
      <c r="H19" s="1028">
        <v>1.006</v>
      </c>
      <c r="I19" s="1028">
        <v>1.0129999999999999</v>
      </c>
      <c r="J19" s="1028">
        <v>1.0089999999999999</v>
      </c>
      <c r="K19" s="1028">
        <v>1.0049999999999999</v>
      </c>
      <c r="L19" s="1028">
        <v>1.004</v>
      </c>
      <c r="M19" s="1028">
        <v>1</v>
      </c>
      <c r="N19" s="1029">
        <v>1.01</v>
      </c>
      <c r="O19" s="1029">
        <v>1.0061318344404702</v>
      </c>
      <c r="P19" s="1029">
        <v>1.01</v>
      </c>
      <c r="Q19" s="1029">
        <v>1.02</v>
      </c>
      <c r="R19" s="1029">
        <v>1.0018724868211186</v>
      </c>
      <c r="S19" s="1029">
        <v>1</v>
      </c>
      <c r="T19" s="1029">
        <v>0.98947368421052628</v>
      </c>
      <c r="U19" s="1029">
        <v>0.98886369355392478</v>
      </c>
      <c r="V19" s="1029">
        <v>1</v>
      </c>
      <c r="W19" s="1030">
        <v>1</v>
      </c>
      <c r="X19" s="1030">
        <v>1.01</v>
      </c>
      <c r="Y19" s="1031">
        <v>0.98</v>
      </c>
      <c r="Z19" s="1019"/>
      <c r="AA19" s="1020"/>
      <c r="AB19" s="1021"/>
    </row>
    <row r="20" spans="1:28" s="196" customFormat="1" ht="12.75" x14ac:dyDescent="0.2">
      <c r="A20" s="999"/>
      <c r="B20" s="1000"/>
      <c r="C20" s="1000"/>
      <c r="D20" s="139"/>
      <c r="E20" s="1032"/>
      <c r="F20" s="1032"/>
      <c r="G20" s="1032"/>
      <c r="H20" s="1032"/>
      <c r="I20" s="1032"/>
      <c r="J20" s="1032"/>
      <c r="K20" s="1032"/>
      <c r="L20" s="1032"/>
      <c r="M20" s="1032"/>
      <c r="N20" s="1021"/>
      <c r="O20" s="1021"/>
      <c r="P20" s="1021"/>
      <c r="Q20" s="1021"/>
      <c r="R20" s="1021"/>
      <c r="S20" s="1021"/>
      <c r="T20" s="1021"/>
      <c r="U20" s="1021"/>
    </row>
    <row r="21" spans="1:28" s="196" customFormat="1" ht="12.75" x14ac:dyDescent="0.2">
      <c r="A21" s="999"/>
      <c r="B21" s="1000"/>
      <c r="C21" s="1000"/>
      <c r="D21" s="139"/>
      <c r="E21" s="1032"/>
      <c r="F21" s="1032"/>
      <c r="G21" s="1032"/>
      <c r="H21" s="1032"/>
      <c r="I21" s="1032"/>
      <c r="J21" s="1032"/>
      <c r="K21" s="1032"/>
      <c r="L21" s="1032"/>
      <c r="M21" s="1032"/>
      <c r="N21" s="1021"/>
      <c r="O21" s="1021"/>
      <c r="P21" s="1021"/>
      <c r="Q21" s="1021"/>
      <c r="R21" s="1021"/>
      <c r="S21" s="1021"/>
      <c r="T21" s="1021"/>
      <c r="U21" s="1021"/>
    </row>
    <row r="22" spans="1:28" s="196" customFormat="1" ht="12.75" x14ac:dyDescent="0.2">
      <c r="A22" s="999"/>
      <c r="B22" s="1000"/>
      <c r="C22" s="1000"/>
      <c r="D22" s="139"/>
      <c r="E22" s="1032"/>
      <c r="F22" s="1032"/>
      <c r="G22" s="1032"/>
      <c r="H22" s="1032"/>
      <c r="I22" s="1032"/>
      <c r="J22" s="1032"/>
      <c r="K22" s="1032"/>
      <c r="L22" s="1032"/>
      <c r="M22" s="1032"/>
      <c r="N22" s="1021"/>
      <c r="O22" s="1021"/>
      <c r="P22" s="1021"/>
      <c r="Q22" s="1021"/>
      <c r="R22" s="1021"/>
      <c r="S22" s="1021"/>
      <c r="T22" s="1021"/>
      <c r="U22" s="1021"/>
    </row>
    <row r="23" spans="1:28" s="196" customFormat="1" ht="12.75" x14ac:dyDescent="0.2">
      <c r="A23" s="999"/>
      <c r="B23" s="1000"/>
      <c r="C23" s="1000"/>
      <c r="D23" s="180" t="s">
        <v>67</v>
      </c>
      <c r="E23" s="123" t="s">
        <v>449</v>
      </c>
      <c r="F23" s="1033"/>
      <c r="G23" s="1033"/>
      <c r="H23" s="1033"/>
      <c r="I23" s="1033"/>
      <c r="J23" s="1033"/>
      <c r="K23" s="1033"/>
      <c r="L23" s="1033"/>
      <c r="M23" s="1033"/>
      <c r="N23" s="1034"/>
      <c r="O23" s="1034"/>
      <c r="P23" s="1034"/>
      <c r="Q23" s="1034"/>
      <c r="R23" s="1034"/>
      <c r="S23" s="1034"/>
      <c r="T23" s="1034"/>
      <c r="U23" s="1034"/>
      <c r="V23" s="1035"/>
      <c r="W23" s="96"/>
      <c r="X23" s="96"/>
    </row>
    <row r="24" spans="1:28" s="96" customFormat="1" ht="12.75" x14ac:dyDescent="0.2">
      <c r="A24" s="1036"/>
      <c r="B24" s="365"/>
      <c r="C24" s="365"/>
      <c r="D24" s="1037"/>
      <c r="E24" s="991">
        <v>1997</v>
      </c>
      <c r="F24" s="991">
        <v>1998</v>
      </c>
      <c r="G24" s="991">
        <v>1999</v>
      </c>
      <c r="H24" s="991">
        <v>2000</v>
      </c>
      <c r="I24" s="991">
        <v>2001</v>
      </c>
      <c r="J24" s="991">
        <v>2002</v>
      </c>
      <c r="K24" s="991">
        <v>2003</v>
      </c>
      <c r="L24" s="991">
        <v>2004</v>
      </c>
      <c r="M24" s="991">
        <v>2005</v>
      </c>
      <c r="N24" s="992">
        <v>2006</v>
      </c>
      <c r="O24" s="992">
        <v>2007</v>
      </c>
      <c r="P24" s="992">
        <v>2008</v>
      </c>
      <c r="Q24" s="992">
        <v>2009</v>
      </c>
      <c r="R24" s="992">
        <v>2010</v>
      </c>
      <c r="S24" s="992">
        <v>2011</v>
      </c>
      <c r="T24" s="992">
        <v>2012</v>
      </c>
      <c r="U24" s="992">
        <v>2013</v>
      </c>
      <c r="V24" s="992">
        <v>2014</v>
      </c>
      <c r="W24" s="993">
        <v>2015</v>
      </c>
      <c r="X24" s="994">
        <v>2016</v>
      </c>
      <c r="Y24" s="196"/>
      <c r="Z24" s="995"/>
      <c r="AA24" s="996"/>
      <c r="AB24" s="997"/>
    </row>
    <row r="25" spans="1:28" s="196" customFormat="1" ht="12.75" x14ac:dyDescent="0.2">
      <c r="A25" s="999"/>
      <c r="B25" s="1000"/>
      <c r="C25" s="1000"/>
      <c r="D25" s="371" t="s">
        <v>450</v>
      </c>
      <c r="E25" s="1025"/>
      <c r="F25" s="1025"/>
      <c r="G25" s="1025"/>
      <c r="H25" s="1038"/>
      <c r="I25" s="1038"/>
      <c r="J25" s="1038"/>
      <c r="K25" s="1038"/>
      <c r="L25" s="1038"/>
      <c r="M25" s="1038"/>
      <c r="N25" s="1038"/>
      <c r="O25" s="1038"/>
      <c r="P25" s="1038"/>
      <c r="Q25" s="1038"/>
      <c r="R25" s="1038"/>
      <c r="S25" s="1022"/>
      <c r="T25" s="1038"/>
      <c r="U25" s="1038"/>
      <c r="V25" s="1038"/>
      <c r="W25" s="1039"/>
      <c r="X25" s="1040"/>
      <c r="Z25" s="648"/>
      <c r="AA25" s="1041"/>
      <c r="AB25" s="96"/>
    </row>
    <row r="26" spans="1:28" s="196" customFormat="1" ht="12.75" x14ac:dyDescent="0.2">
      <c r="A26" s="999"/>
      <c r="B26" s="1000"/>
      <c r="C26" s="1000"/>
      <c r="D26" s="139" t="s">
        <v>451</v>
      </c>
      <c r="E26" s="1001">
        <v>12.667584064220822</v>
      </c>
      <c r="F26" s="1001">
        <v>12.757732016510623</v>
      </c>
      <c r="G26" s="1001">
        <v>12.652888547094962</v>
      </c>
      <c r="H26" s="1042">
        <v>13.586840093866437</v>
      </c>
      <c r="I26" s="1042">
        <v>15.119784422184605</v>
      </c>
      <c r="J26" s="1042">
        <v>15.922705845018109</v>
      </c>
      <c r="K26" s="1042">
        <v>16.564696337941488</v>
      </c>
      <c r="L26" s="1042">
        <v>17.467824797874005</v>
      </c>
      <c r="M26" s="1042">
        <v>17.36220034400398</v>
      </c>
      <c r="N26" s="1042">
        <v>17.609352407640063</v>
      </c>
      <c r="O26" s="1042">
        <v>18.137335912854869</v>
      </c>
      <c r="P26" s="1042">
        <v>18.600000000000001</v>
      </c>
      <c r="Q26" s="1042">
        <v>19.300222536920899</v>
      </c>
      <c r="R26" s="1042">
        <v>20.399999999999999</v>
      </c>
      <c r="S26" s="1042">
        <v>22.103847210659492</v>
      </c>
      <c r="T26" s="1043" t="s">
        <v>452</v>
      </c>
      <c r="U26" s="1043">
        <v>22.833029443936514</v>
      </c>
      <c r="V26" s="1043">
        <v>21.686733571709425</v>
      </c>
      <c r="W26" s="1044">
        <v>21.729589731506486</v>
      </c>
      <c r="X26" s="1045">
        <v>21.380933566375564</v>
      </c>
      <c r="Z26" s="1046"/>
      <c r="AA26" s="1047"/>
      <c r="AB26" s="1048"/>
    </row>
    <row r="27" spans="1:28" s="196" customFormat="1" ht="12.75" x14ac:dyDescent="0.2">
      <c r="A27" s="999"/>
      <c r="B27" s="1000"/>
      <c r="C27" s="1000"/>
      <c r="D27" s="139" t="s">
        <v>453</v>
      </c>
      <c r="E27" s="1001">
        <v>13.101344169028096</v>
      </c>
      <c r="F27" s="1001">
        <v>12.438615568491281</v>
      </c>
      <c r="G27" s="1001">
        <v>12.024259565992052</v>
      </c>
      <c r="H27" s="1042">
        <v>12.279098806886102</v>
      </c>
      <c r="I27" s="1042">
        <v>12.999059987642484</v>
      </c>
      <c r="J27" s="1042">
        <v>13.572086253944285</v>
      </c>
      <c r="K27" s="1042">
        <v>14.181559461290757</v>
      </c>
      <c r="L27" s="1042">
        <v>14.691559070993756</v>
      </c>
      <c r="M27" s="1042">
        <v>14.405550555275473</v>
      </c>
      <c r="N27" s="1042">
        <v>14.260220670722742</v>
      </c>
      <c r="O27" s="1042">
        <v>14.434189640492542</v>
      </c>
      <c r="P27" s="1042">
        <v>14.7</v>
      </c>
      <c r="Q27" s="1042">
        <v>14.641504041806156</v>
      </c>
      <c r="R27" s="1042">
        <v>15</v>
      </c>
      <c r="S27" s="1042">
        <v>15.923005217334794</v>
      </c>
      <c r="T27" s="1043" t="s">
        <v>454</v>
      </c>
      <c r="U27" s="1043">
        <v>16.00965485469483</v>
      </c>
      <c r="V27" s="1043">
        <v>15.185535689473229</v>
      </c>
      <c r="W27" s="1044">
        <v>15.442303395006693</v>
      </c>
      <c r="X27" s="1045">
        <v>15.34817940414678</v>
      </c>
      <c r="Z27" s="1046"/>
      <c r="AA27" s="1047"/>
      <c r="AB27" s="1048"/>
    </row>
    <row r="28" spans="1:28" x14ac:dyDescent="0.25">
      <c r="D28" s="148" t="s">
        <v>455</v>
      </c>
      <c r="E28" s="1049">
        <v>0.96689193878039681</v>
      </c>
      <c r="F28" s="1049">
        <v>1.0256553027354351</v>
      </c>
      <c r="G28" s="1049">
        <v>1.0522800574665609</v>
      </c>
      <c r="H28" s="1050">
        <v>1.1065014059701967</v>
      </c>
      <c r="I28" s="1050">
        <v>1.1631444455643856</v>
      </c>
      <c r="J28" s="1050">
        <v>1.1731951556372324</v>
      </c>
      <c r="K28" s="1050">
        <v>1.1680447685006445</v>
      </c>
      <c r="L28" s="1050">
        <v>1.188970123147894</v>
      </c>
      <c r="M28" s="1050">
        <v>1.2052437897033896</v>
      </c>
      <c r="N28" s="1050">
        <v>1.2348583387488057</v>
      </c>
      <c r="O28" s="1050">
        <v>1.2565538048616052</v>
      </c>
      <c r="P28" s="1050">
        <v>1.2653061224489797</v>
      </c>
      <c r="Q28" s="1051">
        <v>1.318185787594814</v>
      </c>
      <c r="R28" s="1050">
        <v>1.36</v>
      </c>
      <c r="S28" s="1050">
        <v>1.3881705688694896</v>
      </c>
      <c r="T28" s="1052">
        <v>1.42</v>
      </c>
      <c r="U28" s="1052">
        <v>1.4262037283858577</v>
      </c>
      <c r="V28" s="1052">
        <v>1.4281177836052827</v>
      </c>
      <c r="W28" s="1053">
        <v>1.4071469246312569</v>
      </c>
      <c r="X28" s="1054">
        <v>1.3930599195757936</v>
      </c>
      <c r="Y28" s="196"/>
      <c r="Z28" s="1055"/>
      <c r="AA28" s="1056"/>
      <c r="AB28" s="1057"/>
    </row>
    <row r="29" spans="1:28" x14ac:dyDescent="0.25">
      <c r="Y29" s="196"/>
    </row>
    <row r="31" spans="1:28" s="196" customFormat="1" ht="12.75" x14ac:dyDescent="0.2">
      <c r="A31" s="999"/>
      <c r="B31" s="1058"/>
      <c r="C31" s="1058"/>
      <c r="D31" s="1059"/>
      <c r="E31" s="1059"/>
      <c r="F31" s="1059"/>
      <c r="G31" s="1059"/>
      <c r="H31" s="1059"/>
      <c r="I31" s="1059"/>
      <c r="J31" s="1059"/>
      <c r="K31" s="1059"/>
      <c r="L31" s="1059"/>
      <c r="M31" s="1059"/>
      <c r="N31" s="1059"/>
      <c r="O31" s="1059"/>
      <c r="P31" s="1059"/>
      <c r="Q31" s="1059"/>
      <c r="R31" s="1059"/>
      <c r="S31" s="1059"/>
      <c r="T31" s="1059"/>
      <c r="U31" s="1059"/>
    </row>
    <row r="32" spans="1:28" s="196" customFormat="1" ht="12.75" x14ac:dyDescent="0.2">
      <c r="A32" s="782">
        <v>5</v>
      </c>
      <c r="B32" s="782" t="s">
        <v>90</v>
      </c>
      <c r="C32" s="782"/>
      <c r="D32" s="1059"/>
      <c r="E32" s="1059"/>
      <c r="F32" s="1059"/>
      <c r="G32" s="1059"/>
      <c r="H32" s="1059"/>
      <c r="I32" s="1059"/>
      <c r="J32" s="1059"/>
      <c r="K32" s="1059"/>
      <c r="L32" s="1059"/>
      <c r="M32" s="1059"/>
      <c r="N32" s="1059"/>
      <c r="O32" s="1059"/>
      <c r="P32" s="1059"/>
      <c r="Q32" s="1059"/>
      <c r="R32" s="1059"/>
      <c r="S32" s="1059"/>
      <c r="T32" s="1059"/>
      <c r="U32" s="1059"/>
    </row>
    <row r="33" spans="1:21" s="196" customFormat="1" ht="12.75" x14ac:dyDescent="0.2">
      <c r="A33" s="999"/>
      <c r="B33" s="957"/>
      <c r="C33" s="957"/>
      <c r="D33" s="1060"/>
      <c r="E33" s="1060"/>
      <c r="F33" s="1060"/>
      <c r="G33" s="1060"/>
      <c r="H33" s="1060"/>
      <c r="I33" s="1060"/>
      <c r="J33" s="1060"/>
      <c r="K33" s="1060"/>
      <c r="L33" s="1059"/>
      <c r="M33" s="1059"/>
      <c r="N33" s="1059"/>
      <c r="O33" s="1059"/>
      <c r="P33" s="1059"/>
      <c r="Q33" s="1059"/>
      <c r="R33" s="1059"/>
      <c r="S33" s="1059"/>
      <c r="T33" s="1059"/>
      <c r="U33" s="1059"/>
    </row>
    <row r="34" spans="1:21" s="196" customFormat="1" ht="12.75" x14ac:dyDescent="0.2">
      <c r="A34" s="999"/>
      <c r="B34" s="957"/>
      <c r="C34" s="957"/>
      <c r="D34" s="1060"/>
      <c r="E34" s="1060"/>
      <c r="F34" s="1060"/>
      <c r="G34" s="1060"/>
      <c r="H34" s="1060"/>
      <c r="I34" s="1060"/>
      <c r="J34" s="1060"/>
      <c r="K34" s="1060"/>
      <c r="L34" s="1059"/>
      <c r="M34" s="1059"/>
      <c r="N34" s="1059"/>
      <c r="O34" s="1059"/>
      <c r="P34" s="1059"/>
      <c r="Q34" s="1059"/>
      <c r="R34" s="1059"/>
      <c r="S34" s="1059"/>
      <c r="T34" s="1059"/>
      <c r="U34" s="1059"/>
    </row>
    <row r="35" spans="1:21" s="196" customFormat="1" ht="12.75" x14ac:dyDescent="0.2">
      <c r="A35" s="999"/>
      <c r="B35" s="957"/>
      <c r="C35" s="957"/>
      <c r="D35" s="1060"/>
      <c r="E35" s="1060"/>
      <c r="F35" s="1060"/>
      <c r="G35" s="1060"/>
      <c r="H35" s="1060"/>
      <c r="I35" s="1060"/>
      <c r="J35" s="1060"/>
      <c r="K35" s="1060"/>
      <c r="L35" s="1059"/>
      <c r="M35" s="1059"/>
      <c r="N35" s="1059"/>
      <c r="O35" s="1059"/>
      <c r="P35" s="1059"/>
      <c r="Q35" s="1059"/>
      <c r="R35" s="1059"/>
      <c r="S35" s="1059"/>
      <c r="T35" s="1059"/>
      <c r="U35" s="1059"/>
    </row>
    <row r="36" spans="1:21" s="196" customFormat="1" ht="12.75" x14ac:dyDescent="0.2">
      <c r="A36" s="999"/>
      <c r="B36" s="957"/>
      <c r="C36" s="957"/>
      <c r="D36" s="1060"/>
      <c r="E36" s="1060"/>
      <c r="F36" s="1060"/>
      <c r="G36" s="1060"/>
      <c r="H36" s="1060"/>
      <c r="I36" s="1060"/>
      <c r="J36" s="1060"/>
      <c r="K36" s="1060"/>
      <c r="L36" s="1059"/>
      <c r="M36" s="1059"/>
      <c r="N36" s="1059"/>
      <c r="O36" s="1059"/>
      <c r="P36" s="1059"/>
      <c r="Q36" s="1059"/>
      <c r="R36" s="1059"/>
      <c r="S36" s="1059"/>
      <c r="T36" s="1059"/>
      <c r="U36" s="1059"/>
    </row>
    <row r="37" spans="1:21" s="196" customFormat="1" ht="12.75" x14ac:dyDescent="0.2">
      <c r="A37" s="999"/>
      <c r="B37" s="957"/>
      <c r="C37" s="957"/>
      <c r="D37" s="1060"/>
      <c r="E37" s="1060"/>
      <c r="F37" s="1060"/>
      <c r="G37" s="1060"/>
      <c r="H37" s="1060"/>
      <c r="I37" s="1060"/>
      <c r="J37" s="1060"/>
      <c r="K37" s="1060"/>
      <c r="L37" s="1059"/>
      <c r="M37" s="1059"/>
      <c r="N37" s="1059"/>
      <c r="O37" s="1059"/>
      <c r="P37" s="1059"/>
      <c r="Q37" s="1059"/>
      <c r="R37" s="1059"/>
      <c r="S37" s="1059"/>
      <c r="T37" s="1059"/>
      <c r="U37" s="1059"/>
    </row>
    <row r="38" spans="1:21" s="196" customFormat="1" ht="12.75" x14ac:dyDescent="0.2">
      <c r="A38" s="999"/>
      <c r="B38" s="957"/>
      <c r="C38" s="957"/>
      <c r="D38" s="1060"/>
      <c r="E38" s="1060"/>
      <c r="F38" s="1060"/>
      <c r="G38" s="1060"/>
      <c r="H38" s="1060"/>
      <c r="I38" s="1060"/>
      <c r="J38" s="1060"/>
      <c r="K38" s="1060"/>
      <c r="L38" s="1059"/>
      <c r="M38" s="1059"/>
      <c r="N38" s="1059"/>
      <c r="O38" s="1059"/>
      <c r="P38" s="1059"/>
      <c r="Q38" s="1059"/>
      <c r="R38" s="1059"/>
      <c r="S38" s="1059"/>
      <c r="T38" s="1059"/>
      <c r="U38" s="1059"/>
    </row>
    <row r="39" spans="1:21" s="196" customFormat="1" ht="12.75" x14ac:dyDescent="0.2">
      <c r="A39" s="999"/>
      <c r="B39" s="957"/>
      <c r="C39" s="957"/>
      <c r="D39" s="1060"/>
      <c r="E39" s="1060"/>
      <c r="F39" s="1060"/>
      <c r="G39" s="1060"/>
      <c r="H39" s="1060"/>
      <c r="I39" s="1060"/>
      <c r="J39" s="1060"/>
      <c r="K39" s="1060"/>
      <c r="L39" s="1059"/>
      <c r="M39" s="1059"/>
      <c r="N39" s="1059"/>
      <c r="O39" s="1059"/>
      <c r="P39" s="1059"/>
      <c r="Q39" s="1059"/>
      <c r="R39" s="1059"/>
      <c r="S39" s="1059"/>
      <c r="T39" s="1059"/>
      <c r="U39" s="1059"/>
    </row>
    <row r="40" spans="1:21" s="196" customFormat="1" ht="12.75" x14ac:dyDescent="0.2">
      <c r="A40" s="999"/>
      <c r="B40" s="957"/>
      <c r="C40" s="957"/>
      <c r="D40" s="1060"/>
      <c r="E40" s="1060"/>
      <c r="F40" s="1060"/>
      <c r="G40" s="1060"/>
      <c r="H40" s="1060"/>
      <c r="I40" s="1060"/>
      <c r="J40" s="1060"/>
      <c r="K40" s="1060"/>
      <c r="L40" s="1059"/>
      <c r="M40" s="1059"/>
      <c r="N40" s="1059"/>
      <c r="O40" s="1059"/>
      <c r="P40" s="1059"/>
      <c r="Q40" s="1059"/>
      <c r="R40" s="1059"/>
      <c r="S40" s="1059"/>
      <c r="T40" s="1059"/>
      <c r="U40" s="1059"/>
    </row>
    <row r="41" spans="1:21" s="196" customFormat="1" ht="6.75" customHeight="1" x14ac:dyDescent="0.2">
      <c r="A41" s="999"/>
      <c r="B41" s="957"/>
      <c r="C41" s="957"/>
      <c r="D41" s="1060"/>
      <c r="E41" s="1060"/>
      <c r="F41" s="1060"/>
      <c r="G41" s="1060"/>
      <c r="H41" s="1060"/>
      <c r="I41" s="1060"/>
      <c r="J41" s="1060"/>
      <c r="K41" s="1060"/>
      <c r="L41" s="1059"/>
      <c r="M41" s="1059"/>
      <c r="N41" s="1059"/>
      <c r="O41" s="1059"/>
      <c r="P41" s="1059"/>
      <c r="Q41" s="1059"/>
      <c r="R41" s="1059"/>
      <c r="S41" s="1059"/>
      <c r="T41" s="1059"/>
      <c r="U41" s="1059"/>
    </row>
    <row r="42" spans="1:21" s="196" customFormat="1" ht="12.75" hidden="1" x14ac:dyDescent="0.2">
      <c r="A42" s="999"/>
      <c r="B42" s="957"/>
      <c r="C42" s="957"/>
      <c r="D42" s="1060"/>
      <c r="E42" s="1060"/>
      <c r="F42" s="1060"/>
      <c r="G42" s="1060"/>
      <c r="H42" s="1060"/>
      <c r="I42" s="1060"/>
      <c r="J42" s="1060"/>
      <c r="K42" s="1060"/>
      <c r="L42" s="1059"/>
      <c r="M42" s="1059"/>
      <c r="N42" s="1059"/>
      <c r="O42" s="1059"/>
      <c r="P42" s="1059"/>
      <c r="Q42" s="1059"/>
      <c r="R42" s="1059"/>
      <c r="S42" s="1059"/>
      <c r="T42" s="1059"/>
      <c r="U42" s="1059"/>
    </row>
    <row r="43" spans="1:21" s="196" customFormat="1" ht="13.5" customHeight="1" x14ac:dyDescent="0.2">
      <c r="A43" s="999"/>
      <c r="B43" s="957"/>
      <c r="C43" s="957"/>
      <c r="D43" s="1060"/>
      <c r="E43" s="1060"/>
      <c r="F43" s="1060"/>
      <c r="G43" s="1060"/>
      <c r="H43" s="1060"/>
      <c r="I43" s="1060"/>
      <c r="J43" s="1060"/>
      <c r="K43" s="1060"/>
      <c r="L43" s="1059"/>
      <c r="M43" s="1059"/>
      <c r="N43" s="1059"/>
      <c r="O43" s="1059"/>
      <c r="P43" s="1059"/>
      <c r="Q43" s="1059"/>
      <c r="R43" s="1059"/>
      <c r="S43" s="1059"/>
      <c r="T43" s="1059"/>
      <c r="U43" s="1059"/>
    </row>
    <row r="44" spans="1:21" s="196" customFormat="1" ht="13.5" customHeight="1" x14ac:dyDescent="0.2">
      <c r="A44" s="999"/>
      <c r="B44" s="957"/>
      <c r="C44" s="957"/>
      <c r="D44" s="1060"/>
      <c r="E44" s="1060"/>
      <c r="F44" s="1060"/>
      <c r="G44" s="1060"/>
      <c r="H44" s="1060"/>
      <c r="I44" s="1060"/>
      <c r="J44" s="1060"/>
      <c r="K44" s="1060"/>
      <c r="L44" s="1059"/>
      <c r="M44" s="1059"/>
      <c r="N44" s="1059"/>
      <c r="O44" s="1059"/>
      <c r="P44" s="1059"/>
      <c r="Q44" s="1059"/>
      <c r="R44" s="1059"/>
      <c r="S44" s="1059"/>
      <c r="T44" s="1059"/>
      <c r="U44" s="1059"/>
    </row>
    <row r="45" spans="1:21" s="196" customFormat="1" ht="13.5" customHeight="1" x14ac:dyDescent="0.2">
      <c r="A45" s="999"/>
      <c r="B45" s="957"/>
      <c r="C45" s="957"/>
      <c r="D45" s="1060"/>
      <c r="E45" s="1060"/>
      <c r="F45" s="1060"/>
      <c r="G45" s="1060"/>
      <c r="H45" s="1060"/>
      <c r="I45" s="1060"/>
      <c r="J45" s="1060"/>
      <c r="K45" s="1060"/>
      <c r="L45" s="1059"/>
      <c r="M45" s="1059"/>
      <c r="N45" s="1059"/>
      <c r="O45" s="1059"/>
      <c r="P45" s="1059"/>
      <c r="Q45" s="1059"/>
      <c r="R45" s="1059"/>
      <c r="S45" s="1059"/>
      <c r="T45" s="1059"/>
      <c r="U45" s="1059"/>
    </row>
    <row r="46" spans="1:21" s="196" customFormat="1" ht="13.5" customHeight="1" x14ac:dyDescent="0.2">
      <c r="A46" s="999"/>
      <c r="B46" s="957"/>
      <c r="C46" s="957"/>
      <c r="D46" s="1060"/>
      <c r="E46" s="1060"/>
      <c r="F46" s="1060"/>
      <c r="G46" s="1060"/>
      <c r="H46" s="1060"/>
      <c r="I46" s="1060"/>
      <c r="J46" s="1060"/>
      <c r="K46" s="1060"/>
      <c r="L46" s="1059"/>
      <c r="M46" s="1059"/>
      <c r="N46" s="1059"/>
      <c r="O46" s="1059"/>
      <c r="P46" s="1059"/>
      <c r="Q46" s="1059"/>
      <c r="R46" s="1059"/>
      <c r="S46" s="1059"/>
      <c r="T46" s="1059"/>
      <c r="U46" s="1059"/>
    </row>
    <row r="47" spans="1:21" s="196" customFormat="1" ht="12.75" x14ac:dyDescent="0.2">
      <c r="A47" s="999"/>
      <c r="B47" s="957"/>
      <c r="C47" s="957"/>
      <c r="D47" s="1060"/>
      <c r="E47" s="1060"/>
      <c r="F47" s="1060"/>
      <c r="G47" s="1060"/>
      <c r="H47" s="1060"/>
      <c r="I47" s="1060"/>
      <c r="J47" s="1060"/>
      <c r="K47" s="1060"/>
      <c r="L47" s="1059"/>
      <c r="M47" s="1059"/>
      <c r="N47" s="1059"/>
      <c r="O47" s="1059"/>
      <c r="P47" s="1059"/>
      <c r="Q47" s="1059"/>
      <c r="R47" s="1059"/>
      <c r="S47" s="1059"/>
      <c r="T47" s="1059"/>
      <c r="U47" s="1059"/>
    </row>
    <row r="48" spans="1:21" s="196" customFormat="1" ht="12.75" x14ac:dyDescent="0.2">
      <c r="A48" s="999"/>
      <c r="B48" s="957"/>
      <c r="C48" s="957"/>
      <c r="D48" s="1060"/>
      <c r="E48" s="1060"/>
      <c r="F48" s="1060"/>
      <c r="G48" s="1060"/>
      <c r="H48" s="1060"/>
      <c r="I48" s="1060"/>
      <c r="J48" s="1060"/>
      <c r="K48" s="1060"/>
      <c r="L48" s="1059"/>
      <c r="M48" s="1059"/>
      <c r="N48" s="1059"/>
      <c r="O48" s="1059"/>
      <c r="P48" s="1059"/>
      <c r="Q48" s="1059"/>
      <c r="R48" s="1059"/>
      <c r="S48" s="1059"/>
      <c r="T48" s="1059"/>
      <c r="U48" s="1059"/>
    </row>
    <row r="49" spans="1:25" s="196" customFormat="1" ht="12.75" x14ac:dyDescent="0.2">
      <c r="A49" s="999"/>
      <c r="B49" s="957"/>
      <c r="C49" s="957"/>
      <c r="D49" s="1060"/>
      <c r="E49" s="1060"/>
      <c r="F49" s="1060"/>
      <c r="G49" s="1060"/>
      <c r="H49" s="1060"/>
      <c r="I49" s="1060"/>
      <c r="J49" s="1060"/>
      <c r="K49" s="1060"/>
      <c r="L49" s="1059"/>
      <c r="M49" s="1059"/>
      <c r="N49" s="1059"/>
      <c r="O49" s="1059"/>
      <c r="P49" s="1059"/>
      <c r="Q49" s="1059"/>
      <c r="R49" s="1059"/>
      <c r="S49" s="1059"/>
      <c r="T49" s="1059"/>
      <c r="U49" s="1059"/>
    </row>
    <row r="50" spans="1:25" s="196" customFormat="1" ht="12.75" x14ac:dyDescent="0.2">
      <c r="A50" s="999"/>
      <c r="B50" s="957"/>
      <c r="C50" s="957"/>
      <c r="D50" s="1060"/>
      <c r="E50" s="1060"/>
      <c r="F50" s="1060"/>
      <c r="G50" s="1060"/>
      <c r="H50" s="1060"/>
      <c r="I50" s="1060"/>
      <c r="J50" s="1060"/>
      <c r="K50" s="1060"/>
      <c r="L50" s="1059"/>
      <c r="M50" s="1059"/>
      <c r="N50" s="1059"/>
      <c r="O50" s="1059"/>
      <c r="P50" s="1059"/>
      <c r="Q50" s="1059"/>
      <c r="R50" s="1059"/>
      <c r="S50" s="1059"/>
      <c r="T50" s="1059"/>
      <c r="U50" s="1059"/>
    </row>
    <row r="51" spans="1:25" s="196" customFormat="1" ht="12.75" x14ac:dyDescent="0.2">
      <c r="A51" s="999"/>
      <c r="B51" s="957"/>
      <c r="C51" s="957"/>
      <c r="D51" s="1060"/>
      <c r="E51" s="1060"/>
      <c r="F51" s="1060"/>
      <c r="G51" s="1060"/>
      <c r="H51" s="1060"/>
      <c r="I51" s="1060"/>
      <c r="J51" s="1060"/>
      <c r="K51" s="1060"/>
      <c r="L51" s="1059"/>
      <c r="M51" s="1059"/>
      <c r="N51" s="1059"/>
      <c r="O51" s="1059"/>
      <c r="P51" s="1059"/>
      <c r="Q51" s="1059"/>
      <c r="R51" s="1059"/>
      <c r="S51" s="1059"/>
      <c r="T51" s="1059"/>
      <c r="U51" s="1059"/>
    </row>
    <row r="52" spans="1:25" s="196" customFormat="1" ht="12.75" x14ac:dyDescent="0.2">
      <c r="A52" s="999"/>
      <c r="B52" s="957"/>
      <c r="C52" s="957"/>
      <c r="D52" s="1060"/>
      <c r="E52" s="1060"/>
      <c r="F52" s="1060"/>
      <c r="G52" s="1060"/>
      <c r="H52" s="1060"/>
      <c r="I52" s="1060"/>
      <c r="J52" s="1060"/>
      <c r="K52" s="1060"/>
      <c r="L52" s="1059"/>
      <c r="M52" s="1059"/>
      <c r="N52" s="1059"/>
      <c r="O52" s="1059"/>
      <c r="P52" s="1059"/>
      <c r="Q52" s="1059"/>
      <c r="R52" s="1059"/>
      <c r="S52" s="1059"/>
      <c r="T52" s="1059"/>
      <c r="U52" s="1059"/>
    </row>
    <row r="53" spans="1:25" s="196" customFormat="1" ht="12.75" x14ac:dyDescent="0.2">
      <c r="A53" s="999"/>
      <c r="B53" s="957"/>
      <c r="C53" s="957"/>
      <c r="D53" s="1060"/>
      <c r="E53" s="1060"/>
      <c r="F53" s="1060"/>
      <c r="G53" s="1060"/>
      <c r="H53" s="1060"/>
      <c r="I53" s="1060"/>
      <c r="J53" s="1060"/>
      <c r="K53" s="1060"/>
      <c r="L53" s="1059"/>
      <c r="M53" s="1059"/>
      <c r="N53" s="1059"/>
      <c r="O53" s="1059"/>
      <c r="P53" s="1059"/>
      <c r="Q53" s="1059"/>
      <c r="R53" s="1059"/>
      <c r="S53" s="1059"/>
      <c r="T53" s="1059"/>
      <c r="U53" s="1059"/>
    </row>
    <row r="54" spans="1:25" s="196" customFormat="1" ht="12.75" x14ac:dyDescent="0.2">
      <c r="A54" s="999"/>
      <c r="B54" s="957"/>
      <c r="C54" s="957"/>
      <c r="D54" s="1060"/>
      <c r="E54" s="1060"/>
      <c r="F54" s="1060"/>
      <c r="G54" s="1060"/>
      <c r="H54" s="1060"/>
      <c r="I54" s="1060"/>
      <c r="J54" s="1060"/>
      <c r="K54" s="1060"/>
      <c r="L54" s="1059"/>
      <c r="M54" s="1059"/>
      <c r="N54" s="1059"/>
      <c r="O54" s="1059"/>
      <c r="P54" s="1059"/>
      <c r="Q54" s="1059"/>
      <c r="R54" s="1059"/>
      <c r="S54" s="1059"/>
      <c r="T54" s="1059"/>
      <c r="U54" s="1059"/>
    </row>
    <row r="55" spans="1:25" s="196" customFormat="1" ht="12.75" x14ac:dyDescent="0.2">
      <c r="A55" s="999"/>
      <c r="B55" s="957"/>
      <c r="C55" s="957"/>
      <c r="D55" s="1060"/>
      <c r="E55" s="1060"/>
      <c r="F55" s="1060"/>
      <c r="G55" s="1060"/>
      <c r="H55" s="1060"/>
      <c r="I55" s="1060"/>
      <c r="J55" s="1060"/>
      <c r="K55" s="1060"/>
      <c r="L55" s="1059"/>
      <c r="M55" s="1059"/>
      <c r="N55" s="1059"/>
      <c r="O55" s="1059"/>
      <c r="P55" s="1059"/>
      <c r="Q55" s="1059"/>
      <c r="R55" s="1059"/>
      <c r="S55" s="1059"/>
      <c r="T55" s="1059"/>
      <c r="U55" s="1059"/>
    </row>
    <row r="56" spans="1:25" x14ac:dyDescent="0.25">
      <c r="A56" s="782">
        <v>6</v>
      </c>
      <c r="B56" s="782" t="s">
        <v>29</v>
      </c>
      <c r="C56" s="782"/>
      <c r="D56" s="4048" t="s">
        <v>456</v>
      </c>
      <c r="E56" s="4049"/>
      <c r="F56" s="4049"/>
      <c r="G56" s="4049"/>
      <c r="H56" s="4049"/>
      <c r="I56" s="4049"/>
      <c r="J56" s="4049"/>
      <c r="K56" s="4049"/>
      <c r="L56" s="4049"/>
      <c r="M56" s="4049"/>
      <c r="N56" s="4049"/>
      <c r="O56" s="4049"/>
      <c r="P56" s="4049"/>
      <c r="Q56" s="4049"/>
      <c r="R56" s="4049"/>
      <c r="S56" s="4049"/>
      <c r="T56" s="4049"/>
      <c r="U56" s="4049"/>
      <c r="V56" s="4050"/>
      <c r="W56" s="142"/>
      <c r="X56" s="142"/>
      <c r="Y56" s="142"/>
    </row>
    <row r="57" spans="1:25" ht="42.75" customHeight="1" x14ac:dyDescent="0.25">
      <c r="A57" s="818">
        <v>7</v>
      </c>
      <c r="B57" s="818" t="s">
        <v>32</v>
      </c>
      <c r="C57" s="818"/>
      <c r="D57" s="4078" t="s">
        <v>457</v>
      </c>
      <c r="E57" s="4079"/>
      <c r="F57" s="4079"/>
      <c r="G57" s="4079"/>
      <c r="H57" s="4079"/>
      <c r="I57" s="4079"/>
      <c r="J57" s="4079"/>
      <c r="K57" s="4079"/>
      <c r="L57" s="4079"/>
      <c r="M57" s="4079"/>
      <c r="N57" s="4079"/>
      <c r="O57" s="4079"/>
      <c r="P57" s="4079"/>
      <c r="Q57" s="4079"/>
      <c r="R57" s="4079"/>
      <c r="S57" s="4079"/>
      <c r="T57" s="4079"/>
      <c r="U57" s="4079"/>
      <c r="V57" s="4080"/>
      <c r="W57" s="230"/>
      <c r="X57" s="230"/>
      <c r="Y57" s="230"/>
    </row>
    <row r="58" spans="1:25" ht="43.9" customHeight="1" x14ac:dyDescent="0.25">
      <c r="A58" s="782">
        <v>8</v>
      </c>
      <c r="B58" s="782" t="s">
        <v>31</v>
      </c>
      <c r="C58" s="782"/>
      <c r="D58" s="4078" t="s">
        <v>458</v>
      </c>
      <c r="E58" s="4079"/>
      <c r="F58" s="4079"/>
      <c r="G58" s="4079"/>
      <c r="H58" s="4079"/>
      <c r="I58" s="4079"/>
      <c r="J58" s="4079"/>
      <c r="K58" s="4079"/>
      <c r="L58" s="4079"/>
      <c r="M58" s="4079"/>
      <c r="N58" s="4079"/>
      <c r="O58" s="4079"/>
      <c r="P58" s="4079"/>
      <c r="Q58" s="4079"/>
      <c r="R58" s="4079"/>
      <c r="S58" s="4079"/>
      <c r="T58" s="4079"/>
      <c r="U58" s="4079"/>
      <c r="V58" s="4080"/>
      <c r="W58" s="230"/>
      <c r="X58" s="230"/>
      <c r="Y58" s="230"/>
    </row>
    <row r="59" spans="1:25" ht="27" customHeight="1" x14ac:dyDescent="0.25">
      <c r="A59" s="782">
        <v>9</v>
      </c>
      <c r="B59" s="782" t="s">
        <v>95</v>
      </c>
      <c r="C59" s="782"/>
      <c r="D59" s="4078" t="s">
        <v>459</v>
      </c>
      <c r="E59" s="4079"/>
      <c r="F59" s="4079"/>
      <c r="G59" s="4079"/>
      <c r="H59" s="4079"/>
      <c r="I59" s="4079"/>
      <c r="J59" s="4079"/>
      <c r="K59" s="4079"/>
      <c r="L59" s="4079"/>
      <c r="M59" s="4079"/>
      <c r="N59" s="4079"/>
      <c r="O59" s="4079"/>
      <c r="P59" s="4079"/>
      <c r="Q59" s="4079"/>
      <c r="R59" s="4079"/>
      <c r="S59" s="4079"/>
      <c r="T59" s="4079"/>
      <c r="U59" s="4079"/>
      <c r="V59" s="4080"/>
      <c r="W59" s="230"/>
      <c r="X59" s="230"/>
      <c r="Y59" s="230"/>
    </row>
    <row r="61" spans="1:25" x14ac:dyDescent="0.25">
      <c r="D61" s="267" t="s">
        <v>460</v>
      </c>
    </row>
    <row r="62" spans="1:25" x14ac:dyDescent="0.25">
      <c r="D62" s="267" t="s">
        <v>461</v>
      </c>
    </row>
    <row r="63" spans="1:25" x14ac:dyDescent="0.25">
      <c r="D63" s="1061" t="s">
        <v>462</v>
      </c>
    </row>
    <row r="64" spans="1:25" x14ac:dyDescent="0.25">
      <c r="E64" s="4271"/>
      <c r="F64" s="4271"/>
      <c r="G64" s="4271"/>
      <c r="H64" s="4271"/>
      <c r="I64" s="4271"/>
      <c r="J64" s="4271"/>
      <c r="K64" s="4271"/>
      <c r="L64" s="4271"/>
      <c r="M64" s="4271"/>
      <c r="N64" s="4271"/>
      <c r="O64" s="4271"/>
      <c r="P64" s="4271"/>
      <c r="Q64" s="4271"/>
      <c r="R64" s="4271"/>
    </row>
    <row r="67" spans="5:23" x14ac:dyDescent="0.25">
      <c r="E67" s="4272" t="s">
        <v>463</v>
      </c>
      <c r="F67" s="4272"/>
      <c r="G67" s="4272"/>
      <c r="H67" s="4272"/>
      <c r="I67" s="4272"/>
      <c r="J67" s="4272"/>
      <c r="K67" s="4272"/>
      <c r="L67" s="4272"/>
      <c r="M67" s="4272"/>
      <c r="N67" s="4272"/>
      <c r="O67" s="4272"/>
      <c r="P67" s="4272"/>
      <c r="Q67" s="4272"/>
      <c r="R67" s="1063"/>
      <c r="S67" s="1063"/>
      <c r="T67" s="1063"/>
      <c r="U67" s="1063"/>
      <c r="V67" s="1063"/>
      <c r="W67" s="1063"/>
    </row>
    <row r="68" spans="5:23" x14ac:dyDescent="0.25">
      <c r="E68" s="1064" t="s">
        <v>464</v>
      </c>
      <c r="F68" s="1065" t="s">
        <v>465</v>
      </c>
      <c r="G68" s="1064">
        <v>2001</v>
      </c>
      <c r="H68" s="1064">
        <v>2002</v>
      </c>
      <c r="I68" s="1064">
        <v>2003</v>
      </c>
      <c r="J68" s="1064">
        <v>2004</v>
      </c>
      <c r="K68" s="1064">
        <v>2005</v>
      </c>
      <c r="L68" s="1064">
        <v>2006</v>
      </c>
      <c r="M68" s="1064">
        <v>2007</v>
      </c>
      <c r="N68" s="1064">
        <v>2008</v>
      </c>
      <c r="O68" s="1064">
        <v>2009</v>
      </c>
      <c r="P68" s="1064">
        <v>2010</v>
      </c>
      <c r="Q68" s="1064">
        <v>2011</v>
      </c>
      <c r="R68" s="1066">
        <v>2012</v>
      </c>
      <c r="S68" s="1066">
        <v>2013</v>
      </c>
      <c r="T68" s="1066">
        <v>2014</v>
      </c>
      <c r="U68" s="1066">
        <v>2015</v>
      </c>
      <c r="V68" s="1066">
        <v>2016</v>
      </c>
      <c r="W68" s="1066">
        <v>2017</v>
      </c>
    </row>
    <row r="69" spans="5:23" x14ac:dyDescent="0.25">
      <c r="E69" s="1067" t="s">
        <v>466</v>
      </c>
      <c r="F69" s="1068" t="s">
        <v>467</v>
      </c>
      <c r="G69" s="1069">
        <v>9.0887862267387778</v>
      </c>
      <c r="H69" s="1069">
        <v>9.5537067672578004</v>
      </c>
      <c r="I69" s="1069">
        <v>10.084104919276143</v>
      </c>
      <c r="J69" s="1069">
        <v>10.589418721919325</v>
      </c>
      <c r="K69" s="1069">
        <v>12.824698611085125</v>
      </c>
      <c r="L69" s="1069">
        <v>10.346103605544799</v>
      </c>
      <c r="M69" s="1069">
        <v>10.774245694076329</v>
      </c>
      <c r="N69" s="1070">
        <v>11.3</v>
      </c>
      <c r="O69" s="1069">
        <v>11.326199804113614</v>
      </c>
      <c r="P69" s="1070">
        <v>11.8</v>
      </c>
      <c r="Q69" s="1069">
        <v>12.914982478598755</v>
      </c>
      <c r="R69" s="1070"/>
      <c r="S69" s="1070"/>
      <c r="T69" s="1070"/>
      <c r="U69" s="1070"/>
      <c r="V69" s="1069"/>
      <c r="W69" s="1071"/>
    </row>
    <row r="70" spans="5:23" x14ac:dyDescent="0.25">
      <c r="E70" s="1070"/>
      <c r="F70" s="1068" t="s">
        <v>468</v>
      </c>
      <c r="G70" s="1069">
        <v>11.338603310477355</v>
      </c>
      <c r="H70" s="1069">
        <v>11.834189063992847</v>
      </c>
      <c r="I70" s="1069">
        <v>12.174987592580971</v>
      </c>
      <c r="J70" s="1069">
        <v>13.007586050429373</v>
      </c>
      <c r="K70" s="1069">
        <v>12.879366363505879</v>
      </c>
      <c r="L70" s="1069">
        <v>13.007016232822686</v>
      </c>
      <c r="M70" s="1069">
        <v>13.7780406906457</v>
      </c>
      <c r="N70" s="1070">
        <v>14.6</v>
      </c>
      <c r="O70" s="1069">
        <v>15.298278696451021</v>
      </c>
      <c r="P70" s="1070">
        <v>16.5</v>
      </c>
      <c r="Q70" s="1069">
        <v>18.395005150165261</v>
      </c>
      <c r="R70" s="1070"/>
      <c r="S70" s="1070"/>
      <c r="T70" s="1070"/>
      <c r="U70" s="1070"/>
      <c r="V70" s="1069"/>
      <c r="W70" s="1071"/>
    </row>
    <row r="71" spans="5:23" x14ac:dyDescent="0.25">
      <c r="E71" s="1067" t="s">
        <v>469</v>
      </c>
      <c r="F71" s="1068" t="s">
        <v>467</v>
      </c>
      <c r="G71" s="1069">
        <v>8.2943631389015788</v>
      </c>
      <c r="H71" s="1069">
        <v>9.2974673750451338</v>
      </c>
      <c r="I71" s="1069">
        <v>10.248450429311545</v>
      </c>
      <c r="J71" s="1069">
        <v>11.014115411467657</v>
      </c>
      <c r="K71" s="1069">
        <v>10.871334632767152</v>
      </c>
      <c r="L71" s="1069">
        <v>11.201185069427488</v>
      </c>
      <c r="M71" s="1069">
        <v>11.229542731137727</v>
      </c>
      <c r="N71" s="1070">
        <v>11.2</v>
      </c>
      <c r="O71" s="1069">
        <v>11.567539267015707</v>
      </c>
      <c r="P71" s="1070">
        <v>12.4</v>
      </c>
      <c r="Q71" s="1069">
        <v>12.043883640618025</v>
      </c>
      <c r="R71" s="1070"/>
      <c r="S71" s="1070"/>
      <c r="T71" s="1070"/>
      <c r="U71" s="1070"/>
      <c r="V71" s="1069"/>
      <c r="W71" s="1071"/>
    </row>
    <row r="72" spans="5:23" x14ac:dyDescent="0.25">
      <c r="E72" s="1070"/>
      <c r="F72" s="1068" t="s">
        <v>468</v>
      </c>
      <c r="G72" s="1069">
        <v>8.6992598324187291</v>
      </c>
      <c r="H72" s="1069">
        <v>10.402172242430453</v>
      </c>
      <c r="I72" s="1069">
        <v>11.897888251364709</v>
      </c>
      <c r="J72" s="1069">
        <v>13.132031654540793</v>
      </c>
      <c r="K72" s="1069">
        <v>13.89104081294645</v>
      </c>
      <c r="L72" s="1069">
        <v>15.107286375009476</v>
      </c>
      <c r="M72" s="1069">
        <v>15.592070402761921</v>
      </c>
      <c r="N72" s="1070">
        <v>15.8</v>
      </c>
      <c r="O72" s="1069">
        <v>17.038719669592155</v>
      </c>
      <c r="P72" s="1070">
        <v>18.5</v>
      </c>
      <c r="Q72" s="1069">
        <v>18.424651196265717</v>
      </c>
      <c r="R72" s="1070"/>
      <c r="S72" s="1070"/>
      <c r="T72" s="1070"/>
      <c r="U72" s="1070"/>
      <c r="V72" s="1069"/>
      <c r="W72" s="1071"/>
    </row>
    <row r="73" spans="5:23" x14ac:dyDescent="0.25">
      <c r="E73" s="1067" t="s">
        <v>470</v>
      </c>
      <c r="F73" s="1068" t="s">
        <v>467</v>
      </c>
      <c r="G73" s="1069">
        <v>40.19575282786645</v>
      </c>
      <c r="H73" s="1069">
        <v>42.837075949123516</v>
      </c>
      <c r="I73" s="1069">
        <v>45.019269834640141</v>
      </c>
      <c r="J73" s="1069">
        <v>46.209223847019118</v>
      </c>
      <c r="K73" s="1069">
        <v>45.129677658391998</v>
      </c>
      <c r="L73" s="1069">
        <v>44.09094264412785</v>
      </c>
      <c r="M73" s="1069">
        <v>42.339750682304341</v>
      </c>
      <c r="N73" s="1070">
        <v>37.9</v>
      </c>
      <c r="O73" s="1069">
        <v>37.381967213114756</v>
      </c>
      <c r="P73" s="1070">
        <v>37.4</v>
      </c>
      <c r="Q73" s="1069">
        <v>39.846729764090973</v>
      </c>
      <c r="R73" s="1070"/>
      <c r="S73" s="1070"/>
      <c r="T73" s="1070"/>
      <c r="U73" s="1070"/>
      <c r="V73" s="1069"/>
      <c r="W73" s="1071"/>
    </row>
    <row r="74" spans="5:23" x14ac:dyDescent="0.25">
      <c r="E74" s="1070"/>
      <c r="F74" s="1068" t="s">
        <v>468</v>
      </c>
      <c r="G74" s="1069">
        <v>44.285520475996663</v>
      </c>
      <c r="H74" s="1069">
        <v>48.65846895259223</v>
      </c>
      <c r="I74" s="1069">
        <v>52.831829957829846</v>
      </c>
      <c r="J74" s="1069">
        <v>55.549105888961705</v>
      </c>
      <c r="K74" s="1069">
        <v>56.143281365998511</v>
      </c>
      <c r="L74" s="1069">
        <v>57.238179734575432</v>
      </c>
      <c r="M74" s="1069">
        <v>54.69949793266391</v>
      </c>
      <c r="N74" s="1070">
        <v>51.8</v>
      </c>
      <c r="O74" s="1069">
        <v>52.784246575342465</v>
      </c>
      <c r="P74" s="1070">
        <v>54.2</v>
      </c>
      <c r="Q74" s="1069">
        <v>56.944370602725648</v>
      </c>
      <c r="R74" s="1070"/>
      <c r="S74" s="1070"/>
      <c r="T74" s="1070"/>
      <c r="U74" s="1070"/>
      <c r="V74" s="1069"/>
      <c r="W74" s="1071"/>
    </row>
    <row r="75" spans="5:23" x14ac:dyDescent="0.25">
      <c r="E75" s="1067" t="s">
        <v>471</v>
      </c>
      <c r="F75" s="1068" t="s">
        <v>467</v>
      </c>
      <c r="G75" s="1069">
        <v>57.908031965325748</v>
      </c>
      <c r="H75" s="1069">
        <v>59.901400253346573</v>
      </c>
      <c r="I75" s="1069">
        <v>61.067346255542724</v>
      </c>
      <c r="J75" s="1069">
        <v>60.723072992995142</v>
      </c>
      <c r="K75" s="1069">
        <v>57.534477942561665</v>
      </c>
      <c r="L75" s="1069">
        <v>55.354556302124216</v>
      </c>
      <c r="M75" s="1069">
        <v>52.997477931904157</v>
      </c>
      <c r="N75" s="1070">
        <v>51.6</v>
      </c>
      <c r="O75" s="1069">
        <v>53.057271557271555</v>
      </c>
      <c r="P75" s="1070">
        <v>52.1</v>
      </c>
      <c r="Q75" s="1069">
        <v>51.315722663687836</v>
      </c>
      <c r="R75" s="1070"/>
      <c r="S75" s="1070"/>
      <c r="T75" s="1070"/>
      <c r="U75" s="1070"/>
      <c r="V75" s="1069"/>
      <c r="W75" s="1071"/>
    </row>
    <row r="76" spans="5:23" x14ac:dyDescent="0.25">
      <c r="E76" s="1070"/>
      <c r="F76" s="1068" t="s">
        <v>468</v>
      </c>
      <c r="G76" s="1069">
        <v>59.878931474392772</v>
      </c>
      <c r="H76" s="1069">
        <v>63.53849770451906</v>
      </c>
      <c r="I76" s="1069">
        <v>66.009421357832537</v>
      </c>
      <c r="J76" s="1069">
        <v>66.562675527343345</v>
      </c>
      <c r="K76" s="1069">
        <v>63.630536168654054</v>
      </c>
      <c r="L76" s="1069">
        <v>63.042106618593877</v>
      </c>
      <c r="M76" s="1069">
        <v>61.478566964684276</v>
      </c>
      <c r="N76" s="1070">
        <v>61.5</v>
      </c>
      <c r="O76" s="1069">
        <v>64.005291005291014</v>
      </c>
      <c r="P76" s="1070">
        <v>62.8</v>
      </c>
      <c r="Q76" s="1069">
        <v>63.667669411019631</v>
      </c>
      <c r="R76" s="1070"/>
      <c r="S76" s="1070"/>
      <c r="T76" s="1070"/>
      <c r="U76" s="1070"/>
      <c r="V76" s="1069"/>
      <c r="W76" s="1071"/>
    </row>
    <row r="77" spans="5:23" x14ac:dyDescent="0.25">
      <c r="E77" s="1070" t="s">
        <v>257</v>
      </c>
      <c r="F77" s="1068" t="s">
        <v>467</v>
      </c>
      <c r="G77" s="1069">
        <v>12.999059987642484</v>
      </c>
      <c r="H77" s="1069">
        <v>13.572086253944285</v>
      </c>
      <c r="I77" s="1069">
        <v>14.181559461290757</v>
      </c>
      <c r="J77" s="1069">
        <v>14.691559070993756</v>
      </c>
      <c r="K77" s="1069">
        <v>14.405550555275473</v>
      </c>
      <c r="L77" s="1069">
        <v>14.260220670722742</v>
      </c>
      <c r="M77" s="1069">
        <v>14.434189640492542</v>
      </c>
      <c r="N77" s="1070">
        <v>14.7</v>
      </c>
      <c r="O77" s="1069">
        <v>14.641504041806156</v>
      </c>
      <c r="P77" s="1069">
        <v>15</v>
      </c>
      <c r="Q77" s="1069">
        <v>15.923005217334794</v>
      </c>
      <c r="R77" s="1069"/>
      <c r="S77" s="1069"/>
      <c r="T77" s="1069"/>
      <c r="U77" s="1069"/>
      <c r="V77" s="1069"/>
      <c r="W77" s="1071"/>
    </row>
    <row r="78" spans="5:23" x14ac:dyDescent="0.25">
      <c r="E78" s="1070"/>
      <c r="F78" s="1068" t="s">
        <v>468</v>
      </c>
      <c r="G78" s="1069">
        <v>15.119784422184605</v>
      </c>
      <c r="H78" s="1069">
        <v>15.922705845018109</v>
      </c>
      <c r="I78" s="1069">
        <v>16.564696337941488</v>
      </c>
      <c r="J78" s="1069">
        <v>17.467824797874005</v>
      </c>
      <c r="K78" s="1069">
        <v>17.36220034400398</v>
      </c>
      <c r="L78" s="1069">
        <v>17.609352407640063</v>
      </c>
      <c r="M78" s="1069">
        <v>18.137335912854869</v>
      </c>
      <c r="N78" s="1070">
        <v>18.600000000000001</v>
      </c>
      <c r="O78" s="1069">
        <v>19.300222536920899</v>
      </c>
      <c r="P78" s="1070">
        <v>20.399999999999999</v>
      </c>
      <c r="Q78" s="1069">
        <v>22.103847210659492</v>
      </c>
      <c r="R78" s="1070"/>
      <c r="S78" s="1070"/>
      <c r="T78" s="1070"/>
      <c r="U78" s="1070"/>
      <c r="V78" s="1069"/>
      <c r="W78" s="1071"/>
    </row>
    <row r="79" spans="5:23" x14ac:dyDescent="0.25">
      <c r="E79" s="1072"/>
      <c r="F79" s="1073" t="s">
        <v>472</v>
      </c>
      <c r="G79" s="1074">
        <v>14.061640800114954</v>
      </c>
      <c r="H79" s="1074">
        <v>14.744350332740257</v>
      </c>
      <c r="I79" s="1074">
        <v>15.369754107470923</v>
      </c>
      <c r="J79" s="1074">
        <v>16.076355118068069</v>
      </c>
      <c r="K79" s="1074">
        <v>15.881053861456643</v>
      </c>
      <c r="L79" s="1074">
        <v>15.93055175044184</v>
      </c>
      <c r="M79" s="1074">
        <v>16.279494084605858</v>
      </c>
      <c r="N79" s="1072">
        <v>16.7</v>
      </c>
      <c r="O79" s="1074">
        <v>16.981324554451422</v>
      </c>
      <c r="P79" s="1072">
        <v>17.7</v>
      </c>
      <c r="Q79" s="1074">
        <v>18.99854602964059</v>
      </c>
      <c r="R79" s="1072"/>
      <c r="S79" s="1072"/>
      <c r="T79" s="1072"/>
      <c r="U79" s="1072"/>
      <c r="V79" s="1074"/>
      <c r="W79" s="1075"/>
    </row>
  </sheetData>
  <mergeCells count="9">
    <mergeCell ref="D58:V58"/>
    <mergeCell ref="D59:V59"/>
    <mergeCell ref="E64:R64"/>
    <mergeCell ref="E67:Q67"/>
    <mergeCell ref="D2:Y2"/>
    <mergeCell ref="D3:Y3"/>
    <mergeCell ref="D4:Y4"/>
    <mergeCell ref="D56:V56"/>
    <mergeCell ref="D57:V57"/>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60"/>
  <sheetViews>
    <sheetView showGridLines="0" view="pageBreakPreview" topLeftCell="B13" zoomScaleNormal="100" zoomScaleSheetLayoutView="100" workbookViewId="0">
      <selection activeCell="F6" sqref="F6"/>
    </sheetView>
  </sheetViews>
  <sheetFormatPr defaultColWidth="9.140625" defaultRowHeight="15" x14ac:dyDescent="0.2"/>
  <cols>
    <col min="1" max="1" width="3.7109375" style="1141" customWidth="1"/>
    <col min="2" max="2" width="14.42578125" style="1080" customWidth="1"/>
    <col min="3" max="3" width="3.7109375" style="1080" customWidth="1"/>
    <col min="4" max="4" width="22.7109375" style="1079" customWidth="1"/>
    <col min="5" max="24" width="7.28515625" style="1079" customWidth="1"/>
    <col min="25" max="25" width="7.5703125" style="1079" bestFit="1" customWidth="1"/>
    <col min="26" max="26" width="9.42578125" style="1079" customWidth="1"/>
    <col min="27" max="27" width="8.28515625" style="1079" customWidth="1"/>
    <col min="28" max="28" width="7.7109375" style="1079" customWidth="1"/>
    <col min="29" max="260" width="9.140625" style="1079"/>
    <col min="261" max="261" width="3.7109375" style="1079" customWidth="1"/>
    <col min="262" max="262" width="14.42578125" style="1079" customWidth="1"/>
    <col min="263" max="263" width="3.7109375" style="1079" customWidth="1"/>
    <col min="264" max="264" width="22.7109375" style="1079" customWidth="1"/>
    <col min="265" max="282" width="7.28515625" style="1079" customWidth="1"/>
    <col min="283" max="516" width="9.140625" style="1079"/>
    <col min="517" max="517" width="3.7109375" style="1079" customWidth="1"/>
    <col min="518" max="518" width="14.42578125" style="1079" customWidth="1"/>
    <col min="519" max="519" width="3.7109375" style="1079" customWidth="1"/>
    <col min="520" max="520" width="22.7109375" style="1079" customWidth="1"/>
    <col min="521" max="538" width="7.28515625" style="1079" customWidth="1"/>
    <col min="539" max="772" width="9.140625" style="1079"/>
    <col min="773" max="773" width="3.7109375" style="1079" customWidth="1"/>
    <col min="774" max="774" width="14.42578125" style="1079" customWidth="1"/>
    <col min="775" max="775" width="3.7109375" style="1079" customWidth="1"/>
    <col min="776" max="776" width="22.7109375" style="1079" customWidth="1"/>
    <col min="777" max="794" width="7.28515625" style="1079" customWidth="1"/>
    <col min="795" max="1028" width="9.140625" style="1079"/>
    <col min="1029" max="1029" width="3.7109375" style="1079" customWidth="1"/>
    <col min="1030" max="1030" width="14.42578125" style="1079" customWidth="1"/>
    <col min="1031" max="1031" width="3.7109375" style="1079" customWidth="1"/>
    <col min="1032" max="1032" width="22.7109375" style="1079" customWidth="1"/>
    <col min="1033" max="1050" width="7.28515625" style="1079" customWidth="1"/>
    <col min="1051" max="1284" width="9.140625" style="1079"/>
    <col min="1285" max="1285" width="3.7109375" style="1079" customWidth="1"/>
    <col min="1286" max="1286" width="14.42578125" style="1079" customWidth="1"/>
    <col min="1287" max="1287" width="3.7109375" style="1079" customWidth="1"/>
    <col min="1288" max="1288" width="22.7109375" style="1079" customWidth="1"/>
    <col min="1289" max="1306" width="7.28515625" style="1079" customWidth="1"/>
    <col min="1307" max="1540" width="9.140625" style="1079"/>
    <col min="1541" max="1541" width="3.7109375" style="1079" customWidth="1"/>
    <col min="1542" max="1542" width="14.42578125" style="1079" customWidth="1"/>
    <col min="1543" max="1543" width="3.7109375" style="1079" customWidth="1"/>
    <col min="1544" max="1544" width="22.7109375" style="1079" customWidth="1"/>
    <col min="1545" max="1562" width="7.28515625" style="1079" customWidth="1"/>
    <col min="1563" max="1796" width="9.140625" style="1079"/>
    <col min="1797" max="1797" width="3.7109375" style="1079" customWidth="1"/>
    <col min="1798" max="1798" width="14.42578125" style="1079" customWidth="1"/>
    <col min="1799" max="1799" width="3.7109375" style="1079" customWidth="1"/>
    <col min="1800" max="1800" width="22.7109375" style="1079" customWidth="1"/>
    <col min="1801" max="1818" width="7.28515625" style="1079" customWidth="1"/>
    <col min="1819" max="2052" width="9.140625" style="1079"/>
    <col min="2053" max="2053" width="3.7109375" style="1079" customWidth="1"/>
    <col min="2054" max="2054" width="14.42578125" style="1079" customWidth="1"/>
    <col min="2055" max="2055" width="3.7109375" style="1079" customWidth="1"/>
    <col min="2056" max="2056" width="22.7109375" style="1079" customWidth="1"/>
    <col min="2057" max="2074" width="7.28515625" style="1079" customWidth="1"/>
    <col min="2075" max="2308" width="9.140625" style="1079"/>
    <col min="2309" max="2309" width="3.7109375" style="1079" customWidth="1"/>
    <col min="2310" max="2310" width="14.42578125" style="1079" customWidth="1"/>
    <col min="2311" max="2311" width="3.7109375" style="1079" customWidth="1"/>
    <col min="2312" max="2312" width="22.7109375" style="1079" customWidth="1"/>
    <col min="2313" max="2330" width="7.28515625" style="1079" customWidth="1"/>
    <col min="2331" max="2564" width="9.140625" style="1079"/>
    <col min="2565" max="2565" width="3.7109375" style="1079" customWidth="1"/>
    <col min="2566" max="2566" width="14.42578125" style="1079" customWidth="1"/>
    <col min="2567" max="2567" width="3.7109375" style="1079" customWidth="1"/>
    <col min="2568" max="2568" width="22.7109375" style="1079" customWidth="1"/>
    <col min="2569" max="2586" width="7.28515625" style="1079" customWidth="1"/>
    <col min="2587" max="2820" width="9.140625" style="1079"/>
    <col min="2821" max="2821" width="3.7109375" style="1079" customWidth="1"/>
    <col min="2822" max="2822" width="14.42578125" style="1079" customWidth="1"/>
    <col min="2823" max="2823" width="3.7109375" style="1079" customWidth="1"/>
    <col min="2824" max="2824" width="22.7109375" style="1079" customWidth="1"/>
    <col min="2825" max="2842" width="7.28515625" style="1079" customWidth="1"/>
    <col min="2843" max="3076" width="9.140625" style="1079"/>
    <col min="3077" max="3077" width="3.7109375" style="1079" customWidth="1"/>
    <col min="3078" max="3078" width="14.42578125" style="1079" customWidth="1"/>
    <col min="3079" max="3079" width="3.7109375" style="1079" customWidth="1"/>
    <col min="3080" max="3080" width="22.7109375" style="1079" customWidth="1"/>
    <col min="3081" max="3098" width="7.28515625" style="1079" customWidth="1"/>
    <col min="3099" max="3332" width="9.140625" style="1079"/>
    <col min="3333" max="3333" width="3.7109375" style="1079" customWidth="1"/>
    <col min="3334" max="3334" width="14.42578125" style="1079" customWidth="1"/>
    <col min="3335" max="3335" width="3.7109375" style="1079" customWidth="1"/>
    <col min="3336" max="3336" width="22.7109375" style="1079" customWidth="1"/>
    <col min="3337" max="3354" width="7.28515625" style="1079" customWidth="1"/>
    <col min="3355" max="3588" width="9.140625" style="1079"/>
    <col min="3589" max="3589" width="3.7109375" style="1079" customWidth="1"/>
    <col min="3590" max="3590" width="14.42578125" style="1079" customWidth="1"/>
    <col min="3591" max="3591" width="3.7109375" style="1079" customWidth="1"/>
    <col min="3592" max="3592" width="22.7109375" style="1079" customWidth="1"/>
    <col min="3593" max="3610" width="7.28515625" style="1079" customWidth="1"/>
    <col min="3611" max="3844" width="9.140625" style="1079"/>
    <col min="3845" max="3845" width="3.7109375" style="1079" customWidth="1"/>
    <col min="3846" max="3846" width="14.42578125" style="1079" customWidth="1"/>
    <col min="3847" max="3847" width="3.7109375" style="1079" customWidth="1"/>
    <col min="3848" max="3848" width="22.7109375" style="1079" customWidth="1"/>
    <col min="3849" max="3866" width="7.28515625" style="1079" customWidth="1"/>
    <col min="3867" max="4100" width="9.140625" style="1079"/>
    <col min="4101" max="4101" width="3.7109375" style="1079" customWidth="1"/>
    <col min="4102" max="4102" width="14.42578125" style="1079" customWidth="1"/>
    <col min="4103" max="4103" width="3.7109375" style="1079" customWidth="1"/>
    <col min="4104" max="4104" width="22.7109375" style="1079" customWidth="1"/>
    <col min="4105" max="4122" width="7.28515625" style="1079" customWidth="1"/>
    <col min="4123" max="4356" width="9.140625" style="1079"/>
    <col min="4357" max="4357" width="3.7109375" style="1079" customWidth="1"/>
    <col min="4358" max="4358" width="14.42578125" style="1079" customWidth="1"/>
    <col min="4359" max="4359" width="3.7109375" style="1079" customWidth="1"/>
    <col min="4360" max="4360" width="22.7109375" style="1079" customWidth="1"/>
    <col min="4361" max="4378" width="7.28515625" style="1079" customWidth="1"/>
    <col min="4379" max="4612" width="9.140625" style="1079"/>
    <col min="4613" max="4613" width="3.7109375" style="1079" customWidth="1"/>
    <col min="4614" max="4614" width="14.42578125" style="1079" customWidth="1"/>
    <col min="4615" max="4615" width="3.7109375" style="1079" customWidth="1"/>
    <col min="4616" max="4616" width="22.7109375" style="1079" customWidth="1"/>
    <col min="4617" max="4634" width="7.28515625" style="1079" customWidth="1"/>
    <col min="4635" max="4868" width="9.140625" style="1079"/>
    <col min="4869" max="4869" width="3.7109375" style="1079" customWidth="1"/>
    <col min="4870" max="4870" width="14.42578125" style="1079" customWidth="1"/>
    <col min="4871" max="4871" width="3.7109375" style="1079" customWidth="1"/>
    <col min="4872" max="4872" width="22.7109375" style="1079" customWidth="1"/>
    <col min="4873" max="4890" width="7.28515625" style="1079" customWidth="1"/>
    <col min="4891" max="5124" width="9.140625" style="1079"/>
    <col min="5125" max="5125" width="3.7109375" style="1079" customWidth="1"/>
    <col min="5126" max="5126" width="14.42578125" style="1079" customWidth="1"/>
    <col min="5127" max="5127" width="3.7109375" style="1079" customWidth="1"/>
    <col min="5128" max="5128" width="22.7109375" style="1079" customWidth="1"/>
    <col min="5129" max="5146" width="7.28515625" style="1079" customWidth="1"/>
    <col min="5147" max="5380" width="9.140625" style="1079"/>
    <col min="5381" max="5381" width="3.7109375" style="1079" customWidth="1"/>
    <col min="5382" max="5382" width="14.42578125" style="1079" customWidth="1"/>
    <col min="5383" max="5383" width="3.7109375" style="1079" customWidth="1"/>
    <col min="5384" max="5384" width="22.7109375" style="1079" customWidth="1"/>
    <col min="5385" max="5402" width="7.28515625" style="1079" customWidth="1"/>
    <col min="5403" max="5636" width="9.140625" style="1079"/>
    <col min="5637" max="5637" width="3.7109375" style="1079" customWidth="1"/>
    <col min="5638" max="5638" width="14.42578125" style="1079" customWidth="1"/>
    <col min="5639" max="5639" width="3.7109375" style="1079" customWidth="1"/>
    <col min="5640" max="5640" width="22.7109375" style="1079" customWidth="1"/>
    <col min="5641" max="5658" width="7.28515625" style="1079" customWidth="1"/>
    <col min="5659" max="5892" width="9.140625" style="1079"/>
    <col min="5893" max="5893" width="3.7109375" style="1079" customWidth="1"/>
    <col min="5894" max="5894" width="14.42578125" style="1079" customWidth="1"/>
    <col min="5895" max="5895" width="3.7109375" style="1079" customWidth="1"/>
    <col min="5896" max="5896" width="22.7109375" style="1079" customWidth="1"/>
    <col min="5897" max="5914" width="7.28515625" style="1079" customWidth="1"/>
    <col min="5915" max="6148" width="9.140625" style="1079"/>
    <col min="6149" max="6149" width="3.7109375" style="1079" customWidth="1"/>
    <col min="6150" max="6150" width="14.42578125" style="1079" customWidth="1"/>
    <col min="6151" max="6151" width="3.7109375" style="1079" customWidth="1"/>
    <col min="6152" max="6152" width="22.7109375" style="1079" customWidth="1"/>
    <col min="6153" max="6170" width="7.28515625" style="1079" customWidth="1"/>
    <col min="6171" max="6404" width="9.140625" style="1079"/>
    <col min="6405" max="6405" width="3.7109375" style="1079" customWidth="1"/>
    <col min="6406" max="6406" width="14.42578125" style="1079" customWidth="1"/>
    <col min="6407" max="6407" width="3.7109375" style="1079" customWidth="1"/>
    <col min="6408" max="6408" width="22.7109375" style="1079" customWidth="1"/>
    <col min="6409" max="6426" width="7.28515625" style="1079" customWidth="1"/>
    <col min="6427" max="6660" width="9.140625" style="1079"/>
    <col min="6661" max="6661" width="3.7109375" style="1079" customWidth="1"/>
    <col min="6662" max="6662" width="14.42578125" style="1079" customWidth="1"/>
    <col min="6663" max="6663" width="3.7109375" style="1079" customWidth="1"/>
    <col min="6664" max="6664" width="22.7109375" style="1079" customWidth="1"/>
    <col min="6665" max="6682" width="7.28515625" style="1079" customWidth="1"/>
    <col min="6683" max="6916" width="9.140625" style="1079"/>
    <col min="6917" max="6917" width="3.7109375" style="1079" customWidth="1"/>
    <col min="6918" max="6918" width="14.42578125" style="1079" customWidth="1"/>
    <col min="6919" max="6919" width="3.7109375" style="1079" customWidth="1"/>
    <col min="6920" max="6920" width="22.7109375" style="1079" customWidth="1"/>
    <col min="6921" max="6938" width="7.28515625" style="1079" customWidth="1"/>
    <col min="6939" max="7172" width="9.140625" style="1079"/>
    <col min="7173" max="7173" width="3.7109375" style="1079" customWidth="1"/>
    <col min="7174" max="7174" width="14.42578125" style="1079" customWidth="1"/>
    <col min="7175" max="7175" width="3.7109375" style="1079" customWidth="1"/>
    <col min="7176" max="7176" width="22.7109375" style="1079" customWidth="1"/>
    <col min="7177" max="7194" width="7.28515625" style="1079" customWidth="1"/>
    <col min="7195" max="7428" width="9.140625" style="1079"/>
    <col min="7429" max="7429" width="3.7109375" style="1079" customWidth="1"/>
    <col min="7430" max="7430" width="14.42578125" style="1079" customWidth="1"/>
    <col min="7431" max="7431" width="3.7109375" style="1079" customWidth="1"/>
    <col min="7432" max="7432" width="22.7109375" style="1079" customWidth="1"/>
    <col min="7433" max="7450" width="7.28515625" style="1079" customWidth="1"/>
    <col min="7451" max="7684" width="9.140625" style="1079"/>
    <col min="7685" max="7685" width="3.7109375" style="1079" customWidth="1"/>
    <col min="7686" max="7686" width="14.42578125" style="1079" customWidth="1"/>
    <col min="7687" max="7687" width="3.7109375" style="1079" customWidth="1"/>
    <col min="7688" max="7688" width="22.7109375" style="1079" customWidth="1"/>
    <col min="7689" max="7706" width="7.28515625" style="1079" customWidth="1"/>
    <col min="7707" max="7940" width="9.140625" style="1079"/>
    <col min="7941" max="7941" width="3.7109375" style="1079" customWidth="1"/>
    <col min="7942" max="7942" width="14.42578125" style="1079" customWidth="1"/>
    <col min="7943" max="7943" width="3.7109375" style="1079" customWidth="1"/>
    <col min="7944" max="7944" width="22.7109375" style="1079" customWidth="1"/>
    <col min="7945" max="7962" width="7.28515625" style="1079" customWidth="1"/>
    <col min="7963" max="8196" width="9.140625" style="1079"/>
    <col min="8197" max="8197" width="3.7109375" style="1079" customWidth="1"/>
    <col min="8198" max="8198" width="14.42578125" style="1079" customWidth="1"/>
    <col min="8199" max="8199" width="3.7109375" style="1079" customWidth="1"/>
    <col min="8200" max="8200" width="22.7109375" style="1079" customWidth="1"/>
    <col min="8201" max="8218" width="7.28515625" style="1079" customWidth="1"/>
    <col min="8219" max="8452" width="9.140625" style="1079"/>
    <col min="8453" max="8453" width="3.7109375" style="1079" customWidth="1"/>
    <col min="8454" max="8454" width="14.42578125" style="1079" customWidth="1"/>
    <col min="8455" max="8455" width="3.7109375" style="1079" customWidth="1"/>
    <col min="8456" max="8456" width="22.7109375" style="1079" customWidth="1"/>
    <col min="8457" max="8474" width="7.28515625" style="1079" customWidth="1"/>
    <col min="8475" max="8708" width="9.140625" style="1079"/>
    <col min="8709" max="8709" width="3.7109375" style="1079" customWidth="1"/>
    <col min="8710" max="8710" width="14.42578125" style="1079" customWidth="1"/>
    <col min="8711" max="8711" width="3.7109375" style="1079" customWidth="1"/>
    <col min="8712" max="8712" width="22.7109375" style="1079" customWidth="1"/>
    <col min="8713" max="8730" width="7.28515625" style="1079" customWidth="1"/>
    <col min="8731" max="8964" width="9.140625" style="1079"/>
    <col min="8965" max="8965" width="3.7109375" style="1079" customWidth="1"/>
    <col min="8966" max="8966" width="14.42578125" style="1079" customWidth="1"/>
    <col min="8967" max="8967" width="3.7109375" style="1079" customWidth="1"/>
    <col min="8968" max="8968" width="22.7109375" style="1079" customWidth="1"/>
    <col min="8969" max="8986" width="7.28515625" style="1079" customWidth="1"/>
    <col min="8987" max="9220" width="9.140625" style="1079"/>
    <col min="9221" max="9221" width="3.7109375" style="1079" customWidth="1"/>
    <col min="9222" max="9222" width="14.42578125" style="1079" customWidth="1"/>
    <col min="9223" max="9223" width="3.7109375" style="1079" customWidth="1"/>
    <col min="9224" max="9224" width="22.7109375" style="1079" customWidth="1"/>
    <col min="9225" max="9242" width="7.28515625" style="1079" customWidth="1"/>
    <col min="9243" max="9476" width="9.140625" style="1079"/>
    <col min="9477" max="9477" width="3.7109375" style="1079" customWidth="1"/>
    <col min="9478" max="9478" width="14.42578125" style="1079" customWidth="1"/>
    <col min="9479" max="9479" width="3.7109375" style="1079" customWidth="1"/>
    <col min="9480" max="9480" width="22.7109375" style="1079" customWidth="1"/>
    <col min="9481" max="9498" width="7.28515625" style="1079" customWidth="1"/>
    <col min="9499" max="9732" width="9.140625" style="1079"/>
    <col min="9733" max="9733" width="3.7109375" style="1079" customWidth="1"/>
    <col min="9734" max="9734" width="14.42578125" style="1079" customWidth="1"/>
    <col min="9735" max="9735" width="3.7109375" style="1079" customWidth="1"/>
    <col min="9736" max="9736" width="22.7109375" style="1079" customWidth="1"/>
    <col min="9737" max="9754" width="7.28515625" style="1079" customWidth="1"/>
    <col min="9755" max="9988" width="9.140625" style="1079"/>
    <col min="9989" max="9989" width="3.7109375" style="1079" customWidth="1"/>
    <col min="9990" max="9990" width="14.42578125" style="1079" customWidth="1"/>
    <col min="9991" max="9991" width="3.7109375" style="1079" customWidth="1"/>
    <col min="9992" max="9992" width="22.7109375" style="1079" customWidth="1"/>
    <col min="9993" max="10010" width="7.28515625" style="1079" customWidth="1"/>
    <col min="10011" max="10244" width="9.140625" style="1079"/>
    <col min="10245" max="10245" width="3.7109375" style="1079" customWidth="1"/>
    <col min="10246" max="10246" width="14.42578125" style="1079" customWidth="1"/>
    <col min="10247" max="10247" width="3.7109375" style="1079" customWidth="1"/>
    <col min="10248" max="10248" width="22.7109375" style="1079" customWidth="1"/>
    <col min="10249" max="10266" width="7.28515625" style="1079" customWidth="1"/>
    <col min="10267" max="10500" width="9.140625" style="1079"/>
    <col min="10501" max="10501" width="3.7109375" style="1079" customWidth="1"/>
    <col min="10502" max="10502" width="14.42578125" style="1079" customWidth="1"/>
    <col min="10503" max="10503" width="3.7109375" style="1079" customWidth="1"/>
    <col min="10504" max="10504" width="22.7109375" style="1079" customWidth="1"/>
    <col min="10505" max="10522" width="7.28515625" style="1079" customWidth="1"/>
    <col min="10523" max="10756" width="9.140625" style="1079"/>
    <col min="10757" max="10757" width="3.7109375" style="1079" customWidth="1"/>
    <col min="10758" max="10758" width="14.42578125" style="1079" customWidth="1"/>
    <col min="10759" max="10759" width="3.7109375" style="1079" customWidth="1"/>
    <col min="10760" max="10760" width="22.7109375" style="1079" customWidth="1"/>
    <col min="10761" max="10778" width="7.28515625" style="1079" customWidth="1"/>
    <col min="10779" max="11012" width="9.140625" style="1079"/>
    <col min="11013" max="11013" width="3.7109375" style="1079" customWidth="1"/>
    <col min="11014" max="11014" width="14.42578125" style="1079" customWidth="1"/>
    <col min="11015" max="11015" width="3.7109375" style="1079" customWidth="1"/>
    <col min="11016" max="11016" width="22.7109375" style="1079" customWidth="1"/>
    <col min="11017" max="11034" width="7.28515625" style="1079" customWidth="1"/>
    <col min="11035" max="11268" width="9.140625" style="1079"/>
    <col min="11269" max="11269" width="3.7109375" style="1079" customWidth="1"/>
    <col min="11270" max="11270" width="14.42578125" style="1079" customWidth="1"/>
    <col min="11271" max="11271" width="3.7109375" style="1079" customWidth="1"/>
    <col min="11272" max="11272" width="22.7109375" style="1079" customWidth="1"/>
    <col min="11273" max="11290" width="7.28515625" style="1079" customWidth="1"/>
    <col min="11291" max="11524" width="9.140625" style="1079"/>
    <col min="11525" max="11525" width="3.7109375" style="1079" customWidth="1"/>
    <col min="11526" max="11526" width="14.42578125" style="1079" customWidth="1"/>
    <col min="11527" max="11527" width="3.7109375" style="1079" customWidth="1"/>
    <col min="11528" max="11528" width="22.7109375" style="1079" customWidth="1"/>
    <col min="11529" max="11546" width="7.28515625" style="1079" customWidth="1"/>
    <col min="11547" max="11780" width="9.140625" style="1079"/>
    <col min="11781" max="11781" width="3.7109375" style="1079" customWidth="1"/>
    <col min="11782" max="11782" width="14.42578125" style="1079" customWidth="1"/>
    <col min="11783" max="11783" width="3.7109375" style="1079" customWidth="1"/>
    <col min="11784" max="11784" width="22.7109375" style="1079" customWidth="1"/>
    <col min="11785" max="11802" width="7.28515625" style="1079" customWidth="1"/>
    <col min="11803" max="12036" width="9.140625" style="1079"/>
    <col min="12037" max="12037" width="3.7109375" style="1079" customWidth="1"/>
    <col min="12038" max="12038" width="14.42578125" style="1079" customWidth="1"/>
    <col min="12039" max="12039" width="3.7109375" style="1079" customWidth="1"/>
    <col min="12040" max="12040" width="22.7109375" style="1079" customWidth="1"/>
    <col min="12041" max="12058" width="7.28515625" style="1079" customWidth="1"/>
    <col min="12059" max="12292" width="9.140625" style="1079"/>
    <col min="12293" max="12293" width="3.7109375" style="1079" customWidth="1"/>
    <col min="12294" max="12294" width="14.42578125" style="1079" customWidth="1"/>
    <col min="12295" max="12295" width="3.7109375" style="1079" customWidth="1"/>
    <col min="12296" max="12296" width="22.7109375" style="1079" customWidth="1"/>
    <col min="12297" max="12314" width="7.28515625" style="1079" customWidth="1"/>
    <col min="12315" max="12548" width="9.140625" style="1079"/>
    <col min="12549" max="12549" width="3.7109375" style="1079" customWidth="1"/>
    <col min="12550" max="12550" width="14.42578125" style="1079" customWidth="1"/>
    <col min="12551" max="12551" width="3.7109375" style="1079" customWidth="1"/>
    <col min="12552" max="12552" width="22.7109375" style="1079" customWidth="1"/>
    <col min="12553" max="12570" width="7.28515625" style="1079" customWidth="1"/>
    <col min="12571" max="12804" width="9.140625" style="1079"/>
    <col min="12805" max="12805" width="3.7109375" style="1079" customWidth="1"/>
    <col min="12806" max="12806" width="14.42578125" style="1079" customWidth="1"/>
    <col min="12807" max="12807" width="3.7109375" style="1079" customWidth="1"/>
    <col min="12808" max="12808" width="22.7109375" style="1079" customWidth="1"/>
    <col min="12809" max="12826" width="7.28515625" style="1079" customWidth="1"/>
    <col min="12827" max="13060" width="9.140625" style="1079"/>
    <col min="13061" max="13061" width="3.7109375" style="1079" customWidth="1"/>
    <col min="13062" max="13062" width="14.42578125" style="1079" customWidth="1"/>
    <col min="13063" max="13063" width="3.7109375" style="1079" customWidth="1"/>
    <col min="13064" max="13064" width="22.7109375" style="1079" customWidth="1"/>
    <col min="13065" max="13082" width="7.28515625" style="1079" customWidth="1"/>
    <col min="13083" max="13316" width="9.140625" style="1079"/>
    <col min="13317" max="13317" width="3.7109375" style="1079" customWidth="1"/>
    <col min="13318" max="13318" width="14.42578125" style="1079" customWidth="1"/>
    <col min="13319" max="13319" width="3.7109375" style="1079" customWidth="1"/>
    <col min="13320" max="13320" width="22.7109375" style="1079" customWidth="1"/>
    <col min="13321" max="13338" width="7.28515625" style="1079" customWidth="1"/>
    <col min="13339" max="13572" width="9.140625" style="1079"/>
    <col min="13573" max="13573" width="3.7109375" style="1079" customWidth="1"/>
    <col min="13574" max="13574" width="14.42578125" style="1079" customWidth="1"/>
    <col min="13575" max="13575" width="3.7109375" style="1079" customWidth="1"/>
    <col min="13576" max="13576" width="22.7109375" style="1079" customWidth="1"/>
    <col min="13577" max="13594" width="7.28515625" style="1079" customWidth="1"/>
    <col min="13595" max="13828" width="9.140625" style="1079"/>
    <col min="13829" max="13829" width="3.7109375" style="1079" customWidth="1"/>
    <col min="13830" max="13830" width="14.42578125" style="1079" customWidth="1"/>
    <col min="13831" max="13831" width="3.7109375" style="1079" customWidth="1"/>
    <col min="13832" max="13832" width="22.7109375" style="1079" customWidth="1"/>
    <col min="13833" max="13850" width="7.28515625" style="1079" customWidth="1"/>
    <col min="13851" max="14084" width="9.140625" style="1079"/>
    <col min="14085" max="14085" width="3.7109375" style="1079" customWidth="1"/>
    <col min="14086" max="14086" width="14.42578125" style="1079" customWidth="1"/>
    <col min="14087" max="14087" width="3.7109375" style="1079" customWidth="1"/>
    <col min="14088" max="14088" width="22.7109375" style="1079" customWidth="1"/>
    <col min="14089" max="14106" width="7.28515625" style="1079" customWidth="1"/>
    <col min="14107" max="14340" width="9.140625" style="1079"/>
    <col min="14341" max="14341" width="3.7109375" style="1079" customWidth="1"/>
    <col min="14342" max="14342" width="14.42578125" style="1079" customWidth="1"/>
    <col min="14343" max="14343" width="3.7109375" style="1079" customWidth="1"/>
    <col min="14344" max="14344" width="22.7109375" style="1079" customWidth="1"/>
    <col min="14345" max="14362" width="7.28515625" style="1079" customWidth="1"/>
    <col min="14363" max="14596" width="9.140625" style="1079"/>
    <col min="14597" max="14597" width="3.7109375" style="1079" customWidth="1"/>
    <col min="14598" max="14598" width="14.42578125" style="1079" customWidth="1"/>
    <col min="14599" max="14599" width="3.7109375" style="1079" customWidth="1"/>
    <col min="14600" max="14600" width="22.7109375" style="1079" customWidth="1"/>
    <col min="14601" max="14618" width="7.28515625" style="1079" customWidth="1"/>
    <col min="14619" max="14852" width="9.140625" style="1079"/>
    <col min="14853" max="14853" width="3.7109375" style="1079" customWidth="1"/>
    <col min="14854" max="14854" width="14.42578125" style="1079" customWidth="1"/>
    <col min="14855" max="14855" width="3.7109375" style="1079" customWidth="1"/>
    <col min="14856" max="14856" width="22.7109375" style="1079" customWidth="1"/>
    <col min="14857" max="14874" width="7.28515625" style="1079" customWidth="1"/>
    <col min="14875" max="15108" width="9.140625" style="1079"/>
    <col min="15109" max="15109" width="3.7109375" style="1079" customWidth="1"/>
    <col min="15110" max="15110" width="14.42578125" style="1079" customWidth="1"/>
    <col min="15111" max="15111" width="3.7109375" style="1079" customWidth="1"/>
    <col min="15112" max="15112" width="22.7109375" style="1079" customWidth="1"/>
    <col min="15113" max="15130" width="7.28515625" style="1079" customWidth="1"/>
    <col min="15131" max="15364" width="9.140625" style="1079"/>
    <col min="15365" max="15365" width="3.7109375" style="1079" customWidth="1"/>
    <col min="15366" max="15366" width="14.42578125" style="1079" customWidth="1"/>
    <col min="15367" max="15367" width="3.7109375" style="1079" customWidth="1"/>
    <col min="15368" max="15368" width="22.7109375" style="1079" customWidth="1"/>
    <col min="15369" max="15386" width="7.28515625" style="1079" customWidth="1"/>
    <col min="15387" max="15620" width="9.140625" style="1079"/>
    <col min="15621" max="15621" width="3.7109375" style="1079" customWidth="1"/>
    <col min="15622" max="15622" width="14.42578125" style="1079" customWidth="1"/>
    <col min="15623" max="15623" width="3.7109375" style="1079" customWidth="1"/>
    <col min="15624" max="15624" width="22.7109375" style="1079" customWidth="1"/>
    <col min="15625" max="15642" width="7.28515625" style="1079" customWidth="1"/>
    <col min="15643" max="15876" width="9.140625" style="1079"/>
    <col min="15877" max="15877" width="3.7109375" style="1079" customWidth="1"/>
    <col min="15878" max="15878" width="14.42578125" style="1079" customWidth="1"/>
    <col min="15879" max="15879" width="3.7109375" style="1079" customWidth="1"/>
    <col min="15880" max="15880" width="22.7109375" style="1079" customWidth="1"/>
    <col min="15881" max="15898" width="7.28515625" style="1079" customWidth="1"/>
    <col min="15899" max="16132" width="9.140625" style="1079"/>
    <col min="16133" max="16133" width="3.7109375" style="1079" customWidth="1"/>
    <col min="16134" max="16134" width="14.42578125" style="1079" customWidth="1"/>
    <col min="16135" max="16135" width="3.7109375" style="1079" customWidth="1"/>
    <col min="16136" max="16136" width="22.7109375" style="1079" customWidth="1"/>
    <col min="16137" max="16154" width="7.28515625" style="1079" customWidth="1"/>
    <col min="16155" max="16384" width="9.140625" style="1079"/>
  </cols>
  <sheetData>
    <row r="1" spans="1:34" x14ac:dyDescent="0.2">
      <c r="A1" s="1076"/>
      <c r="B1" s="1077"/>
      <c r="C1" s="1077"/>
      <c r="D1" s="1078"/>
      <c r="E1" s="1078"/>
      <c r="F1" s="1078"/>
      <c r="G1" s="1078"/>
      <c r="H1" s="1078"/>
      <c r="I1" s="1078"/>
      <c r="J1" s="1078"/>
      <c r="K1" s="1078"/>
      <c r="L1" s="1078"/>
      <c r="M1" s="1078"/>
      <c r="N1" s="1078"/>
      <c r="O1" s="1078"/>
      <c r="P1" s="1078"/>
      <c r="Q1" s="1078"/>
      <c r="R1" s="1078"/>
      <c r="S1" s="1078"/>
      <c r="T1" s="1078"/>
      <c r="U1" s="1078"/>
    </row>
    <row r="2" spans="1:34" ht="14.25" customHeight="1" x14ac:dyDescent="0.2">
      <c r="A2" s="782">
        <v>1</v>
      </c>
      <c r="B2" s="782" t="s">
        <v>0</v>
      </c>
      <c r="C2" s="782">
        <f>1+'Gender parity index'!C2</f>
        <v>44</v>
      </c>
      <c r="D2" s="4048" t="s">
        <v>473</v>
      </c>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49"/>
      <c r="AC2" s="4049"/>
      <c r="AD2" s="4049"/>
      <c r="AE2" s="4050"/>
    </row>
    <row r="3" spans="1:34" ht="15" customHeight="1" x14ac:dyDescent="0.2">
      <c r="A3" s="782">
        <v>2</v>
      </c>
      <c r="B3" s="782" t="s">
        <v>2</v>
      </c>
      <c r="C3" s="782"/>
      <c r="D3" s="4048" t="s">
        <v>402</v>
      </c>
      <c r="E3" s="4049"/>
      <c r="F3" s="4049"/>
      <c r="G3" s="4049"/>
      <c r="H3" s="4049"/>
      <c r="I3" s="4049"/>
      <c r="J3" s="4049"/>
      <c r="K3" s="4049"/>
      <c r="L3" s="4049"/>
      <c r="M3" s="4049"/>
      <c r="N3" s="4049"/>
      <c r="O3" s="4049"/>
      <c r="P3" s="4049"/>
      <c r="Q3" s="4049"/>
      <c r="R3" s="4049"/>
      <c r="S3" s="4049"/>
      <c r="T3" s="4049"/>
      <c r="U3" s="4049"/>
      <c r="V3" s="4049"/>
      <c r="W3" s="4049"/>
      <c r="X3" s="4049"/>
      <c r="Y3" s="4049"/>
      <c r="Z3" s="4049"/>
      <c r="AA3" s="4049"/>
      <c r="AB3" s="4049"/>
      <c r="AC3" s="4049"/>
      <c r="AD3" s="4049"/>
      <c r="AE3" s="4050"/>
    </row>
    <row r="4" spans="1:34" ht="14.25" customHeight="1" x14ac:dyDescent="0.2">
      <c r="A4" s="782">
        <v>3</v>
      </c>
      <c r="B4" s="782" t="s">
        <v>4</v>
      </c>
      <c r="C4" s="782"/>
      <c r="D4" s="4048" t="s">
        <v>474</v>
      </c>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49"/>
      <c r="AC4" s="4049"/>
      <c r="AD4" s="4049"/>
      <c r="AE4" s="4050"/>
    </row>
    <row r="5" spans="1:34" ht="15.75" customHeight="1" x14ac:dyDescent="0.2">
      <c r="A5" s="1080"/>
      <c r="B5" s="1077"/>
      <c r="C5" s="902"/>
      <c r="D5" s="1081"/>
      <c r="E5" s="196"/>
      <c r="F5" s="196"/>
      <c r="G5" s="196"/>
      <c r="H5" s="196"/>
      <c r="I5" s="196"/>
      <c r="J5" s="196"/>
      <c r="K5" s="196"/>
      <c r="L5" s="196"/>
      <c r="M5" s="196"/>
      <c r="N5" s="196"/>
      <c r="O5" s="196"/>
      <c r="P5" s="196"/>
    </row>
    <row r="6" spans="1:34" s="74" customFormat="1" ht="12.75" x14ac:dyDescent="0.2">
      <c r="A6" s="782">
        <v>4</v>
      </c>
      <c r="B6" s="902" t="s">
        <v>5</v>
      </c>
      <c r="C6" s="1082"/>
      <c r="D6" s="122" t="s">
        <v>112</v>
      </c>
      <c r="E6" s="122" t="str">
        <f>D2</f>
        <v>National Senior Certificate Examination Pass Rate</v>
      </c>
      <c r="F6" s="122"/>
      <c r="G6" s="122"/>
      <c r="H6" s="122"/>
      <c r="I6" s="122"/>
      <c r="J6" s="122"/>
      <c r="K6" s="122"/>
      <c r="L6" s="122"/>
      <c r="M6" s="139"/>
      <c r="N6" s="139"/>
      <c r="O6" s="139"/>
      <c r="P6" s="139"/>
      <c r="Q6" s="139"/>
      <c r="R6" s="120"/>
      <c r="S6" s="120"/>
      <c r="T6" s="120"/>
      <c r="U6" s="120"/>
    </row>
    <row r="7" spans="1:34" s="74" customFormat="1" ht="11.25" x14ac:dyDescent="0.2">
      <c r="A7" s="1083"/>
      <c r="B7" s="1082"/>
      <c r="C7" s="1082"/>
      <c r="D7" s="1084"/>
      <c r="E7" s="946">
        <v>1994</v>
      </c>
      <c r="F7" s="946">
        <v>1995</v>
      </c>
      <c r="G7" s="946">
        <v>1996</v>
      </c>
      <c r="H7" s="946">
        <v>1997</v>
      </c>
      <c r="I7" s="946">
        <v>1998</v>
      </c>
      <c r="J7" s="946">
        <v>1999</v>
      </c>
      <c r="K7" s="946">
        <v>2000</v>
      </c>
      <c r="L7" s="946">
        <v>2001</v>
      </c>
      <c r="M7" s="946">
        <v>2002</v>
      </c>
      <c r="N7" s="946">
        <v>2003</v>
      </c>
      <c r="O7" s="946">
        <v>2004</v>
      </c>
      <c r="P7" s="946">
        <v>2005</v>
      </c>
      <c r="Q7" s="946">
        <v>2006</v>
      </c>
      <c r="R7" s="946">
        <v>2007</v>
      </c>
      <c r="S7" s="946">
        <v>2008</v>
      </c>
      <c r="T7" s="946">
        <v>2009</v>
      </c>
      <c r="U7" s="946">
        <v>2010</v>
      </c>
      <c r="V7" s="946">
        <v>2011</v>
      </c>
      <c r="W7" s="946">
        <v>2012</v>
      </c>
      <c r="X7" s="946">
        <v>2013</v>
      </c>
      <c r="Y7" s="1085">
        <v>2014</v>
      </c>
      <c r="Z7" s="1085">
        <v>2015</v>
      </c>
      <c r="AA7" s="1085">
        <v>2016</v>
      </c>
      <c r="AB7" s="1086">
        <v>2017</v>
      </c>
    </row>
    <row r="8" spans="1:34" x14ac:dyDescent="0.2">
      <c r="A8" s="1076"/>
      <c r="B8" s="1077"/>
      <c r="C8" s="1077"/>
      <c r="D8" s="1087" t="s">
        <v>475</v>
      </c>
      <c r="E8" s="1088"/>
      <c r="F8" s="1089">
        <v>531453</v>
      </c>
      <c r="G8" s="1089">
        <v>513868</v>
      </c>
      <c r="H8" s="1089">
        <v>558970</v>
      </c>
      <c r="I8" s="1089">
        <v>552384</v>
      </c>
      <c r="J8" s="1089">
        <v>511159</v>
      </c>
      <c r="K8" s="1089">
        <v>489298</v>
      </c>
      <c r="L8" s="1089">
        <v>449332</v>
      </c>
      <c r="M8" s="1089">
        <v>443765</v>
      </c>
      <c r="N8" s="1089">
        <v>440096</v>
      </c>
      <c r="O8" s="1089">
        <v>467890</v>
      </c>
      <c r="P8" s="1089">
        <v>508180</v>
      </c>
      <c r="Q8" s="1089">
        <v>527950</v>
      </c>
      <c r="R8" s="1089">
        <v>564381</v>
      </c>
      <c r="S8" s="1090">
        <v>554664</v>
      </c>
      <c r="T8" s="1090">
        <v>552073</v>
      </c>
      <c r="U8" s="1090">
        <v>537543</v>
      </c>
      <c r="V8" s="1090">
        <v>496090</v>
      </c>
      <c r="W8" s="1090">
        <v>511152</v>
      </c>
      <c r="X8" s="1090">
        <v>562116</v>
      </c>
      <c r="Y8" s="1091">
        <v>532860</v>
      </c>
      <c r="Z8" s="1091">
        <v>644536</v>
      </c>
      <c r="AA8" s="1091">
        <v>610178</v>
      </c>
      <c r="AB8" s="1092">
        <v>534484</v>
      </c>
      <c r="AC8" s="74"/>
      <c r="AD8" s="74"/>
      <c r="AE8" s="74"/>
      <c r="AF8" s="74"/>
    </row>
    <row r="9" spans="1:34" x14ac:dyDescent="0.2">
      <c r="A9" s="1076"/>
      <c r="B9" s="1077"/>
      <c r="C9" s="1077"/>
      <c r="D9" s="1087" t="s">
        <v>476</v>
      </c>
      <c r="E9" s="1088"/>
      <c r="F9" s="1093">
        <v>283742</v>
      </c>
      <c r="G9" s="1093">
        <v>279487</v>
      </c>
      <c r="H9" s="1093">
        <v>264795</v>
      </c>
      <c r="I9" s="1093">
        <v>272488</v>
      </c>
      <c r="J9" s="1093">
        <v>249831</v>
      </c>
      <c r="K9" s="1093">
        <v>283294</v>
      </c>
      <c r="L9" s="1093">
        <v>277206</v>
      </c>
      <c r="M9" s="1093">
        <v>305774</v>
      </c>
      <c r="N9" s="1093">
        <v>322492</v>
      </c>
      <c r="O9" s="1093">
        <v>330717</v>
      </c>
      <c r="P9" s="1093">
        <v>347184</v>
      </c>
      <c r="Q9" s="1093">
        <v>351503</v>
      </c>
      <c r="R9" s="1089">
        <v>368217</v>
      </c>
      <c r="S9" s="1089">
        <v>344794</v>
      </c>
      <c r="T9" s="1089">
        <v>334716</v>
      </c>
      <c r="U9" s="1090">
        <v>364147</v>
      </c>
      <c r="V9" s="1090">
        <v>348117</v>
      </c>
      <c r="W9" s="1090">
        <v>377829</v>
      </c>
      <c r="X9" s="1090">
        <v>439779</v>
      </c>
      <c r="Y9" s="1091">
        <v>403874</v>
      </c>
      <c r="Z9" s="1091">
        <v>455825</v>
      </c>
      <c r="AA9" s="1091">
        <v>442672</v>
      </c>
      <c r="AB9" s="1094">
        <v>401435</v>
      </c>
      <c r="AC9" s="74"/>
      <c r="AD9" s="74"/>
      <c r="AE9" s="74"/>
      <c r="AF9" s="74"/>
    </row>
    <row r="10" spans="1:34" x14ac:dyDescent="0.2">
      <c r="A10" s="1076"/>
      <c r="B10" s="1077"/>
      <c r="C10" s="1077"/>
      <c r="D10" s="1087" t="s">
        <v>477</v>
      </c>
      <c r="E10" s="1088"/>
      <c r="F10" s="1093"/>
      <c r="G10" s="1093"/>
      <c r="H10" s="1093"/>
      <c r="I10" s="1093"/>
      <c r="J10" s="1093"/>
      <c r="K10" s="1093"/>
      <c r="L10" s="1093"/>
      <c r="M10" s="1093"/>
      <c r="N10" s="1093"/>
      <c r="O10" s="1093"/>
      <c r="P10" s="1093"/>
      <c r="Q10" s="1093"/>
      <c r="R10" s="1089"/>
      <c r="S10" s="1089"/>
      <c r="T10" s="1089">
        <v>109697</v>
      </c>
      <c r="U10" s="1090">
        <v>126371</v>
      </c>
      <c r="V10" s="1090">
        <v>120767</v>
      </c>
      <c r="W10" s="1090">
        <v>136047</v>
      </c>
      <c r="X10" s="1090">
        <v>171755</v>
      </c>
      <c r="Y10" s="1091">
        <v>150752</v>
      </c>
      <c r="Z10" s="1091">
        <v>166263</v>
      </c>
      <c r="AA10" s="1091">
        <v>162374</v>
      </c>
      <c r="AB10" s="1094">
        <v>153610</v>
      </c>
      <c r="AC10" s="74"/>
      <c r="AD10" s="74"/>
      <c r="AE10" s="74"/>
      <c r="AF10" s="74"/>
    </row>
    <row r="11" spans="1:34" s="74" customFormat="1" ht="11.25" x14ac:dyDescent="0.2">
      <c r="A11" s="1083"/>
      <c r="B11" s="1082"/>
      <c r="C11" s="1082"/>
      <c r="D11" s="1095" t="s">
        <v>478</v>
      </c>
      <c r="E11" s="1096">
        <v>0.57999999999999996</v>
      </c>
      <c r="F11" s="1096">
        <v>0.53389857616760095</v>
      </c>
      <c r="G11" s="1096">
        <v>0.54388870293538416</v>
      </c>
      <c r="H11" s="1096">
        <v>0.47371951983111793</v>
      </c>
      <c r="I11" s="1096">
        <v>0.49329451975437377</v>
      </c>
      <c r="J11" s="1096">
        <v>0.48875398848499196</v>
      </c>
      <c r="K11" s="1096">
        <v>0.57898049859186018</v>
      </c>
      <c r="L11" s="1096">
        <v>0.6169291303535025</v>
      </c>
      <c r="M11" s="1096">
        <v>0.68904487735625841</v>
      </c>
      <c r="N11" s="1096">
        <v>0.73277648513051696</v>
      </c>
      <c r="O11" s="1096">
        <v>0.70682639081835474</v>
      </c>
      <c r="P11" s="1096">
        <v>0.68319099531662009</v>
      </c>
      <c r="Q11" s="1096">
        <v>0.66578842693436879</v>
      </c>
      <c r="R11" s="1096">
        <v>0.65242628649795087</v>
      </c>
      <c r="S11" s="1096">
        <v>0.62162678666724358</v>
      </c>
      <c r="T11" s="1096">
        <v>0.60628938564284074</v>
      </c>
      <c r="U11" s="1096">
        <v>0.67800000000000005</v>
      </c>
      <c r="V11" s="1096">
        <v>0.70199999999999996</v>
      </c>
      <c r="W11" s="1096">
        <v>0.73917151845243689</v>
      </c>
      <c r="X11" s="1096">
        <v>0.78200000000000003</v>
      </c>
      <c r="Y11" s="1097">
        <v>0.75800000000000001</v>
      </c>
      <c r="Z11" s="1097">
        <v>0.70699999999999996</v>
      </c>
      <c r="AA11" s="1097">
        <v>0.72499999999999998</v>
      </c>
      <c r="AB11" s="1098">
        <v>0.751</v>
      </c>
    </row>
    <row r="12" spans="1:34" s="74" customFormat="1" ht="11.25" x14ac:dyDescent="0.2">
      <c r="A12" s="1083"/>
      <c r="B12" s="1082"/>
      <c r="C12" s="1082"/>
      <c r="D12" s="1087"/>
      <c r="E12" s="1099"/>
      <c r="F12" s="1099"/>
      <c r="G12" s="1099"/>
      <c r="H12" s="1099"/>
      <c r="I12" s="1099"/>
      <c r="J12" s="1099"/>
      <c r="K12" s="1099"/>
      <c r="L12" s="1099"/>
      <c r="M12" s="1099"/>
      <c r="N12" s="1099"/>
      <c r="O12" s="1099"/>
      <c r="P12" s="1099"/>
      <c r="Q12" s="1099"/>
      <c r="R12" s="1099"/>
      <c r="S12" s="1099"/>
      <c r="T12" s="1099"/>
      <c r="U12" s="1099"/>
    </row>
    <row r="13" spans="1:34" s="74" customFormat="1" ht="11.25" x14ac:dyDescent="0.2">
      <c r="A13" s="1083"/>
      <c r="B13" s="1082"/>
      <c r="C13" s="1082"/>
      <c r="D13" s="1100" t="s">
        <v>6</v>
      </c>
      <c r="E13" s="4276" t="s">
        <v>479</v>
      </c>
      <c r="F13" s="4277"/>
      <c r="G13" s="4277"/>
      <c r="H13" s="4277"/>
      <c r="I13" s="4277"/>
      <c r="J13" s="4277"/>
      <c r="K13" s="1099"/>
      <c r="L13" s="1101"/>
      <c r="M13" s="1099"/>
      <c r="N13" s="1102"/>
      <c r="O13" s="1099"/>
      <c r="P13" s="1102"/>
      <c r="Q13" s="1099"/>
      <c r="R13" s="1102"/>
      <c r="S13" s="1099"/>
      <c r="T13" s="1102"/>
      <c r="U13" s="1099"/>
      <c r="V13" s="1102"/>
    </row>
    <row r="14" spans="1:34" ht="13.9" customHeight="1" x14ac:dyDescent="0.2">
      <c r="A14" s="1076"/>
      <c r="B14" s="1076"/>
      <c r="C14" s="1076"/>
      <c r="D14" s="1103"/>
      <c r="E14" s="4278">
        <v>2009</v>
      </c>
      <c r="F14" s="4279"/>
      <c r="G14" s="4280"/>
      <c r="H14" s="4279">
        <v>2010</v>
      </c>
      <c r="I14" s="4279"/>
      <c r="J14" s="4280"/>
      <c r="K14" s="4279">
        <v>2011</v>
      </c>
      <c r="L14" s="4279"/>
      <c r="M14" s="4280"/>
      <c r="N14" s="4279">
        <v>2012</v>
      </c>
      <c r="O14" s="4279"/>
      <c r="P14" s="4280"/>
      <c r="Q14" s="4279">
        <v>2013</v>
      </c>
      <c r="R14" s="4279"/>
      <c r="S14" s="4280"/>
      <c r="T14" s="4274">
        <v>2014</v>
      </c>
      <c r="U14" s="4274"/>
      <c r="V14" s="4282"/>
      <c r="W14" s="4273">
        <v>2015</v>
      </c>
      <c r="X14" s="4274"/>
      <c r="Y14" s="4282"/>
      <c r="Z14" s="4273">
        <v>2016</v>
      </c>
      <c r="AA14" s="4274"/>
      <c r="AB14" s="4275"/>
      <c r="AC14" s="4273">
        <v>2017</v>
      </c>
      <c r="AD14" s="4274"/>
      <c r="AE14" s="4275"/>
      <c r="AF14" s="1104"/>
      <c r="AG14" s="1104"/>
      <c r="AH14" s="1104"/>
    </row>
    <row r="15" spans="1:34" ht="28.15" customHeight="1" x14ac:dyDescent="0.2">
      <c r="A15" s="1076"/>
      <c r="B15" s="1076"/>
      <c r="C15" s="1076"/>
      <c r="D15" s="1105" t="s">
        <v>480</v>
      </c>
      <c r="E15" s="1106" t="s">
        <v>475</v>
      </c>
      <c r="F15" s="1107" t="s">
        <v>476</v>
      </c>
      <c r="G15" s="1108" t="s">
        <v>478</v>
      </c>
      <c r="H15" s="1107" t="s">
        <v>475</v>
      </c>
      <c r="I15" s="1107" t="s">
        <v>476</v>
      </c>
      <c r="J15" s="1108" t="s">
        <v>478</v>
      </c>
      <c r="K15" s="1107" t="s">
        <v>475</v>
      </c>
      <c r="L15" s="1107" t="s">
        <v>476</v>
      </c>
      <c r="M15" s="1108" t="s">
        <v>478</v>
      </c>
      <c r="N15" s="1107" t="s">
        <v>475</v>
      </c>
      <c r="O15" s="1107" t="s">
        <v>476</v>
      </c>
      <c r="P15" s="1108" t="s">
        <v>478</v>
      </c>
      <c r="Q15" s="1107" t="s">
        <v>475</v>
      </c>
      <c r="R15" s="1107" t="s">
        <v>476</v>
      </c>
      <c r="S15" s="1108" t="s">
        <v>478</v>
      </c>
      <c r="T15" s="1109" t="s">
        <v>475</v>
      </c>
      <c r="U15" s="1109" t="s">
        <v>476</v>
      </c>
      <c r="V15" s="1110" t="s">
        <v>478</v>
      </c>
      <c r="W15" s="1109" t="s">
        <v>475</v>
      </c>
      <c r="X15" s="1109" t="s">
        <v>476</v>
      </c>
      <c r="Y15" s="1110" t="s">
        <v>478</v>
      </c>
      <c r="Z15" s="1109" t="s">
        <v>475</v>
      </c>
      <c r="AA15" s="1109" t="s">
        <v>476</v>
      </c>
      <c r="AB15" s="1111" t="s">
        <v>478</v>
      </c>
      <c r="AC15" s="1109" t="s">
        <v>475</v>
      </c>
      <c r="AD15" s="1109" t="s">
        <v>476</v>
      </c>
      <c r="AE15" s="1111" t="s">
        <v>478</v>
      </c>
      <c r="AF15" s="1112"/>
      <c r="AG15" s="1112"/>
      <c r="AH15" s="1112"/>
    </row>
    <row r="16" spans="1:34" ht="15" customHeight="1" x14ac:dyDescent="0.2">
      <c r="A16" s="1076"/>
      <c r="B16" s="1076"/>
      <c r="C16" s="1076"/>
      <c r="D16" s="967" t="s">
        <v>19</v>
      </c>
      <c r="E16" s="1113">
        <v>68129</v>
      </c>
      <c r="F16" s="1114">
        <v>34731</v>
      </c>
      <c r="G16" s="1115">
        <f t="shared" ref="G16:G25" si="0">+F16/E16</f>
        <v>0.50978291182903024</v>
      </c>
      <c r="H16" s="1116">
        <v>64090</v>
      </c>
      <c r="I16" s="1114">
        <v>37345</v>
      </c>
      <c r="J16" s="1115">
        <f t="shared" ref="J16:J24" si="1">+I16/H16</f>
        <v>0.58269620845685755</v>
      </c>
      <c r="K16" s="1116">
        <v>65359</v>
      </c>
      <c r="L16" s="1114">
        <v>37997</v>
      </c>
      <c r="M16" s="1115">
        <f t="shared" ref="M16:M25" si="2">+L16/K16</f>
        <v>0.58135834391591057</v>
      </c>
      <c r="N16" s="1116">
        <v>63989</v>
      </c>
      <c r="O16" s="1114">
        <v>39443</v>
      </c>
      <c r="P16" s="1115">
        <f t="shared" ref="P16:P25" si="3">+O16/N16</f>
        <v>0.61640281923455598</v>
      </c>
      <c r="Q16" s="1116">
        <v>72138</v>
      </c>
      <c r="R16" s="1114">
        <v>46840</v>
      </c>
      <c r="S16" s="1115">
        <v>0.64900000000000002</v>
      </c>
      <c r="T16" s="1117">
        <v>66935</v>
      </c>
      <c r="U16" s="1118">
        <v>43777</v>
      </c>
      <c r="V16" s="1119">
        <v>0.65400000000000003</v>
      </c>
      <c r="W16" s="1117">
        <v>87090</v>
      </c>
      <c r="X16" s="1118">
        <v>49475</v>
      </c>
      <c r="Y16" s="1115">
        <v>0.56799999999999995</v>
      </c>
      <c r="Z16" s="1117">
        <v>82902</v>
      </c>
      <c r="AA16" s="1118">
        <v>49168</v>
      </c>
      <c r="AB16" s="1120">
        <f t="shared" ref="AB16:AB25" si="4">AA16/Z16</f>
        <v>0.59308581216375966</v>
      </c>
      <c r="AC16" s="1117">
        <v>67648</v>
      </c>
      <c r="AD16" s="1118">
        <v>43981</v>
      </c>
      <c r="AE16" s="1120">
        <f t="shared" ref="AE16:AE25" si="5">AD16/AC16</f>
        <v>0.65014486754966883</v>
      </c>
      <c r="AF16" s="1099"/>
      <c r="AG16" s="1099"/>
      <c r="AH16" s="1099"/>
    </row>
    <row r="17" spans="1:34" ht="15" customHeight="1" x14ac:dyDescent="0.2">
      <c r="A17" s="1076"/>
      <c r="B17" s="1076"/>
      <c r="C17" s="1076"/>
      <c r="D17" s="967" t="s">
        <v>20</v>
      </c>
      <c r="E17" s="1113">
        <v>29808</v>
      </c>
      <c r="F17" s="1114">
        <v>20680</v>
      </c>
      <c r="G17" s="1115">
        <f t="shared" si="0"/>
        <v>0.69377348362855606</v>
      </c>
      <c r="H17" s="1116">
        <v>27586</v>
      </c>
      <c r="I17" s="1114">
        <v>19484</v>
      </c>
      <c r="J17" s="1115">
        <f t="shared" si="1"/>
        <v>0.70630029725222943</v>
      </c>
      <c r="K17" s="1116">
        <v>25932</v>
      </c>
      <c r="L17" s="1114">
        <v>19618</v>
      </c>
      <c r="M17" s="1115">
        <f t="shared" si="2"/>
        <v>0.75651704457812741</v>
      </c>
      <c r="N17" s="1116">
        <v>24265</v>
      </c>
      <c r="O17" s="1114">
        <v>19676</v>
      </c>
      <c r="P17" s="1115">
        <f t="shared" si="3"/>
        <v>0.81087986812281065</v>
      </c>
      <c r="Q17" s="1116">
        <v>27105</v>
      </c>
      <c r="R17" s="1114">
        <v>23689</v>
      </c>
      <c r="S17" s="1115">
        <v>0.874</v>
      </c>
      <c r="T17" s="1117">
        <v>26440</v>
      </c>
      <c r="U17" s="1118">
        <v>21899</v>
      </c>
      <c r="V17" s="1119">
        <v>0.82799999999999996</v>
      </c>
      <c r="W17" s="1117">
        <v>31161</v>
      </c>
      <c r="X17" s="1118">
        <v>25416</v>
      </c>
      <c r="Y17" s="1115">
        <v>0.81599999999999995</v>
      </c>
      <c r="Z17" s="1117">
        <v>26786</v>
      </c>
      <c r="AA17" s="1118">
        <v>23629</v>
      </c>
      <c r="AB17" s="1120">
        <f t="shared" si="4"/>
        <v>0.88213992384081241</v>
      </c>
      <c r="AC17" s="1117">
        <v>25130</v>
      </c>
      <c r="AD17" s="1118">
        <v>21631</v>
      </c>
      <c r="AE17" s="1120">
        <f t="shared" si="5"/>
        <v>0.86076402705929167</v>
      </c>
      <c r="AF17" s="1099"/>
      <c r="AG17" s="1099"/>
      <c r="AH17" s="1099"/>
    </row>
    <row r="18" spans="1:34" ht="15" customHeight="1" x14ac:dyDescent="0.2">
      <c r="A18" s="1076"/>
      <c r="B18" s="1076"/>
      <c r="C18" s="1076"/>
      <c r="D18" s="967" t="s">
        <v>21</v>
      </c>
      <c r="E18" s="1113">
        <v>98659</v>
      </c>
      <c r="F18" s="1114">
        <v>70871</v>
      </c>
      <c r="G18" s="1115">
        <f t="shared" si="0"/>
        <v>0.71834297935312541</v>
      </c>
      <c r="H18" s="1116">
        <v>92241</v>
      </c>
      <c r="I18" s="1114">
        <v>72538</v>
      </c>
      <c r="J18" s="1115">
        <f t="shared" si="1"/>
        <v>0.78639650480805712</v>
      </c>
      <c r="K18" s="1116">
        <v>85367</v>
      </c>
      <c r="L18" s="1114">
        <v>69216</v>
      </c>
      <c r="M18" s="1115">
        <f t="shared" si="2"/>
        <v>0.81080511204563821</v>
      </c>
      <c r="N18" s="1116">
        <v>89627</v>
      </c>
      <c r="O18" s="1114">
        <v>75214</v>
      </c>
      <c r="P18" s="1115">
        <f t="shared" si="3"/>
        <v>0.839189083646669</v>
      </c>
      <c r="Q18" s="1116">
        <v>97897</v>
      </c>
      <c r="R18" s="1114">
        <v>85122</v>
      </c>
      <c r="S18" s="1115">
        <v>0.87</v>
      </c>
      <c r="T18" s="1117">
        <v>99478</v>
      </c>
      <c r="U18" s="1118">
        <v>84247</v>
      </c>
      <c r="V18" s="1119">
        <v>0.84699999999999998</v>
      </c>
      <c r="W18" s="1117">
        <v>108442</v>
      </c>
      <c r="X18" s="1118">
        <v>91327</v>
      </c>
      <c r="Y18" s="1115">
        <v>0.84199999999999997</v>
      </c>
      <c r="Z18" s="1117">
        <v>103829</v>
      </c>
      <c r="AA18" s="1118">
        <v>88381</v>
      </c>
      <c r="AB18" s="1120">
        <f t="shared" si="4"/>
        <v>0.851216904718335</v>
      </c>
      <c r="AC18" s="1117">
        <v>97284</v>
      </c>
      <c r="AD18" s="1118">
        <v>82826</v>
      </c>
      <c r="AE18" s="1120">
        <f t="shared" si="5"/>
        <v>0.85138357797787922</v>
      </c>
      <c r="AF18" s="1099"/>
      <c r="AG18" s="1099"/>
      <c r="AH18" s="1099"/>
    </row>
    <row r="19" spans="1:34" ht="15" customHeight="1" x14ac:dyDescent="0.2">
      <c r="A19" s="1076"/>
      <c r="B19" s="1076"/>
      <c r="C19" s="1076"/>
      <c r="D19" s="967" t="s">
        <v>22</v>
      </c>
      <c r="E19" s="1113">
        <v>132176</v>
      </c>
      <c r="F19" s="1114">
        <v>80733</v>
      </c>
      <c r="G19" s="1115">
        <f t="shared" si="0"/>
        <v>0.61079923738046238</v>
      </c>
      <c r="H19" s="1116">
        <v>122444</v>
      </c>
      <c r="I19" s="1114">
        <v>86556</v>
      </c>
      <c r="J19" s="1115">
        <f t="shared" si="1"/>
        <v>0.70690274737839343</v>
      </c>
      <c r="K19" s="1116">
        <v>122126</v>
      </c>
      <c r="L19" s="1114">
        <v>83204</v>
      </c>
      <c r="M19" s="1115">
        <f t="shared" si="2"/>
        <v>0.68129636604817978</v>
      </c>
      <c r="N19" s="1116">
        <v>127253</v>
      </c>
      <c r="O19" s="1114">
        <v>93003</v>
      </c>
      <c r="P19" s="1115">
        <f t="shared" si="3"/>
        <v>0.7308511390694129</v>
      </c>
      <c r="Q19" s="1116">
        <v>145278</v>
      </c>
      <c r="R19" s="1114">
        <v>112403</v>
      </c>
      <c r="S19" s="1115">
        <v>0.77400000000000002</v>
      </c>
      <c r="T19" s="1117">
        <v>139367</v>
      </c>
      <c r="U19" s="1118">
        <v>97144</v>
      </c>
      <c r="V19" s="1119">
        <v>0.69699999999999995</v>
      </c>
      <c r="W19" s="1117">
        <v>162658</v>
      </c>
      <c r="X19" s="1118">
        <v>98761</v>
      </c>
      <c r="Y19" s="1115">
        <v>0.60699999999999998</v>
      </c>
      <c r="Z19" s="1117">
        <v>147648</v>
      </c>
      <c r="AA19" s="1118">
        <v>98032</v>
      </c>
      <c r="AB19" s="1120">
        <f t="shared" si="4"/>
        <v>0.66395752058951019</v>
      </c>
      <c r="AC19" s="1117">
        <v>124317</v>
      </c>
      <c r="AD19" s="1118">
        <v>90589</v>
      </c>
      <c r="AE19" s="1120">
        <f t="shared" si="5"/>
        <v>0.72869358173057586</v>
      </c>
      <c r="AF19" s="1099"/>
      <c r="AG19" s="1099"/>
      <c r="AH19" s="1099"/>
    </row>
    <row r="20" spans="1:34" ht="15" customHeight="1" x14ac:dyDescent="0.2">
      <c r="A20" s="1076"/>
      <c r="B20" s="1076"/>
      <c r="C20" s="1076"/>
      <c r="D20" s="967" t="s">
        <v>23</v>
      </c>
      <c r="E20" s="1113">
        <v>83350</v>
      </c>
      <c r="F20" s="1114">
        <v>40776</v>
      </c>
      <c r="G20" s="1115">
        <f t="shared" si="0"/>
        <v>0.48921415716856631</v>
      </c>
      <c r="H20" s="1116">
        <v>94632</v>
      </c>
      <c r="I20" s="1114">
        <v>54771</v>
      </c>
      <c r="J20" s="1115">
        <f t="shared" si="1"/>
        <v>0.57877884859244233</v>
      </c>
      <c r="K20" s="1116">
        <v>73731</v>
      </c>
      <c r="L20" s="1114">
        <v>47091</v>
      </c>
      <c r="M20" s="1115">
        <f t="shared" si="2"/>
        <v>0.63868657688082353</v>
      </c>
      <c r="N20" s="1116">
        <v>77360</v>
      </c>
      <c r="O20" s="1114">
        <v>51745</v>
      </c>
      <c r="P20" s="1115">
        <f>+O20/N20</f>
        <v>0.66888572905894517</v>
      </c>
      <c r="Q20" s="1116">
        <v>82483</v>
      </c>
      <c r="R20" s="1114">
        <v>59184</v>
      </c>
      <c r="S20" s="1115">
        <v>0.71799999999999997</v>
      </c>
      <c r="T20" s="1117">
        <v>72990</v>
      </c>
      <c r="U20" s="1118">
        <v>53179</v>
      </c>
      <c r="V20" s="1119">
        <v>0.72899999999999998</v>
      </c>
      <c r="W20" s="1117">
        <v>101575</v>
      </c>
      <c r="X20" s="1118">
        <v>66946</v>
      </c>
      <c r="Y20" s="1115">
        <v>0.65900000000000003</v>
      </c>
      <c r="Z20" s="1117">
        <v>101807</v>
      </c>
      <c r="AA20" s="1118">
        <v>63595</v>
      </c>
      <c r="AB20" s="1120">
        <f t="shared" si="4"/>
        <v>0.62466235131179582</v>
      </c>
      <c r="AC20" s="1117">
        <v>83228</v>
      </c>
      <c r="AD20" s="1118">
        <v>54625</v>
      </c>
      <c r="AE20" s="1120">
        <f t="shared" si="5"/>
        <v>0.65632960061517753</v>
      </c>
      <c r="AF20" s="1099"/>
      <c r="AG20" s="1099"/>
      <c r="AH20" s="1099"/>
    </row>
    <row r="21" spans="1:34" ht="15" customHeight="1" x14ac:dyDescent="0.2">
      <c r="A21" s="1076"/>
      <c r="B21" s="1076"/>
      <c r="C21" s="1076"/>
      <c r="D21" s="967" t="s">
        <v>24</v>
      </c>
      <c r="E21" s="1113">
        <v>53978</v>
      </c>
      <c r="F21" s="1114">
        <v>25852</v>
      </c>
      <c r="G21" s="1115">
        <f t="shared" si="0"/>
        <v>0.47893586275890176</v>
      </c>
      <c r="H21" s="1116">
        <v>51695</v>
      </c>
      <c r="I21" s="1114">
        <v>29382</v>
      </c>
      <c r="J21" s="1115">
        <f t="shared" si="1"/>
        <v>0.56837218299642134</v>
      </c>
      <c r="K21" s="1116">
        <v>48135</v>
      </c>
      <c r="L21" s="1114">
        <v>31187</v>
      </c>
      <c r="M21" s="1115">
        <f t="shared" si="2"/>
        <v>0.64790692843045605</v>
      </c>
      <c r="N21" s="1116">
        <v>47889</v>
      </c>
      <c r="O21" s="1114">
        <v>33504</v>
      </c>
      <c r="P21" s="1115">
        <f t="shared" si="3"/>
        <v>0.69961786631585543</v>
      </c>
      <c r="Q21" s="1116">
        <v>50053</v>
      </c>
      <c r="R21" s="1114">
        <v>38836</v>
      </c>
      <c r="S21" s="1115">
        <v>0.77600000000000002</v>
      </c>
      <c r="T21" s="1117">
        <v>45081</v>
      </c>
      <c r="U21" s="1118">
        <v>35615</v>
      </c>
      <c r="V21" s="1119">
        <v>0.79</v>
      </c>
      <c r="W21" s="1117">
        <v>54980</v>
      </c>
      <c r="X21" s="1118">
        <v>43229</v>
      </c>
      <c r="Y21" s="1115">
        <v>0.78600000000000003</v>
      </c>
      <c r="Z21" s="1117">
        <v>54251</v>
      </c>
      <c r="AA21" s="1118">
        <v>41801</v>
      </c>
      <c r="AB21" s="1120">
        <f t="shared" si="4"/>
        <v>0.77051114265174836</v>
      </c>
      <c r="AC21" s="1117">
        <v>48483</v>
      </c>
      <c r="AD21" s="1118">
        <v>36273</v>
      </c>
      <c r="AE21" s="1120">
        <f t="shared" si="5"/>
        <v>0.74815914856753918</v>
      </c>
      <c r="AF21" s="1099"/>
      <c r="AG21" s="1099"/>
      <c r="AH21" s="1099"/>
    </row>
    <row r="22" spans="1:34" ht="15" customHeight="1" x14ac:dyDescent="0.2">
      <c r="A22" s="1076"/>
      <c r="B22" s="1076"/>
      <c r="C22" s="1076"/>
      <c r="D22" s="967" t="s">
        <v>25</v>
      </c>
      <c r="E22" s="1113">
        <v>30665</v>
      </c>
      <c r="F22" s="1114">
        <v>20700</v>
      </c>
      <c r="G22" s="1115">
        <f t="shared" si="0"/>
        <v>0.67503668677645523</v>
      </c>
      <c r="H22" s="1116">
        <v>28909</v>
      </c>
      <c r="I22" s="1114">
        <v>21874</v>
      </c>
      <c r="J22" s="1115">
        <f t="shared" si="1"/>
        <v>0.75665017814521429</v>
      </c>
      <c r="K22" s="1116">
        <v>25364</v>
      </c>
      <c r="L22" s="1114">
        <v>19737</v>
      </c>
      <c r="M22" s="1115">
        <f t="shared" si="2"/>
        <v>0.77815013404825739</v>
      </c>
      <c r="N22" s="1116">
        <v>27174</v>
      </c>
      <c r="O22" s="1114">
        <v>21609</v>
      </c>
      <c r="P22" s="1115">
        <f t="shared" si="3"/>
        <v>0.79520865533230289</v>
      </c>
      <c r="Q22" s="1116">
        <v>29140</v>
      </c>
      <c r="R22" s="1114">
        <v>25414</v>
      </c>
      <c r="S22" s="1115">
        <v>0.872</v>
      </c>
      <c r="T22" s="1117">
        <v>26066</v>
      </c>
      <c r="U22" s="1118">
        <v>22061</v>
      </c>
      <c r="V22" s="1119">
        <v>0.84599999999999997</v>
      </c>
      <c r="W22" s="1117">
        <v>33286</v>
      </c>
      <c r="X22" s="1118">
        <v>27118</v>
      </c>
      <c r="Y22" s="1115">
        <v>0.81499999999999995</v>
      </c>
      <c r="Z22" s="1117">
        <v>32045</v>
      </c>
      <c r="AA22" s="1118">
        <v>26448</v>
      </c>
      <c r="AB22" s="1120">
        <f t="shared" si="4"/>
        <v>0.82533936651583706</v>
      </c>
      <c r="AC22" s="1117">
        <v>30792</v>
      </c>
      <c r="AD22" s="1118">
        <v>24462</v>
      </c>
      <c r="AE22" s="1120">
        <f t="shared" si="5"/>
        <v>0.79442712392829307</v>
      </c>
      <c r="AF22" s="1099"/>
      <c r="AG22" s="1099"/>
      <c r="AH22" s="1099"/>
    </row>
    <row r="23" spans="1:34" ht="15" customHeight="1" x14ac:dyDescent="0.2">
      <c r="A23" s="1076"/>
      <c r="B23" s="1076"/>
      <c r="C23" s="1076"/>
      <c r="D23" s="967" t="s">
        <v>26</v>
      </c>
      <c r="E23" s="1113">
        <v>10377</v>
      </c>
      <c r="F23" s="1114">
        <v>6356</v>
      </c>
      <c r="G23" s="1115">
        <f t="shared" si="0"/>
        <v>0.61250843210947292</v>
      </c>
      <c r="H23" s="1116">
        <v>10182</v>
      </c>
      <c r="I23" s="1114">
        <v>7366</v>
      </c>
      <c r="J23" s="1115">
        <f t="shared" si="1"/>
        <v>0.72343351011589074</v>
      </c>
      <c r="K23" s="1116">
        <v>10116</v>
      </c>
      <c r="L23" s="1114">
        <v>6957</v>
      </c>
      <c r="M23" s="1115">
        <f t="shared" si="2"/>
        <v>0.68772241992882566</v>
      </c>
      <c r="N23" s="1116">
        <v>8925</v>
      </c>
      <c r="O23" s="1114">
        <v>6661</v>
      </c>
      <c r="P23" s="1115">
        <f t="shared" si="3"/>
        <v>0.74633053221288514</v>
      </c>
      <c r="Q23" s="1116">
        <v>10403</v>
      </c>
      <c r="R23" s="1114">
        <v>7749</v>
      </c>
      <c r="S23" s="1115">
        <v>0.745</v>
      </c>
      <c r="T23" s="1117">
        <v>8794</v>
      </c>
      <c r="U23" s="1118">
        <v>6715</v>
      </c>
      <c r="V23" s="1119">
        <v>0.76400000000000001</v>
      </c>
      <c r="W23" s="1117">
        <v>11623</v>
      </c>
      <c r="X23" s="1118">
        <v>8064</v>
      </c>
      <c r="Y23" s="1115">
        <v>0.69399999999999995</v>
      </c>
      <c r="Z23" s="1117">
        <v>10041</v>
      </c>
      <c r="AA23" s="1118">
        <v>7902</v>
      </c>
      <c r="AB23" s="1120">
        <f t="shared" si="4"/>
        <v>0.78697340902300572</v>
      </c>
      <c r="AC23" s="1117">
        <v>8735</v>
      </c>
      <c r="AD23" s="1118">
        <v>6608</v>
      </c>
      <c r="AE23" s="1120">
        <f t="shared" si="5"/>
        <v>0.75649685174585002</v>
      </c>
      <c r="AF23" s="1099"/>
      <c r="AG23" s="1099"/>
      <c r="AH23" s="1099"/>
    </row>
    <row r="24" spans="1:34" ht="15" customHeight="1" x14ac:dyDescent="0.2">
      <c r="A24" s="1076"/>
      <c r="B24" s="1076"/>
      <c r="C24" s="1076"/>
      <c r="D24" s="1121" t="s">
        <v>27</v>
      </c>
      <c r="E24" s="1122">
        <v>44931</v>
      </c>
      <c r="F24" s="1123">
        <v>34017</v>
      </c>
      <c r="G24" s="1124">
        <f t="shared" si="0"/>
        <v>0.75709421112372299</v>
      </c>
      <c r="H24" s="1125">
        <v>45764</v>
      </c>
      <c r="I24" s="1123">
        <v>34831</v>
      </c>
      <c r="J24" s="1124">
        <f t="shared" si="1"/>
        <v>0.76110042828424085</v>
      </c>
      <c r="K24" s="1125">
        <v>39960</v>
      </c>
      <c r="L24" s="1123">
        <v>33110</v>
      </c>
      <c r="M24" s="1124">
        <f t="shared" si="2"/>
        <v>0.82857857857857853</v>
      </c>
      <c r="N24" s="1125">
        <v>44670</v>
      </c>
      <c r="O24" s="1123">
        <v>36974</v>
      </c>
      <c r="P24" s="1124">
        <f t="shared" si="3"/>
        <v>0.82771434967539737</v>
      </c>
      <c r="Q24" s="1125">
        <v>47615</v>
      </c>
      <c r="R24" s="1123">
        <v>40542</v>
      </c>
      <c r="S24" s="1124">
        <v>0.85099999999999998</v>
      </c>
      <c r="T24" s="1126">
        <v>47709</v>
      </c>
      <c r="U24" s="1127">
        <v>39237</v>
      </c>
      <c r="V24" s="1128">
        <v>0.82199999999999995</v>
      </c>
      <c r="W24" s="1117">
        <v>53721</v>
      </c>
      <c r="X24" s="1118">
        <v>45489</v>
      </c>
      <c r="Y24" s="1115">
        <v>0.84699999999999998</v>
      </c>
      <c r="Z24" s="1117">
        <v>50869</v>
      </c>
      <c r="AA24" s="1118">
        <v>43716</v>
      </c>
      <c r="AB24" s="1120">
        <f t="shared" si="4"/>
        <v>0.85938390768444439</v>
      </c>
      <c r="AC24" s="1117">
        <v>48867</v>
      </c>
      <c r="AD24" s="1118">
        <v>40440</v>
      </c>
      <c r="AE24" s="1120">
        <f t="shared" si="5"/>
        <v>0.82755233593222421</v>
      </c>
      <c r="AF24" s="1099"/>
      <c r="AG24" s="1099"/>
      <c r="AH24" s="1099"/>
    </row>
    <row r="25" spans="1:34" ht="15" customHeight="1" x14ac:dyDescent="0.2">
      <c r="A25" s="1076"/>
      <c r="B25" s="1076"/>
      <c r="C25" s="1076"/>
      <c r="D25" s="966" t="s">
        <v>481</v>
      </c>
      <c r="E25" s="1129">
        <f>SUM(E16:E24)</f>
        <v>552073</v>
      </c>
      <c r="F25" s="1130">
        <f>SUM(F16:F24)</f>
        <v>334716</v>
      </c>
      <c r="G25" s="1131">
        <f t="shared" si="0"/>
        <v>0.60628938564284074</v>
      </c>
      <c r="H25" s="1132">
        <f>SUM(H16:H24)</f>
        <v>537543</v>
      </c>
      <c r="I25" s="1130">
        <f>SUM(I16:I24)</f>
        <v>364147</v>
      </c>
      <c r="J25" s="1131">
        <v>0.67800000000000005</v>
      </c>
      <c r="K25" s="1132">
        <f>SUM(K16:K24)</f>
        <v>496090</v>
      </c>
      <c r="L25" s="1130">
        <f>SUM(L16:L24)</f>
        <v>348117</v>
      </c>
      <c r="M25" s="1131">
        <f t="shared" si="2"/>
        <v>0.70172146183152251</v>
      </c>
      <c r="N25" s="1132">
        <v>511152</v>
      </c>
      <c r="O25" s="1130">
        <v>377829</v>
      </c>
      <c r="P25" s="1131">
        <f t="shared" si="3"/>
        <v>0.73917151845243689</v>
      </c>
      <c r="Q25" s="1130">
        <v>562112</v>
      </c>
      <c r="R25" s="1130">
        <v>439779</v>
      </c>
      <c r="S25" s="1108">
        <v>0.78200000000000003</v>
      </c>
      <c r="T25" s="1133">
        <f>SUM(T16:T24)</f>
        <v>532860</v>
      </c>
      <c r="U25" s="1133">
        <f>SUM(U16:U24)</f>
        <v>403874</v>
      </c>
      <c r="V25" s="1110">
        <v>0.75800000000000001</v>
      </c>
      <c r="W25" s="1134">
        <v>644536</v>
      </c>
      <c r="X25" s="1135">
        <v>455825</v>
      </c>
      <c r="Y25" s="1136">
        <v>0.70699999999999996</v>
      </c>
      <c r="Z25" s="1135">
        <v>610178</v>
      </c>
      <c r="AA25" s="1135">
        <v>442672</v>
      </c>
      <c r="AB25" s="1137">
        <f t="shared" si="4"/>
        <v>0.72548010580519129</v>
      </c>
      <c r="AC25" s="1135">
        <v>534484</v>
      </c>
      <c r="AD25" s="1135">
        <v>401435</v>
      </c>
      <c r="AE25" s="1137">
        <f t="shared" si="5"/>
        <v>0.75107019106278206</v>
      </c>
      <c r="AF25" s="1112"/>
      <c r="AG25" s="1112"/>
      <c r="AH25" s="1112"/>
    </row>
    <row r="26" spans="1:34" x14ac:dyDescent="0.2">
      <c r="A26" s="1076"/>
      <c r="B26" s="1076"/>
      <c r="C26" s="1076"/>
      <c r="D26" s="967"/>
      <c r="E26" s="1138"/>
      <c r="F26" s="1138"/>
      <c r="G26" s="1099"/>
      <c r="H26" s="967"/>
      <c r="I26" s="1138"/>
      <c r="J26" s="1099"/>
      <c r="K26" s="1078"/>
      <c r="L26" s="1078"/>
      <c r="M26" s="1078"/>
      <c r="N26" s="1078"/>
      <c r="O26" s="1078"/>
      <c r="P26" s="1078"/>
      <c r="Q26" s="1078"/>
      <c r="R26" s="1078"/>
      <c r="S26" s="1078"/>
      <c r="T26" s="1078"/>
      <c r="U26" s="1078"/>
      <c r="V26" s="1078"/>
      <c r="W26" s="1078"/>
      <c r="X26" s="1078"/>
    </row>
    <row r="27" spans="1:34" x14ac:dyDescent="0.2">
      <c r="A27" s="1076"/>
      <c r="B27" s="1076"/>
      <c r="C27" s="1076"/>
      <c r="D27" s="967"/>
      <c r="E27" s="1138"/>
      <c r="F27" s="1138"/>
      <c r="G27" s="1099"/>
      <c r="H27" s="967"/>
      <c r="I27" s="1138"/>
      <c r="J27" s="1099"/>
      <c r="K27" s="1078"/>
      <c r="L27" s="1078"/>
      <c r="M27" s="1078"/>
      <c r="N27" s="1078"/>
      <c r="O27" s="1078"/>
      <c r="P27" s="1078"/>
      <c r="Q27" s="1078"/>
      <c r="R27" s="1078"/>
      <c r="S27" s="1078"/>
      <c r="T27" s="1078"/>
      <c r="U27" s="1078"/>
      <c r="V27" s="1078"/>
      <c r="W27" s="1078"/>
      <c r="X27" s="1078"/>
    </row>
    <row r="28" spans="1:34" x14ac:dyDescent="0.2">
      <c r="A28" s="1076"/>
      <c r="B28" s="1076"/>
      <c r="C28" s="1076"/>
      <c r="D28" s="967"/>
      <c r="E28" s="1138"/>
      <c r="F28" s="1138"/>
      <c r="G28" s="1099"/>
      <c r="H28" s="967"/>
      <c r="I28" s="1138"/>
      <c r="J28" s="1099"/>
      <c r="K28" s="1078"/>
      <c r="L28" s="1078"/>
      <c r="M28" s="1078"/>
      <c r="N28" s="1078"/>
      <c r="O28" s="1078"/>
      <c r="P28" s="1078"/>
      <c r="Q28" s="1078"/>
      <c r="R28" s="1078"/>
      <c r="S28" s="1078"/>
      <c r="T28" s="1078"/>
      <c r="U28" s="1078"/>
      <c r="V28" s="1078"/>
      <c r="W28" s="1078"/>
      <c r="X28" s="1078"/>
    </row>
    <row r="29" spans="1:34" x14ac:dyDescent="0.2">
      <c r="A29" s="1076"/>
      <c r="B29" s="1076"/>
      <c r="C29" s="1076"/>
      <c r="D29" s="967"/>
      <c r="E29" s="1138"/>
      <c r="F29" s="1138"/>
      <c r="G29" s="1099"/>
      <c r="H29" s="967"/>
      <c r="I29" s="1138"/>
      <c r="J29" s="1099"/>
      <c r="K29" s="1078"/>
      <c r="L29" s="1078"/>
      <c r="M29" s="1078"/>
      <c r="N29" s="1078"/>
      <c r="O29" s="1078"/>
      <c r="P29" s="1078"/>
      <c r="Q29" s="1078"/>
      <c r="R29" s="1078"/>
      <c r="S29" s="1078"/>
      <c r="T29" s="1078"/>
      <c r="U29" s="1078"/>
      <c r="V29" s="1078"/>
      <c r="W29" s="1078"/>
      <c r="X29" s="1078"/>
    </row>
    <row r="30" spans="1:34" x14ac:dyDescent="0.2">
      <c r="A30" s="1076"/>
      <c r="B30" s="1076"/>
      <c r="C30" s="1076"/>
      <c r="D30" s="967"/>
      <c r="E30" s="1138"/>
      <c r="F30" s="1138"/>
      <c r="G30" s="1099"/>
      <c r="H30" s="967"/>
      <c r="I30" s="1138"/>
      <c r="J30" s="1099"/>
      <c r="K30" s="1078"/>
      <c r="L30" s="1078"/>
      <c r="M30" s="1078"/>
      <c r="N30" s="1078"/>
      <c r="O30" s="1078"/>
      <c r="P30" s="1078"/>
      <c r="Q30" s="1078"/>
      <c r="R30" s="1078"/>
      <c r="S30" s="1078"/>
      <c r="T30" s="1078"/>
      <c r="U30" s="1078"/>
      <c r="V30" s="1078"/>
      <c r="W30" s="1078"/>
      <c r="X30" s="1078"/>
    </row>
    <row r="31" spans="1:34" x14ac:dyDescent="0.2">
      <c r="A31" s="1076"/>
      <c r="B31" s="1076"/>
      <c r="C31" s="1076"/>
      <c r="D31" s="967"/>
      <c r="E31" s="1138"/>
      <c r="F31" s="1138"/>
      <c r="G31" s="1099"/>
      <c r="H31" s="967"/>
      <c r="I31" s="1138"/>
      <c r="J31" s="1099"/>
      <c r="K31" s="1078"/>
      <c r="L31" s="1078"/>
      <c r="M31" s="1078"/>
      <c r="N31" s="1078"/>
      <c r="O31" s="1078"/>
      <c r="P31" s="1078"/>
      <c r="Q31" s="1078"/>
      <c r="R31" s="1078"/>
      <c r="S31" s="1078"/>
      <c r="T31" s="1078"/>
      <c r="U31" s="1078"/>
      <c r="V31" s="1078"/>
      <c r="W31" s="1078"/>
      <c r="X31" s="1078"/>
    </row>
    <row r="32" spans="1:34" x14ac:dyDescent="0.2">
      <c r="A32" s="1076"/>
      <c r="B32" s="1076"/>
      <c r="C32" s="1076"/>
      <c r="D32" s="967"/>
      <c r="E32" s="1138"/>
      <c r="F32" s="1138"/>
      <c r="G32" s="1099"/>
      <c r="H32" s="967"/>
      <c r="I32" s="1138"/>
      <c r="J32" s="1099"/>
      <c r="K32" s="1078"/>
      <c r="L32" s="1078"/>
      <c r="M32" s="1078"/>
      <c r="N32" s="1078"/>
      <c r="O32" s="1078"/>
      <c r="P32" s="1078"/>
      <c r="Q32" s="1078"/>
      <c r="R32" s="1078"/>
      <c r="S32" s="1078"/>
      <c r="T32" s="1078"/>
      <c r="U32" s="1078"/>
      <c r="V32" s="1078"/>
      <c r="W32" s="1078"/>
      <c r="X32" s="1078"/>
    </row>
    <row r="33" spans="1:31" x14ac:dyDescent="0.2">
      <c r="A33" s="1076"/>
      <c r="B33" s="1076"/>
      <c r="C33" s="1076"/>
      <c r="D33" s="967"/>
      <c r="E33" s="1138"/>
      <c r="F33" s="1138"/>
      <c r="G33" s="1099"/>
      <c r="H33" s="967"/>
      <c r="I33" s="1138"/>
      <c r="J33" s="1099"/>
      <c r="K33" s="1078"/>
      <c r="L33" s="1078"/>
      <c r="M33" s="1078"/>
      <c r="N33" s="1078"/>
      <c r="O33" s="1078"/>
      <c r="P33" s="1078"/>
      <c r="Q33" s="1078"/>
      <c r="R33" s="1078"/>
      <c r="S33" s="1078"/>
      <c r="T33" s="1078"/>
      <c r="U33" s="1078"/>
      <c r="V33" s="1078"/>
      <c r="W33" s="1078"/>
      <c r="X33" s="1078"/>
    </row>
    <row r="34" spans="1:31" x14ac:dyDescent="0.2">
      <c r="A34" s="1076"/>
      <c r="B34" s="1076"/>
      <c r="C34" s="1076"/>
      <c r="D34" s="967"/>
      <c r="E34" s="1138"/>
      <c r="F34" s="1138"/>
      <c r="G34" s="1099"/>
      <c r="H34" s="967"/>
      <c r="I34" s="1138"/>
      <c r="J34" s="1099"/>
      <c r="K34" s="1078"/>
      <c r="L34" s="1078"/>
      <c r="M34" s="1078"/>
      <c r="N34" s="1078"/>
      <c r="O34" s="1078"/>
      <c r="P34" s="1078"/>
      <c r="Q34" s="1078"/>
      <c r="R34" s="1078"/>
      <c r="S34" s="1078"/>
      <c r="T34" s="1078"/>
      <c r="U34" s="1078"/>
      <c r="V34" s="1078"/>
      <c r="W34" s="1078"/>
      <c r="X34" s="1078"/>
    </row>
    <row r="35" spans="1:31" x14ac:dyDescent="0.2">
      <c r="A35" s="1076"/>
      <c r="B35" s="1076"/>
      <c r="C35" s="1076"/>
      <c r="D35" s="967"/>
      <c r="E35" s="1138"/>
      <c r="F35" s="1138"/>
      <c r="G35" s="1099"/>
      <c r="H35" s="967"/>
      <c r="I35" s="1138"/>
      <c r="J35" s="1099"/>
      <c r="K35" s="1078"/>
      <c r="L35" s="1078"/>
      <c r="M35" s="1078"/>
      <c r="N35" s="1078"/>
      <c r="O35" s="1078"/>
      <c r="P35" s="1078"/>
      <c r="Q35" s="1078"/>
      <c r="R35" s="1078"/>
      <c r="S35" s="1078"/>
      <c r="T35" s="1078"/>
      <c r="U35" s="1078"/>
      <c r="V35" s="1078"/>
      <c r="W35" s="1078"/>
      <c r="X35" s="1078"/>
    </row>
    <row r="36" spans="1:31" x14ac:dyDescent="0.2">
      <c r="A36" s="1076"/>
      <c r="B36" s="1076"/>
      <c r="C36" s="1076"/>
      <c r="D36" s="967"/>
      <c r="E36" s="1138"/>
      <c r="F36" s="1138"/>
      <c r="G36" s="1099"/>
      <c r="H36" s="967"/>
      <c r="I36" s="1138"/>
      <c r="J36" s="1099"/>
      <c r="K36" s="1078"/>
      <c r="L36" s="1078"/>
      <c r="M36" s="1078"/>
      <c r="N36" s="1078"/>
      <c r="O36" s="1078"/>
      <c r="P36" s="1078"/>
      <c r="Q36" s="1078"/>
      <c r="R36" s="1078"/>
      <c r="S36" s="1078"/>
      <c r="T36" s="1078"/>
      <c r="U36" s="1078"/>
      <c r="V36" s="1078"/>
      <c r="W36" s="1078"/>
      <c r="X36" s="1078"/>
    </row>
    <row r="37" spans="1:31" x14ac:dyDescent="0.2">
      <c r="A37" s="1076"/>
      <c r="B37" s="1076"/>
      <c r="C37" s="1076"/>
      <c r="D37" s="967"/>
      <c r="E37" s="1138"/>
      <c r="F37" s="1138"/>
      <c r="G37" s="1099"/>
      <c r="H37" s="967"/>
      <c r="I37" s="1138"/>
      <c r="J37" s="1099"/>
      <c r="K37" s="1078"/>
      <c r="L37" s="1078"/>
      <c r="M37" s="1078"/>
      <c r="N37" s="1078"/>
      <c r="O37" s="1078"/>
      <c r="P37" s="1078"/>
      <c r="Q37" s="1078"/>
      <c r="R37" s="1078"/>
      <c r="S37" s="1078"/>
      <c r="T37" s="1078"/>
      <c r="U37" s="1078"/>
      <c r="V37" s="1078"/>
      <c r="W37" s="1078"/>
      <c r="X37" s="1078"/>
    </row>
    <row r="38" spans="1:31" x14ac:dyDescent="0.2">
      <c r="A38" s="1076"/>
      <c r="B38" s="1076"/>
      <c r="C38" s="1076"/>
      <c r="D38" s="967"/>
      <c r="E38" s="1138"/>
      <c r="F38" s="1138"/>
      <c r="G38" s="1099"/>
      <c r="H38" s="967"/>
      <c r="I38" s="1138"/>
      <c r="J38" s="1099"/>
      <c r="K38" s="1078"/>
      <c r="L38" s="1078"/>
      <c r="M38" s="1078"/>
      <c r="N38" s="1078"/>
      <c r="O38" s="1078"/>
      <c r="P38" s="1078"/>
      <c r="Q38" s="1078"/>
      <c r="R38" s="1078"/>
      <c r="S38" s="1078"/>
      <c r="T38" s="1078"/>
      <c r="U38" s="1078"/>
      <c r="V38" s="1078"/>
      <c r="W38" s="1078"/>
      <c r="X38" s="1078"/>
    </row>
    <row r="39" spans="1:31" x14ac:dyDescent="0.2">
      <c r="A39" s="1076"/>
      <c r="B39" s="1076"/>
      <c r="C39" s="1076"/>
      <c r="D39" s="967"/>
      <c r="E39" s="1138"/>
      <c r="F39" s="1138"/>
      <c r="G39" s="1099"/>
      <c r="H39" s="967"/>
      <c r="I39" s="1138"/>
      <c r="J39" s="1099"/>
      <c r="K39" s="1078"/>
      <c r="L39" s="1078"/>
      <c r="M39" s="1078"/>
      <c r="N39" s="1078"/>
      <c r="O39" s="1078"/>
      <c r="P39" s="1078"/>
      <c r="Q39" s="1078"/>
      <c r="R39" s="1078"/>
      <c r="S39" s="1078"/>
      <c r="T39" s="1078"/>
      <c r="U39" s="1078"/>
      <c r="V39" s="1078"/>
      <c r="W39" s="1078"/>
      <c r="X39" s="1078"/>
    </row>
    <row r="40" spans="1:31" x14ac:dyDescent="0.2">
      <c r="A40" s="1076"/>
      <c r="B40" s="1076"/>
      <c r="C40" s="1076"/>
      <c r="D40" s="967"/>
      <c r="E40" s="1138"/>
      <c r="F40" s="1138"/>
      <c r="G40" s="1099"/>
      <c r="H40" s="967"/>
      <c r="I40" s="1138"/>
      <c r="J40" s="1099"/>
      <c r="K40" s="1078"/>
      <c r="L40" s="1078"/>
      <c r="M40" s="1078"/>
      <c r="N40" s="1078"/>
      <c r="O40" s="1078"/>
      <c r="P40" s="1078"/>
      <c r="Q40" s="1078"/>
      <c r="R40" s="1078"/>
      <c r="S40" s="1078"/>
      <c r="T40" s="1078"/>
      <c r="U40" s="1078"/>
      <c r="V40" s="1078"/>
      <c r="W40" s="1078"/>
      <c r="X40" s="1078"/>
    </row>
    <row r="41" spans="1:31" x14ac:dyDescent="0.2">
      <c r="A41" s="1076"/>
      <c r="B41" s="1076"/>
      <c r="C41" s="1076"/>
      <c r="D41" s="967"/>
      <c r="E41" s="1138"/>
      <c r="F41" s="1139"/>
      <c r="G41" s="1099"/>
      <c r="H41" s="967"/>
      <c r="I41" s="1139"/>
      <c r="J41" s="1099"/>
      <c r="K41" s="1078"/>
      <c r="L41" s="1078"/>
      <c r="M41" s="1078"/>
      <c r="N41" s="1078"/>
      <c r="O41" s="1078"/>
      <c r="P41" s="1078"/>
      <c r="Q41" s="1078"/>
      <c r="R41" s="1078"/>
      <c r="S41" s="1078"/>
      <c r="T41" s="1078"/>
      <c r="U41" s="1078"/>
      <c r="V41" s="1078"/>
      <c r="W41" s="1078"/>
      <c r="X41" s="1078"/>
    </row>
    <row r="42" spans="1:31" x14ac:dyDescent="0.2">
      <c r="A42" s="1076"/>
      <c r="B42" s="1076"/>
      <c r="C42" s="1076"/>
      <c r="D42" s="1078"/>
      <c r="E42" s="1078"/>
      <c r="F42" s="1078"/>
      <c r="G42" s="1078"/>
      <c r="H42" s="1078"/>
      <c r="I42" s="1078"/>
      <c r="J42" s="1078"/>
      <c r="K42" s="1078"/>
      <c r="L42" s="1078"/>
      <c r="M42" s="1078"/>
      <c r="N42" s="1078"/>
      <c r="O42" s="1078"/>
      <c r="P42" s="1078"/>
      <c r="Q42" s="1078"/>
      <c r="R42" s="1078"/>
      <c r="S42" s="1078"/>
      <c r="T42" s="1078"/>
      <c r="U42" s="1078"/>
    </row>
    <row r="43" spans="1:31" x14ac:dyDescent="0.2">
      <c r="A43" s="1076"/>
      <c r="B43" s="1076"/>
      <c r="C43" s="1076"/>
      <c r="D43" s="1078"/>
      <c r="E43" s="1078"/>
      <c r="F43" s="1078"/>
      <c r="G43" s="1078"/>
      <c r="H43" s="1078"/>
      <c r="I43" s="1078"/>
      <c r="J43" s="1078"/>
      <c r="K43" s="1078"/>
      <c r="L43" s="1078"/>
      <c r="M43" s="1078"/>
      <c r="N43" s="1078"/>
      <c r="O43" s="1078"/>
      <c r="P43" s="1078"/>
      <c r="Q43" s="1078"/>
      <c r="R43" s="1078"/>
      <c r="S43" s="1078"/>
      <c r="T43" s="1078"/>
      <c r="U43" s="1078"/>
    </row>
    <row r="44" spans="1:31" ht="14.25" customHeight="1" x14ac:dyDescent="0.2">
      <c r="A44" s="782">
        <v>5</v>
      </c>
      <c r="B44" s="782" t="s">
        <v>29</v>
      </c>
      <c r="C44" s="782"/>
      <c r="D44" s="4048" t="s">
        <v>482</v>
      </c>
      <c r="E44" s="4049"/>
      <c r="F44" s="4049"/>
      <c r="G44" s="4049"/>
      <c r="H44" s="4049"/>
      <c r="I44" s="4049"/>
      <c r="J44" s="4049"/>
      <c r="K44" s="4049"/>
      <c r="L44" s="4049"/>
      <c r="M44" s="4049"/>
      <c r="N44" s="4049"/>
      <c r="O44" s="4049"/>
      <c r="P44" s="4049"/>
      <c r="Q44" s="4049"/>
      <c r="R44" s="4049"/>
      <c r="S44" s="4049"/>
      <c r="T44" s="4049"/>
      <c r="U44" s="4049"/>
      <c r="V44" s="4049"/>
      <c r="W44" s="4049"/>
      <c r="X44" s="4049"/>
      <c r="Y44" s="4049"/>
      <c r="Z44" s="4049"/>
      <c r="AA44" s="4049"/>
      <c r="AB44" s="4050"/>
      <c r="AC44" s="142"/>
      <c r="AD44" s="142"/>
      <c r="AE44" s="142"/>
    </row>
    <row r="45" spans="1:31" ht="15" customHeight="1" x14ac:dyDescent="0.2">
      <c r="A45" s="818">
        <v>6</v>
      </c>
      <c r="B45" s="818" t="s">
        <v>32</v>
      </c>
      <c r="C45" s="818"/>
      <c r="D45" s="4066" t="s">
        <v>483</v>
      </c>
      <c r="E45" s="4067"/>
      <c r="F45" s="4067"/>
      <c r="G45" s="4067"/>
      <c r="H45" s="4067"/>
      <c r="I45" s="4067"/>
      <c r="J45" s="4067"/>
      <c r="K45" s="4067"/>
      <c r="L45" s="4067"/>
      <c r="M45" s="4067"/>
      <c r="N45" s="4067"/>
      <c r="O45" s="4067"/>
      <c r="P45" s="4067"/>
      <c r="Q45" s="4067"/>
      <c r="R45" s="4067"/>
      <c r="S45" s="4067"/>
      <c r="T45" s="4067"/>
      <c r="U45" s="4067"/>
      <c r="V45" s="4067"/>
      <c r="W45" s="4067"/>
      <c r="X45" s="4067"/>
      <c r="Y45" s="4067"/>
      <c r="Z45" s="4067"/>
      <c r="AA45" s="4067"/>
      <c r="AB45" s="4068"/>
      <c r="AC45" s="170"/>
      <c r="AD45" s="170"/>
      <c r="AE45" s="170"/>
    </row>
    <row r="46" spans="1:31" ht="14.25" customHeight="1" x14ac:dyDescent="0.2">
      <c r="A46" s="782">
        <v>7</v>
      </c>
      <c r="B46" s="782" t="s">
        <v>31</v>
      </c>
      <c r="C46" s="782"/>
      <c r="D46" s="4048" t="s">
        <v>484</v>
      </c>
      <c r="E46" s="4049"/>
      <c r="F46" s="4049"/>
      <c r="G46" s="4049"/>
      <c r="H46" s="4049"/>
      <c r="I46" s="4049"/>
      <c r="J46" s="4049"/>
      <c r="K46" s="4049"/>
      <c r="L46" s="4049"/>
      <c r="M46" s="4049"/>
      <c r="N46" s="4049"/>
      <c r="O46" s="4049"/>
      <c r="P46" s="4049"/>
      <c r="Q46" s="4049"/>
      <c r="R46" s="4049"/>
      <c r="S46" s="4049"/>
      <c r="T46" s="4049"/>
      <c r="U46" s="4049"/>
      <c r="V46" s="4049"/>
      <c r="W46" s="4049"/>
      <c r="X46" s="4049"/>
      <c r="Y46" s="4049"/>
      <c r="Z46" s="4049"/>
      <c r="AA46" s="4049"/>
      <c r="AB46" s="4050"/>
      <c r="AC46" s="142"/>
      <c r="AD46" s="142"/>
      <c r="AE46" s="142"/>
    </row>
    <row r="47" spans="1:31" ht="14.25" customHeight="1" x14ac:dyDescent="0.2">
      <c r="A47" s="782">
        <v>8</v>
      </c>
      <c r="B47" s="782" t="s">
        <v>157</v>
      </c>
      <c r="D47" s="4048" t="s">
        <v>485</v>
      </c>
      <c r="E47" s="4049"/>
      <c r="F47" s="4049"/>
      <c r="G47" s="4049"/>
      <c r="H47" s="4049"/>
      <c r="I47" s="4049"/>
      <c r="J47" s="4049"/>
      <c r="K47" s="4049"/>
      <c r="L47" s="4049"/>
      <c r="M47" s="4049"/>
      <c r="N47" s="4049"/>
      <c r="O47" s="4049"/>
      <c r="P47" s="4049"/>
      <c r="Q47" s="4049"/>
      <c r="R47" s="4049"/>
      <c r="S47" s="4049"/>
      <c r="T47" s="4049"/>
      <c r="U47" s="4049"/>
      <c r="V47" s="4049"/>
      <c r="W47" s="4049"/>
      <c r="X47" s="4049"/>
      <c r="Y47" s="4049"/>
      <c r="Z47" s="4049"/>
      <c r="AA47" s="4049"/>
      <c r="AB47" s="4050"/>
      <c r="AC47" s="142"/>
      <c r="AD47" s="142"/>
      <c r="AE47" s="142"/>
    </row>
    <row r="48" spans="1:31" x14ac:dyDescent="0.2">
      <c r="A48" s="1140"/>
      <c r="B48" s="1077"/>
      <c r="C48" s="1077"/>
    </row>
    <row r="49" spans="2:16" x14ac:dyDescent="0.2">
      <c r="B49" s="1142"/>
      <c r="C49" s="1142"/>
      <c r="D49" s="1143"/>
      <c r="E49" s="1143"/>
      <c r="F49" s="1143"/>
      <c r="G49" s="1143"/>
      <c r="H49" s="1143"/>
      <c r="I49" s="1143"/>
      <c r="J49" s="1143"/>
      <c r="K49" s="1143"/>
      <c r="L49" s="1143"/>
      <c r="M49" s="1143"/>
      <c r="N49" s="1143"/>
      <c r="O49" s="1143"/>
      <c r="P49" s="1143"/>
    </row>
    <row r="50" spans="2:16" x14ac:dyDescent="0.2">
      <c r="D50" s="1143"/>
      <c r="E50" s="1143"/>
      <c r="F50" s="1143"/>
      <c r="G50" s="1143"/>
      <c r="H50" s="1143"/>
      <c r="I50" s="1143"/>
      <c r="J50" s="1143"/>
      <c r="K50" s="1143"/>
      <c r="L50" s="1143"/>
      <c r="M50" s="1143"/>
      <c r="N50" s="1143"/>
      <c r="O50" s="1143"/>
      <c r="P50" s="1143"/>
    </row>
    <row r="51" spans="2:16" x14ac:dyDescent="0.2">
      <c r="D51" s="1143"/>
      <c r="E51" s="1143"/>
      <c r="F51" s="1143"/>
      <c r="G51" s="1143"/>
      <c r="H51" s="1143"/>
      <c r="I51" s="1143"/>
      <c r="J51" s="1143"/>
      <c r="K51" s="1143"/>
      <c r="L51" s="1143"/>
      <c r="M51" s="1143"/>
      <c r="N51" s="1143"/>
      <c r="O51" s="1143"/>
      <c r="P51" s="1143"/>
    </row>
    <row r="52" spans="2:16" x14ac:dyDescent="0.2">
      <c r="D52" s="967"/>
      <c r="E52" s="967"/>
      <c r="F52" s="967"/>
      <c r="G52" s="967"/>
      <c r="H52" s="967"/>
      <c r="I52" s="967"/>
      <c r="J52" s="967"/>
      <c r="K52" s="967"/>
      <c r="L52" s="967"/>
      <c r="M52" s="967"/>
      <c r="N52" s="967"/>
      <c r="O52" s="967"/>
      <c r="P52" s="1143"/>
    </row>
    <row r="53" spans="2:16" x14ac:dyDescent="0.2">
      <c r="D53" s="4281"/>
      <c r="E53" s="967"/>
      <c r="F53" s="1138"/>
      <c r="G53" s="1138"/>
      <c r="H53" s="1138"/>
      <c r="I53" s="1138"/>
      <c r="J53" s="1138"/>
      <c r="K53" s="1138"/>
      <c r="L53" s="1138"/>
      <c r="M53" s="1138"/>
      <c r="N53" s="1138"/>
      <c r="O53" s="1138"/>
      <c r="P53" s="1143"/>
    </row>
    <row r="54" spans="2:16" x14ac:dyDescent="0.2">
      <c r="D54" s="4281"/>
      <c r="E54" s="967"/>
      <c r="F54" s="1138"/>
      <c r="G54" s="1138"/>
      <c r="H54" s="1138"/>
      <c r="I54" s="1138"/>
      <c r="J54" s="1138"/>
      <c r="K54" s="1138"/>
      <c r="L54" s="1138"/>
      <c r="M54" s="1138"/>
      <c r="N54" s="1138"/>
      <c r="O54" s="1139"/>
      <c r="P54" s="1143"/>
    </row>
    <row r="55" spans="2:16" x14ac:dyDescent="0.2">
      <c r="D55" s="4281"/>
      <c r="E55" s="967"/>
      <c r="F55" s="1099"/>
      <c r="G55" s="1099"/>
      <c r="H55" s="1099"/>
      <c r="I55" s="1099"/>
      <c r="J55" s="1099"/>
      <c r="K55" s="1099"/>
      <c r="L55" s="1099"/>
      <c r="M55" s="1099"/>
      <c r="N55" s="1099"/>
      <c r="O55" s="1099"/>
      <c r="P55" s="1143"/>
    </row>
    <row r="56" spans="2:16" x14ac:dyDescent="0.2">
      <c r="D56" s="4281"/>
      <c r="E56" s="967"/>
      <c r="F56" s="967"/>
      <c r="G56" s="967"/>
      <c r="H56" s="967"/>
      <c r="I56" s="967"/>
      <c r="J56" s="967"/>
      <c r="K56" s="967"/>
      <c r="L56" s="967"/>
      <c r="M56" s="967"/>
      <c r="N56" s="967"/>
      <c r="O56" s="967"/>
      <c r="P56" s="1143"/>
    </row>
    <row r="57" spans="2:16" x14ac:dyDescent="0.2">
      <c r="D57" s="4281"/>
      <c r="E57" s="967"/>
      <c r="F57" s="1138"/>
      <c r="G57" s="1138"/>
      <c r="H57" s="1138"/>
      <c r="I57" s="1138"/>
      <c r="J57" s="1138"/>
      <c r="K57" s="1138"/>
      <c r="L57" s="1138"/>
      <c r="M57" s="1138"/>
      <c r="N57" s="1138"/>
      <c r="O57" s="1139"/>
      <c r="P57" s="1143"/>
    </row>
    <row r="58" spans="2:16" x14ac:dyDescent="0.2">
      <c r="D58" s="4281"/>
      <c r="E58" s="967"/>
      <c r="F58" s="1099"/>
      <c r="G58" s="1099"/>
      <c r="H58" s="1099"/>
      <c r="I58" s="1099"/>
      <c r="J58" s="1099"/>
      <c r="K58" s="1099"/>
      <c r="L58" s="1099"/>
      <c r="M58" s="1099"/>
      <c r="N58" s="1099"/>
      <c r="O58" s="1099"/>
      <c r="P58" s="1143"/>
    </row>
    <row r="59" spans="2:16" x14ac:dyDescent="0.2">
      <c r="D59" s="1143"/>
      <c r="E59" s="1143"/>
      <c r="F59" s="1143"/>
      <c r="G59" s="1143"/>
      <c r="H59" s="1143"/>
      <c r="I59" s="1143"/>
      <c r="J59" s="1143"/>
      <c r="K59" s="1143"/>
      <c r="L59" s="1143"/>
      <c r="M59" s="1143"/>
      <c r="N59" s="1143"/>
      <c r="O59" s="1143"/>
      <c r="P59" s="1143"/>
    </row>
    <row r="60" spans="2:16" x14ac:dyDescent="0.2">
      <c r="D60" s="1143"/>
      <c r="E60" s="1143"/>
      <c r="F60" s="1143"/>
      <c r="G60" s="1143"/>
      <c r="H60" s="1143"/>
      <c r="I60" s="1143"/>
      <c r="J60" s="1143"/>
      <c r="K60" s="1143"/>
      <c r="L60" s="1143"/>
      <c r="M60" s="1143"/>
      <c r="N60" s="1143"/>
      <c r="O60" s="1143"/>
      <c r="P60" s="1143"/>
    </row>
  </sheetData>
  <mergeCells count="19">
    <mergeCell ref="D46:AB46"/>
    <mergeCell ref="D47:AB47"/>
    <mergeCell ref="D53:D55"/>
    <mergeCell ref="D56:D58"/>
    <mergeCell ref="T14:V14"/>
    <mergeCell ref="W14:Y14"/>
    <mergeCell ref="Z14:AB14"/>
    <mergeCell ref="AC14:AE14"/>
    <mergeCell ref="D44:AB44"/>
    <mergeCell ref="D45:AB45"/>
    <mergeCell ref="D2:AE2"/>
    <mergeCell ref="D3:AE3"/>
    <mergeCell ref="D4:AE4"/>
    <mergeCell ref="E13:J13"/>
    <mergeCell ref="E14:G14"/>
    <mergeCell ref="H14:J14"/>
    <mergeCell ref="K14:M14"/>
    <mergeCell ref="N14:P14"/>
    <mergeCell ref="Q14:S14"/>
  </mergeCells>
  <pageMargins left="0.74803149606299202" right="0.74803149606299202" top="0.98425196850393704" bottom="0.98425196850393704" header="0.511811023622047" footer="0.511811023622047"/>
  <pageSetup paperSize="9" scale="5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1"/>
  <sheetViews>
    <sheetView showGridLines="0" view="pageBreakPreview" zoomScaleNormal="100" zoomScaleSheetLayoutView="100" workbookViewId="0">
      <selection activeCell="A33" sqref="A33"/>
    </sheetView>
  </sheetViews>
  <sheetFormatPr defaultColWidth="9.28515625" defaultRowHeight="15" x14ac:dyDescent="0.25"/>
  <cols>
    <col min="1" max="1" width="3.7109375" style="116" customWidth="1"/>
    <col min="2" max="2" width="14.42578125" style="113" customWidth="1"/>
    <col min="3" max="3" width="3.7109375" style="114" customWidth="1"/>
    <col min="4" max="4" width="9.42578125" style="44" customWidth="1"/>
    <col min="5" max="5" width="6.7109375" style="44" customWidth="1"/>
    <col min="6" max="25" width="8.28515625" style="44" customWidth="1"/>
    <col min="26" max="26" width="7" style="44" customWidth="1"/>
    <col min="27" max="27" width="7.28515625" style="44" customWidth="1"/>
    <col min="28" max="28" width="7.42578125" style="44" customWidth="1"/>
    <col min="29" max="16384" width="9.28515625" style="44"/>
  </cols>
  <sheetData>
    <row r="1" spans="1:29" x14ac:dyDescent="0.25">
      <c r="A1" s="112"/>
      <c r="D1" s="115"/>
      <c r="E1" s="115"/>
      <c r="F1" s="115"/>
      <c r="G1" s="115"/>
      <c r="H1" s="115"/>
      <c r="I1" s="115"/>
      <c r="J1" s="115"/>
      <c r="K1" s="115"/>
      <c r="L1" s="115"/>
      <c r="M1" s="115"/>
      <c r="N1" s="115"/>
      <c r="O1" s="115"/>
      <c r="P1" s="115"/>
      <c r="Q1" s="115"/>
      <c r="R1" s="115"/>
      <c r="S1" s="115"/>
      <c r="T1" s="115"/>
      <c r="U1" s="115"/>
      <c r="V1" s="115"/>
      <c r="W1" s="115"/>
    </row>
    <row r="2" spans="1:29" ht="12.75" customHeight="1" x14ac:dyDescent="0.25">
      <c r="A2" s="116">
        <v>1</v>
      </c>
      <c r="B2" s="117" t="s">
        <v>0</v>
      </c>
      <c r="C2" s="116">
        <f>'[1]GDP per Capita'!C2+1</f>
        <v>3</v>
      </c>
      <c r="D2" s="4063" t="s">
        <v>109</v>
      </c>
      <c r="E2" s="4064"/>
      <c r="F2" s="4064"/>
      <c r="G2" s="4064"/>
      <c r="H2" s="4064"/>
      <c r="I2" s="4064"/>
      <c r="J2" s="4064"/>
      <c r="K2" s="4064"/>
      <c r="L2" s="4064"/>
      <c r="M2" s="4064"/>
      <c r="N2" s="4064"/>
      <c r="O2" s="4064"/>
      <c r="P2" s="4064"/>
      <c r="Q2" s="4064"/>
      <c r="R2" s="4064"/>
      <c r="S2" s="4064"/>
      <c r="T2" s="4064"/>
      <c r="U2" s="4064"/>
      <c r="V2" s="4064"/>
      <c r="W2" s="4064"/>
      <c r="X2" s="4064"/>
      <c r="Y2" s="4064"/>
      <c r="Z2" s="4064"/>
      <c r="AA2" s="4064"/>
      <c r="AB2" s="4065"/>
    </row>
    <row r="3" spans="1:29" ht="12.75" customHeight="1" x14ac:dyDescent="0.25">
      <c r="A3" s="116">
        <v>2</v>
      </c>
      <c r="B3" s="117" t="s">
        <v>2</v>
      </c>
      <c r="C3" s="116"/>
      <c r="D3" s="4057" t="s">
        <v>110</v>
      </c>
      <c r="E3" s="4058"/>
      <c r="F3" s="4058"/>
      <c r="G3" s="4058"/>
      <c r="H3" s="4058"/>
      <c r="I3" s="4058"/>
      <c r="J3" s="4058"/>
      <c r="K3" s="4058"/>
      <c r="L3" s="4058"/>
      <c r="M3" s="4058"/>
      <c r="N3" s="4058"/>
      <c r="O3" s="4058"/>
      <c r="P3" s="4058"/>
      <c r="Q3" s="4058"/>
      <c r="R3" s="4058"/>
      <c r="S3" s="4058"/>
      <c r="T3" s="4058"/>
      <c r="U3" s="4058"/>
      <c r="V3" s="4058"/>
      <c r="W3" s="4058"/>
      <c r="X3" s="4058"/>
      <c r="Y3" s="4058"/>
      <c r="Z3" s="4058"/>
      <c r="AA3" s="4058"/>
      <c r="AB3" s="4059"/>
    </row>
    <row r="4" spans="1:29" ht="12.75" customHeight="1" x14ac:dyDescent="0.25">
      <c r="A4" s="116">
        <v>3</v>
      </c>
      <c r="B4" s="117" t="s">
        <v>4</v>
      </c>
      <c r="C4" s="116"/>
      <c r="D4" s="4063" t="s">
        <v>111</v>
      </c>
      <c r="E4" s="4064"/>
      <c r="F4" s="4064"/>
      <c r="G4" s="4064"/>
      <c r="H4" s="4064"/>
      <c r="I4" s="4064"/>
      <c r="J4" s="4064"/>
      <c r="K4" s="4064"/>
      <c r="L4" s="4064"/>
      <c r="M4" s="4064"/>
      <c r="N4" s="4064"/>
      <c r="O4" s="4064"/>
      <c r="P4" s="4064"/>
      <c r="Q4" s="4064"/>
      <c r="R4" s="4064"/>
      <c r="S4" s="4064"/>
      <c r="T4" s="4064"/>
      <c r="U4" s="4064"/>
      <c r="V4" s="4064"/>
      <c r="W4" s="4064"/>
      <c r="X4" s="4064"/>
      <c r="Y4" s="4064"/>
      <c r="Z4" s="4064"/>
      <c r="AA4" s="4064"/>
      <c r="AB4" s="4065"/>
    </row>
    <row r="5" spans="1:29" ht="11.25" customHeight="1" x14ac:dyDescent="0.25">
      <c r="B5" s="117"/>
      <c r="C5" s="116"/>
      <c r="D5" s="4057"/>
      <c r="E5" s="4058"/>
      <c r="F5" s="4058"/>
      <c r="G5" s="4058"/>
      <c r="H5" s="4058"/>
      <c r="I5" s="4058"/>
      <c r="J5" s="4058"/>
      <c r="K5" s="4058"/>
      <c r="L5" s="4058"/>
      <c r="M5" s="4058"/>
      <c r="N5" s="4058"/>
      <c r="O5" s="4058"/>
      <c r="P5" s="4058"/>
      <c r="Q5" s="4058"/>
      <c r="R5" s="4058"/>
      <c r="S5" s="4058"/>
      <c r="T5" s="4058"/>
      <c r="U5" s="4058"/>
      <c r="V5" s="4058"/>
      <c r="W5" s="4058"/>
      <c r="X5" s="4058"/>
      <c r="Y5" s="4058"/>
      <c r="Z5" s="4058"/>
      <c r="AA5" s="4058"/>
      <c r="AB5" s="4059"/>
    </row>
    <row r="6" spans="1:29" x14ac:dyDescent="0.25">
      <c r="A6" s="116">
        <v>4</v>
      </c>
      <c r="B6" s="121" t="s">
        <v>5</v>
      </c>
      <c r="D6" s="123" t="s">
        <v>112</v>
      </c>
      <c r="E6" s="123"/>
      <c r="F6" s="123" t="str">
        <f>D2</f>
        <v>Net Foreign Direct Investment (Net FDI)</v>
      </c>
      <c r="G6" s="123"/>
      <c r="H6" s="123"/>
      <c r="I6" s="123"/>
      <c r="J6" s="123"/>
      <c r="K6" s="123"/>
      <c r="L6" s="123"/>
      <c r="M6" s="123"/>
      <c r="N6" s="148"/>
      <c r="O6" s="148"/>
      <c r="P6" s="148"/>
      <c r="Q6" s="148"/>
      <c r="R6" s="148"/>
      <c r="S6" s="148"/>
      <c r="T6" s="148"/>
      <c r="U6" s="139"/>
      <c r="V6" s="139"/>
      <c r="W6" s="139"/>
    </row>
    <row r="7" spans="1:29" s="156" customFormat="1" x14ac:dyDescent="0.25">
      <c r="A7" s="149"/>
      <c r="B7" s="150"/>
      <c r="C7" s="151"/>
      <c r="D7" s="152" t="s">
        <v>113</v>
      </c>
      <c r="E7" s="153" t="s">
        <v>42</v>
      </c>
      <c r="F7" s="153" t="s">
        <v>43</v>
      </c>
      <c r="G7" s="153" t="s">
        <v>44</v>
      </c>
      <c r="H7" s="153" t="s">
        <v>45</v>
      </c>
      <c r="I7" s="153" t="s">
        <v>46</v>
      </c>
      <c r="J7" s="153" t="s">
        <v>47</v>
      </c>
      <c r="K7" s="153" t="s">
        <v>48</v>
      </c>
      <c r="L7" s="153" t="s">
        <v>49</v>
      </c>
      <c r="M7" s="153" t="s">
        <v>50</v>
      </c>
      <c r="N7" s="153" t="s">
        <v>51</v>
      </c>
      <c r="O7" s="153" t="s">
        <v>52</v>
      </c>
      <c r="P7" s="153" t="s">
        <v>53</v>
      </c>
      <c r="Q7" s="154" t="s">
        <v>54</v>
      </c>
      <c r="R7" s="154" t="s">
        <v>55</v>
      </c>
      <c r="S7" s="154" t="s">
        <v>56</v>
      </c>
      <c r="T7" s="154" t="s">
        <v>57</v>
      </c>
      <c r="U7" s="154" t="s">
        <v>58</v>
      </c>
      <c r="V7" s="154" t="s">
        <v>59</v>
      </c>
      <c r="W7" s="154" t="s">
        <v>60</v>
      </c>
      <c r="X7" s="154" t="s">
        <v>61</v>
      </c>
      <c r="Y7" s="154" t="s">
        <v>62</v>
      </c>
      <c r="Z7" s="154" t="s">
        <v>63</v>
      </c>
      <c r="AA7" s="154" t="s">
        <v>64</v>
      </c>
      <c r="AB7" s="897" t="s">
        <v>65</v>
      </c>
      <c r="AC7" s="155"/>
    </row>
    <row r="8" spans="1:29" x14ac:dyDescent="0.25">
      <c r="D8" s="134" t="s">
        <v>114</v>
      </c>
      <c r="E8" s="157">
        <v>-3.04</v>
      </c>
      <c r="F8" s="157">
        <v>-4.5570000000000004</v>
      </c>
      <c r="G8" s="157">
        <v>-0.97</v>
      </c>
      <c r="H8" s="157">
        <v>6.7560000000000002</v>
      </c>
      <c r="I8" s="157">
        <v>-6.7370000000000001</v>
      </c>
      <c r="J8" s="157">
        <v>-0.47499999999999998</v>
      </c>
      <c r="K8" s="157">
        <v>4.28</v>
      </c>
      <c r="L8" s="158">
        <v>85.763000000000005</v>
      </c>
      <c r="M8" s="158">
        <v>20.734999999999999</v>
      </c>
      <c r="N8" s="158">
        <v>1.2749999999999999</v>
      </c>
      <c r="O8" s="158">
        <v>-3.5659999999999998</v>
      </c>
      <c r="P8" s="158">
        <v>36.353999999999999</v>
      </c>
      <c r="Q8" s="159">
        <v>-38.948999999999998</v>
      </c>
      <c r="R8" s="159">
        <v>25.167000000000002</v>
      </c>
      <c r="S8" s="159">
        <v>101.967</v>
      </c>
      <c r="T8" s="160">
        <v>53.813000000000002</v>
      </c>
      <c r="U8" s="161">
        <v>27.170999999999999</v>
      </c>
      <c r="V8" s="159">
        <v>32.673000000000002</v>
      </c>
      <c r="W8" s="159">
        <v>12.9</v>
      </c>
      <c r="X8" s="159">
        <v>15.942</v>
      </c>
      <c r="Y8" s="159">
        <v>-20.606999999999999</v>
      </c>
      <c r="Z8" s="159">
        <v>-51.216999999999999</v>
      </c>
      <c r="AA8" s="159">
        <v>-32.942</v>
      </c>
      <c r="AB8" s="898">
        <v>-80.471999999999994</v>
      </c>
      <c r="AC8" s="162"/>
    </row>
    <row r="9" spans="1:29" ht="15" customHeight="1" x14ac:dyDescent="0.25">
      <c r="D9" s="138"/>
      <c r="E9" s="138"/>
      <c r="F9" s="163"/>
      <c r="G9" s="163"/>
      <c r="H9" s="163"/>
      <c r="I9" s="163"/>
      <c r="J9" s="163"/>
      <c r="K9" s="163"/>
      <c r="L9" s="163"/>
      <c r="M9" s="163"/>
      <c r="N9" s="163"/>
      <c r="O9" s="163"/>
      <c r="P9" s="163"/>
      <c r="Q9" s="163"/>
      <c r="R9" s="164"/>
      <c r="S9" s="164"/>
      <c r="T9" s="115"/>
      <c r="U9" s="115"/>
      <c r="V9" s="115"/>
      <c r="W9" s="115"/>
      <c r="Z9" s="165"/>
    </row>
    <row r="10" spans="1:29" x14ac:dyDescent="0.25">
      <c r="A10" s="116">
        <v>5</v>
      </c>
      <c r="B10" s="117" t="s">
        <v>90</v>
      </c>
      <c r="C10" s="116"/>
      <c r="D10" s="115"/>
      <c r="E10" s="115"/>
      <c r="F10" s="120"/>
      <c r="G10" s="120"/>
      <c r="H10" s="120"/>
      <c r="I10" s="120"/>
      <c r="J10" s="120"/>
      <c r="K10" s="120"/>
      <c r="L10" s="120"/>
      <c r="M10" s="120"/>
      <c r="N10" s="120"/>
      <c r="O10" s="120"/>
      <c r="P10" s="120"/>
      <c r="Q10" s="120"/>
      <c r="R10" s="120"/>
      <c r="S10" s="120"/>
      <c r="T10" s="115"/>
      <c r="U10" s="115"/>
      <c r="V10" s="115"/>
      <c r="W10" s="115"/>
      <c r="Z10" s="165"/>
      <c r="AA10" s="166"/>
      <c r="AB10" s="166"/>
      <c r="AC10" s="167"/>
    </row>
    <row r="11" spans="1:29" x14ac:dyDescent="0.25">
      <c r="D11" s="115"/>
      <c r="E11" s="115"/>
      <c r="F11" s="120"/>
      <c r="G11" s="120"/>
      <c r="H11" s="120"/>
      <c r="I11" s="120"/>
      <c r="J11" s="120"/>
      <c r="K11" s="120"/>
      <c r="L11" s="120"/>
      <c r="M11" s="120"/>
      <c r="N11" s="120"/>
      <c r="O11" s="120"/>
      <c r="P11" s="120"/>
      <c r="Q11" s="120"/>
      <c r="R11" s="120"/>
      <c r="S11" s="120"/>
      <c r="T11" s="115"/>
      <c r="U11" s="115"/>
      <c r="V11" s="115"/>
      <c r="W11" s="115"/>
      <c r="Z11" s="165"/>
      <c r="AA11" s="166"/>
      <c r="AB11" s="166"/>
      <c r="AC11" s="167"/>
    </row>
    <row r="12" spans="1:29" x14ac:dyDescent="0.25">
      <c r="D12" s="115"/>
      <c r="E12" s="115"/>
      <c r="F12" s="120"/>
      <c r="G12" s="120"/>
      <c r="H12" s="120"/>
      <c r="I12" s="120"/>
      <c r="J12" s="120"/>
      <c r="K12" s="120"/>
      <c r="L12" s="120"/>
      <c r="M12" s="120"/>
      <c r="N12" s="120"/>
      <c r="O12" s="120"/>
      <c r="P12" s="120"/>
      <c r="Q12" s="120"/>
      <c r="R12" s="120"/>
      <c r="S12" s="120"/>
      <c r="T12" s="115"/>
      <c r="U12" s="115"/>
      <c r="V12" s="115"/>
      <c r="W12" s="115"/>
      <c r="Z12" s="165"/>
      <c r="AA12" s="166"/>
      <c r="AB12" s="166"/>
      <c r="AC12" s="167"/>
    </row>
    <row r="13" spans="1:29" x14ac:dyDescent="0.25">
      <c r="D13" s="115"/>
      <c r="E13" s="115"/>
      <c r="F13" s="120"/>
      <c r="G13" s="120"/>
      <c r="H13" s="120"/>
      <c r="I13" s="120"/>
      <c r="J13" s="120"/>
      <c r="K13" s="120"/>
      <c r="L13" s="120"/>
      <c r="M13" s="120"/>
      <c r="N13" s="120"/>
      <c r="O13" s="120"/>
      <c r="P13" s="120"/>
      <c r="Q13" s="120"/>
      <c r="R13" s="120"/>
      <c r="S13" s="120"/>
      <c r="T13" s="115"/>
      <c r="U13" s="115"/>
      <c r="V13" s="115"/>
      <c r="W13" s="115"/>
      <c r="Z13" s="165"/>
      <c r="AA13" s="166"/>
      <c r="AB13" s="166"/>
      <c r="AC13" s="167"/>
    </row>
    <row r="14" spans="1:29" x14ac:dyDescent="0.25">
      <c r="D14" s="115"/>
      <c r="E14" s="115"/>
      <c r="F14" s="120"/>
      <c r="G14" s="120"/>
      <c r="H14" s="120"/>
      <c r="I14" s="120"/>
      <c r="J14" s="120"/>
      <c r="K14" s="120"/>
      <c r="L14" s="120"/>
      <c r="M14" s="119"/>
      <c r="N14" s="120"/>
      <c r="O14" s="120"/>
      <c r="P14" s="120"/>
      <c r="Q14" s="120"/>
      <c r="R14" s="115"/>
      <c r="S14" s="115"/>
      <c r="T14" s="115"/>
      <c r="U14" s="115"/>
      <c r="V14" s="115"/>
      <c r="W14" s="115"/>
      <c r="Z14" s="165"/>
      <c r="AA14" s="166"/>
      <c r="AB14" s="166"/>
      <c r="AC14" s="167"/>
    </row>
    <row r="15" spans="1:29" x14ac:dyDescent="0.25">
      <c r="D15" s="115"/>
      <c r="E15" s="115"/>
      <c r="F15" s="120"/>
      <c r="G15" s="120"/>
      <c r="H15" s="120"/>
      <c r="I15" s="120"/>
      <c r="J15" s="120"/>
      <c r="K15" s="120"/>
      <c r="L15" s="120"/>
      <c r="M15" s="119" t="s">
        <v>115</v>
      </c>
      <c r="N15" s="120"/>
      <c r="O15" s="120"/>
      <c r="P15" s="120"/>
      <c r="Q15" s="120"/>
      <c r="R15" s="115"/>
      <c r="S15" s="115"/>
      <c r="T15" s="115"/>
      <c r="U15" s="115"/>
      <c r="V15" s="115"/>
      <c r="W15" s="115"/>
      <c r="Z15" s="165"/>
      <c r="AA15" s="166"/>
      <c r="AB15" s="166"/>
      <c r="AC15" s="167"/>
    </row>
    <row r="16" spans="1:29" x14ac:dyDescent="0.25">
      <c r="D16" s="115"/>
      <c r="E16" s="115"/>
      <c r="F16" s="120"/>
      <c r="G16" s="120"/>
      <c r="H16" s="120"/>
      <c r="I16" s="120"/>
      <c r="J16" s="120"/>
      <c r="K16" s="120"/>
      <c r="L16" s="120"/>
      <c r="M16" s="120"/>
      <c r="N16" s="120"/>
      <c r="O16" s="120"/>
      <c r="P16" s="120"/>
      <c r="Q16" s="120"/>
      <c r="R16" s="115"/>
      <c r="S16" s="115"/>
      <c r="T16" s="115"/>
      <c r="U16" s="115"/>
      <c r="V16" s="115"/>
      <c r="W16" s="115"/>
      <c r="Z16" s="165"/>
      <c r="AA16" s="166"/>
      <c r="AB16" s="166"/>
      <c r="AC16" s="167"/>
    </row>
    <row r="17" spans="1:29" x14ac:dyDescent="0.25">
      <c r="D17" s="115"/>
      <c r="E17" s="115"/>
      <c r="F17" s="120"/>
      <c r="G17" s="120"/>
      <c r="H17" s="120"/>
      <c r="I17" s="120"/>
      <c r="J17" s="120"/>
      <c r="K17" s="120"/>
      <c r="L17" s="120"/>
      <c r="M17" s="120"/>
      <c r="N17" s="120"/>
      <c r="O17" s="120"/>
      <c r="P17" s="120"/>
      <c r="Q17" s="120"/>
      <c r="R17" s="115"/>
      <c r="S17" s="115"/>
      <c r="T17" s="115"/>
      <c r="U17" s="115"/>
      <c r="V17" s="115"/>
      <c r="W17" s="115"/>
      <c r="Z17" s="165"/>
      <c r="AA17" s="166"/>
      <c r="AB17" s="166"/>
      <c r="AC17" s="167"/>
    </row>
    <row r="18" spans="1:29" x14ac:dyDescent="0.25">
      <c r="D18" s="115"/>
      <c r="E18" s="115"/>
      <c r="F18" s="120"/>
      <c r="G18" s="120"/>
      <c r="H18" s="120"/>
      <c r="I18" s="120"/>
      <c r="J18" s="120"/>
      <c r="K18" s="120"/>
      <c r="L18" s="120"/>
      <c r="M18" s="119" t="s">
        <v>116</v>
      </c>
      <c r="N18" s="120"/>
      <c r="O18" s="120"/>
      <c r="P18" s="120"/>
      <c r="Q18" s="120"/>
      <c r="R18" s="115"/>
      <c r="S18" s="115"/>
      <c r="T18" s="115"/>
      <c r="U18" s="115"/>
      <c r="V18" s="115"/>
      <c r="W18" s="115"/>
      <c r="Z18" s="168"/>
      <c r="AA18" s="166"/>
      <c r="AB18" s="166"/>
      <c r="AC18" s="167"/>
    </row>
    <row r="19" spans="1:29" x14ac:dyDescent="0.25">
      <c r="D19" s="115"/>
      <c r="E19" s="115"/>
      <c r="F19" s="120"/>
      <c r="G19" s="120"/>
      <c r="H19" s="120"/>
      <c r="I19" s="120"/>
      <c r="J19" s="120"/>
      <c r="K19" s="120"/>
      <c r="L19" s="120"/>
      <c r="M19" s="120"/>
      <c r="N19" s="120"/>
      <c r="O19" s="120"/>
      <c r="P19" s="120"/>
      <c r="Q19" s="120"/>
      <c r="R19" s="120"/>
      <c r="S19" s="120"/>
      <c r="T19" s="115"/>
      <c r="U19" s="115"/>
      <c r="V19" s="115"/>
      <c r="W19" s="115"/>
      <c r="AA19" s="166"/>
      <c r="AB19" s="166"/>
      <c r="AC19" s="167"/>
    </row>
    <row r="20" spans="1:29" x14ac:dyDescent="0.25">
      <c r="D20" s="115"/>
      <c r="E20" s="115"/>
      <c r="F20" s="115"/>
      <c r="G20" s="115"/>
      <c r="H20" s="115"/>
      <c r="I20" s="115"/>
      <c r="J20" s="115"/>
      <c r="K20" s="115"/>
      <c r="L20" s="115"/>
      <c r="M20" s="115"/>
      <c r="N20" s="115"/>
      <c r="O20" s="115"/>
      <c r="P20" s="115"/>
      <c r="Q20" s="115"/>
      <c r="R20" s="115"/>
      <c r="S20" s="115"/>
      <c r="T20" s="115"/>
      <c r="U20" s="115"/>
      <c r="V20" s="115"/>
      <c r="W20" s="115"/>
      <c r="AA20" s="166"/>
      <c r="AB20" s="166"/>
      <c r="AC20" s="167"/>
    </row>
    <row r="21" spans="1:29" x14ac:dyDescent="0.25">
      <c r="D21" s="115"/>
      <c r="E21" s="115"/>
      <c r="F21" s="115"/>
      <c r="G21" s="115"/>
      <c r="H21" s="115"/>
      <c r="I21" s="115"/>
      <c r="J21" s="115"/>
      <c r="K21" s="115"/>
      <c r="L21" s="115"/>
      <c r="M21" s="115"/>
      <c r="N21" s="115"/>
      <c r="O21" s="115"/>
      <c r="P21" s="115"/>
      <c r="Q21" s="115"/>
      <c r="R21" s="115"/>
      <c r="S21" s="115"/>
      <c r="T21" s="115"/>
      <c r="U21" s="115"/>
      <c r="V21" s="115"/>
      <c r="W21" s="115"/>
      <c r="AA21" s="166"/>
      <c r="AB21" s="166"/>
      <c r="AC21" s="167"/>
    </row>
    <row r="22" spans="1:29" x14ac:dyDescent="0.25">
      <c r="D22" s="115"/>
      <c r="E22" s="115"/>
      <c r="F22" s="115"/>
      <c r="G22" s="115"/>
      <c r="H22" s="115"/>
      <c r="I22" s="115"/>
      <c r="J22" s="115"/>
      <c r="K22" s="115"/>
      <c r="L22" s="115"/>
      <c r="M22" s="115"/>
      <c r="N22" s="115"/>
      <c r="O22" s="115"/>
      <c r="P22" s="115"/>
      <c r="Q22" s="115"/>
      <c r="R22" s="115"/>
      <c r="S22" s="115"/>
      <c r="T22" s="115"/>
      <c r="U22" s="115"/>
      <c r="V22" s="115"/>
      <c r="W22" s="115"/>
      <c r="AA22" s="166"/>
      <c r="AB22" s="166"/>
      <c r="AC22" s="167"/>
    </row>
    <row r="23" spans="1:29" x14ac:dyDescent="0.25">
      <c r="D23" s="115"/>
      <c r="E23" s="115"/>
      <c r="F23" s="115"/>
      <c r="G23" s="115"/>
      <c r="H23" s="115"/>
      <c r="I23" s="115"/>
      <c r="J23" s="115"/>
      <c r="K23" s="115"/>
      <c r="L23" s="115"/>
      <c r="M23" s="115"/>
      <c r="N23" s="115"/>
      <c r="O23" s="115"/>
      <c r="P23" s="115"/>
      <c r="Q23" s="115"/>
      <c r="R23" s="115"/>
      <c r="S23" s="115"/>
      <c r="T23" s="115"/>
      <c r="U23" s="115"/>
      <c r="V23" s="115"/>
      <c r="W23" s="115"/>
      <c r="AA23" s="166"/>
      <c r="AB23" s="166"/>
      <c r="AC23" s="167"/>
    </row>
    <row r="24" spans="1:29" x14ac:dyDescent="0.25">
      <c r="D24" s="115"/>
      <c r="E24" s="115"/>
      <c r="F24" s="115"/>
      <c r="G24" s="115"/>
      <c r="H24" s="115"/>
      <c r="I24" s="115"/>
      <c r="J24" s="115"/>
      <c r="K24" s="115"/>
      <c r="L24" s="115"/>
      <c r="M24" s="115"/>
      <c r="N24" s="115"/>
      <c r="O24" s="115"/>
      <c r="P24" s="115"/>
      <c r="Q24" s="115"/>
      <c r="R24" s="115"/>
      <c r="S24" s="115"/>
      <c r="T24" s="115"/>
      <c r="U24" s="115"/>
      <c r="V24" s="115"/>
      <c r="W24" s="115"/>
      <c r="AA24" s="166"/>
      <c r="AB24" s="166"/>
      <c r="AC24" s="167"/>
    </row>
    <row r="25" spans="1:29" x14ac:dyDescent="0.25">
      <c r="D25" s="115"/>
      <c r="E25" s="115"/>
      <c r="F25" s="115"/>
      <c r="G25" s="115"/>
      <c r="H25" s="115"/>
      <c r="I25" s="115"/>
      <c r="J25" s="115"/>
      <c r="K25" s="115"/>
      <c r="L25" s="115"/>
      <c r="M25" s="115"/>
      <c r="N25" s="115"/>
      <c r="O25" s="115"/>
      <c r="P25" s="115"/>
      <c r="Q25" s="115"/>
      <c r="R25" s="115"/>
      <c r="S25" s="115"/>
      <c r="T25" s="115"/>
      <c r="U25" s="115"/>
      <c r="V25" s="115"/>
      <c r="W25" s="115"/>
      <c r="AA25" s="166"/>
      <c r="AB25" s="166"/>
      <c r="AC25" s="167"/>
    </row>
    <row r="26" spans="1:29" x14ac:dyDescent="0.25">
      <c r="D26" s="115"/>
      <c r="E26" s="115"/>
      <c r="F26" s="115"/>
      <c r="G26" s="115"/>
      <c r="H26" s="115"/>
      <c r="I26" s="115"/>
      <c r="J26" s="115"/>
      <c r="K26" s="115"/>
      <c r="L26" s="115"/>
      <c r="M26" s="115"/>
      <c r="N26" s="115"/>
      <c r="O26" s="115"/>
      <c r="P26" s="115"/>
      <c r="Q26" s="115"/>
      <c r="R26" s="115"/>
      <c r="S26" s="115"/>
      <c r="T26" s="115"/>
      <c r="U26" s="115"/>
      <c r="V26" s="115"/>
      <c r="W26" s="115"/>
      <c r="AA26" s="166"/>
      <c r="AB26" s="166"/>
      <c r="AC26" s="167"/>
    </row>
    <row r="27" spans="1:29" x14ac:dyDescent="0.25">
      <c r="D27" s="115"/>
      <c r="E27" s="115"/>
      <c r="F27" s="115"/>
      <c r="G27" s="115"/>
      <c r="H27" s="115"/>
      <c r="I27" s="115"/>
      <c r="J27" s="115"/>
      <c r="K27" s="115"/>
      <c r="L27" s="115"/>
      <c r="M27" s="115"/>
      <c r="N27" s="115"/>
      <c r="O27" s="115"/>
      <c r="P27" s="115"/>
      <c r="Q27" s="115"/>
      <c r="R27" s="115"/>
      <c r="S27" s="115"/>
      <c r="T27" s="115"/>
      <c r="U27" s="115"/>
      <c r="V27" s="115"/>
      <c r="W27" s="115"/>
      <c r="AA27" s="166"/>
      <c r="AB27" s="166"/>
      <c r="AC27" s="167"/>
    </row>
    <row r="28" spans="1:29" x14ac:dyDescent="0.25">
      <c r="D28" s="115"/>
      <c r="E28" s="115"/>
      <c r="F28" s="115"/>
      <c r="G28" s="115"/>
      <c r="H28" s="115"/>
      <c r="I28" s="115"/>
      <c r="J28" s="115"/>
      <c r="K28" s="115"/>
      <c r="L28" s="115"/>
      <c r="M28" s="115"/>
      <c r="N28" s="115"/>
      <c r="O28" s="115"/>
      <c r="P28" s="115"/>
      <c r="Q28" s="115"/>
      <c r="R28" s="115"/>
      <c r="S28" s="115"/>
      <c r="T28" s="115"/>
      <c r="U28" s="115"/>
      <c r="V28" s="115"/>
      <c r="W28" s="115"/>
      <c r="AA28" s="166"/>
      <c r="AB28" s="166"/>
      <c r="AC28" s="167"/>
    </row>
    <row r="29" spans="1:29" ht="12" customHeight="1" x14ac:dyDescent="0.25">
      <c r="D29" s="115"/>
      <c r="E29" s="115"/>
      <c r="F29" s="115"/>
      <c r="G29" s="115"/>
      <c r="H29" s="115"/>
      <c r="I29" s="115"/>
      <c r="J29" s="115"/>
      <c r="K29" s="115"/>
      <c r="L29" s="115"/>
      <c r="M29" s="115"/>
      <c r="N29" s="115"/>
      <c r="O29" s="115"/>
      <c r="P29" s="115"/>
      <c r="Q29" s="115"/>
      <c r="R29" s="115"/>
      <c r="S29" s="115"/>
      <c r="T29" s="115"/>
      <c r="U29" s="115"/>
      <c r="V29" s="115"/>
      <c r="W29" s="115"/>
      <c r="AA29" s="166"/>
      <c r="AB29" s="166"/>
      <c r="AC29" s="167"/>
    </row>
    <row r="30" spans="1:29" ht="12.75" customHeight="1" x14ac:dyDescent="0.25">
      <c r="A30" s="116">
        <v>6</v>
      </c>
      <c r="B30" s="117" t="s">
        <v>29</v>
      </c>
      <c r="C30" s="116"/>
      <c r="D30" s="4048" t="s">
        <v>117</v>
      </c>
      <c r="E30" s="4049"/>
      <c r="F30" s="4049"/>
      <c r="G30" s="4049"/>
      <c r="H30" s="4049"/>
      <c r="I30" s="4049"/>
      <c r="J30" s="4049"/>
      <c r="K30" s="4049"/>
      <c r="L30" s="4049"/>
      <c r="M30" s="4049"/>
      <c r="N30" s="4049"/>
      <c r="O30" s="4049"/>
      <c r="P30" s="4049"/>
      <c r="Q30" s="4049"/>
      <c r="R30" s="4049"/>
      <c r="S30" s="4049"/>
      <c r="T30" s="4049"/>
      <c r="U30" s="4049"/>
      <c r="V30" s="4049"/>
      <c r="W30" s="4049"/>
      <c r="X30" s="4049"/>
      <c r="Y30" s="4049"/>
      <c r="Z30" s="4049"/>
      <c r="AA30" s="4050"/>
      <c r="AB30" s="169"/>
    </row>
    <row r="31" spans="1:29" ht="15" customHeight="1" x14ac:dyDescent="0.25">
      <c r="A31" s="143">
        <v>7</v>
      </c>
      <c r="B31" s="144" t="s">
        <v>32</v>
      </c>
      <c r="C31" s="143"/>
      <c r="D31" s="4066" t="s">
        <v>118</v>
      </c>
      <c r="E31" s="4067"/>
      <c r="F31" s="4067"/>
      <c r="G31" s="4067"/>
      <c r="H31" s="4067"/>
      <c r="I31" s="4067"/>
      <c r="J31" s="4067"/>
      <c r="K31" s="4067"/>
      <c r="L31" s="4067"/>
      <c r="M31" s="4067"/>
      <c r="N31" s="4067"/>
      <c r="O31" s="4067"/>
      <c r="P31" s="4067"/>
      <c r="Q31" s="4067"/>
      <c r="R31" s="4067"/>
      <c r="S31" s="4067"/>
      <c r="T31" s="4067"/>
      <c r="U31" s="4067"/>
      <c r="V31" s="4067"/>
      <c r="W31" s="4067"/>
      <c r="X31" s="4067"/>
      <c r="Y31" s="4067"/>
      <c r="Z31" s="4067"/>
      <c r="AA31" s="4068"/>
      <c r="AB31" s="170"/>
    </row>
    <row r="32" spans="1:29" ht="12.75" customHeight="1" x14ac:dyDescent="0.25">
      <c r="A32" s="116">
        <v>8</v>
      </c>
      <c r="B32" s="117" t="s">
        <v>31</v>
      </c>
      <c r="C32" s="116"/>
      <c r="D32" s="4048" t="s">
        <v>119</v>
      </c>
      <c r="E32" s="4049"/>
      <c r="F32" s="4049"/>
      <c r="G32" s="4049"/>
      <c r="H32" s="4049"/>
      <c r="I32" s="4049"/>
      <c r="J32" s="4049"/>
      <c r="K32" s="4049"/>
      <c r="L32" s="4049"/>
      <c r="M32" s="4049"/>
      <c r="N32" s="4049"/>
      <c r="O32" s="4049"/>
      <c r="P32" s="4049"/>
      <c r="Q32" s="4049"/>
      <c r="R32" s="4049"/>
      <c r="S32" s="4049"/>
      <c r="T32" s="4049"/>
      <c r="U32" s="4049"/>
      <c r="V32" s="4049"/>
      <c r="W32" s="4049"/>
      <c r="X32" s="4049"/>
      <c r="Y32" s="4049"/>
      <c r="Z32" s="4049"/>
      <c r="AA32" s="4050"/>
      <c r="AB32" s="142"/>
    </row>
    <row r="34" spans="5:29" x14ac:dyDescent="0.25">
      <c r="E34" s="3776"/>
      <c r="F34" s="3792"/>
      <c r="G34" s="3792"/>
      <c r="H34" s="3792"/>
      <c r="I34" s="3792"/>
      <c r="J34" s="3792"/>
      <c r="K34" s="3792"/>
      <c r="L34" s="3792"/>
      <c r="M34" s="3792"/>
      <c r="N34" s="3792"/>
      <c r="O34" s="3792"/>
      <c r="P34" s="3792"/>
      <c r="Q34" s="3792"/>
      <c r="R34" s="3793"/>
      <c r="S34" s="3793"/>
      <c r="T34" s="3793"/>
      <c r="U34" s="3794"/>
      <c r="V34" s="3795"/>
      <c r="W34" s="3795"/>
      <c r="X34" s="3796"/>
      <c r="Y34" s="3796"/>
      <c r="Z34" s="3776"/>
      <c r="AA34" s="3776"/>
      <c r="AB34" s="3776"/>
      <c r="AC34" s="3776"/>
    </row>
    <row r="35" spans="5:29" x14ac:dyDescent="0.25">
      <c r="E35" s="3776">
        <v>1990</v>
      </c>
      <c r="F35" s="3797">
        <v>1991</v>
      </c>
      <c r="G35" s="3797">
        <v>1992</v>
      </c>
      <c r="H35" s="3776">
        <v>1993</v>
      </c>
      <c r="I35" s="3797">
        <v>1994</v>
      </c>
      <c r="J35" s="3797">
        <v>1995</v>
      </c>
      <c r="K35" s="3776">
        <v>1996</v>
      </c>
      <c r="L35" s="3797">
        <v>1997</v>
      </c>
      <c r="M35" s="3797">
        <v>1998</v>
      </c>
      <c r="N35" s="3776">
        <v>1999</v>
      </c>
      <c r="O35" s="3797">
        <v>2000</v>
      </c>
      <c r="P35" s="3797">
        <v>2001</v>
      </c>
      <c r="Q35" s="3776">
        <v>2002</v>
      </c>
      <c r="R35" s="3797">
        <v>2003</v>
      </c>
      <c r="S35" s="3797">
        <v>2004</v>
      </c>
      <c r="T35" s="3776">
        <v>2005</v>
      </c>
      <c r="U35" s="3797">
        <v>2006</v>
      </c>
      <c r="V35" s="3797">
        <v>2007</v>
      </c>
      <c r="W35" s="3776">
        <v>2008</v>
      </c>
      <c r="X35" s="3797">
        <v>2009</v>
      </c>
      <c r="Y35" s="3797">
        <v>2010</v>
      </c>
      <c r="Z35" s="3776">
        <v>2011</v>
      </c>
      <c r="AA35" s="3797">
        <v>2012</v>
      </c>
      <c r="AB35" s="3798">
        <v>2013</v>
      </c>
      <c r="AC35" s="3797">
        <v>2014</v>
      </c>
    </row>
    <row r="36" spans="5:29" x14ac:dyDescent="0.25">
      <c r="E36" s="3776">
        <v>-274</v>
      </c>
      <c r="F36" s="3797">
        <v>111</v>
      </c>
      <c r="G36" s="3797">
        <v>-5514</v>
      </c>
      <c r="H36" s="3797">
        <v>-941</v>
      </c>
      <c r="I36" s="3797">
        <v>-3040</v>
      </c>
      <c r="J36" s="3797">
        <v>-4557</v>
      </c>
      <c r="K36" s="3797">
        <v>-970</v>
      </c>
      <c r="L36" s="3797">
        <v>6756</v>
      </c>
      <c r="M36" s="3797">
        <v>-6737</v>
      </c>
      <c r="N36" s="3797">
        <v>-475</v>
      </c>
      <c r="O36" s="3797">
        <v>4280</v>
      </c>
      <c r="P36" s="3797">
        <v>85763</v>
      </c>
      <c r="Q36" s="3797">
        <v>20735</v>
      </c>
      <c r="R36" s="3797">
        <v>1275</v>
      </c>
      <c r="S36" s="3797">
        <v>-3566</v>
      </c>
      <c r="T36" s="3797">
        <v>36354</v>
      </c>
      <c r="U36" s="3797">
        <v>-38949</v>
      </c>
      <c r="V36" s="3797">
        <v>25167</v>
      </c>
      <c r="W36" s="3797">
        <v>101967</v>
      </c>
      <c r="X36" s="3797">
        <v>53813</v>
      </c>
      <c r="Y36" s="3797">
        <v>27171</v>
      </c>
      <c r="Z36" s="3797">
        <v>32673</v>
      </c>
      <c r="AA36" s="3797">
        <v>12900</v>
      </c>
      <c r="AB36" s="3797">
        <v>15942</v>
      </c>
      <c r="AC36" s="3797"/>
    </row>
    <row r="37" spans="5:29" x14ac:dyDescent="0.25">
      <c r="E37" s="3776">
        <f>+E36/1000</f>
        <v>-0.27400000000000002</v>
      </c>
      <c r="F37" s="3776">
        <f t="shared" ref="F37:AB37" si="0">+F36/1000</f>
        <v>0.111</v>
      </c>
      <c r="G37" s="3776">
        <f t="shared" si="0"/>
        <v>-5.5140000000000002</v>
      </c>
      <c r="H37" s="3776">
        <f t="shared" si="0"/>
        <v>-0.94099999999999995</v>
      </c>
      <c r="I37" s="3776">
        <f t="shared" si="0"/>
        <v>-3.04</v>
      </c>
      <c r="J37" s="3776">
        <f t="shared" si="0"/>
        <v>-4.5570000000000004</v>
      </c>
      <c r="K37" s="3776">
        <f t="shared" si="0"/>
        <v>-0.97</v>
      </c>
      <c r="L37" s="3776">
        <f t="shared" si="0"/>
        <v>6.7560000000000002</v>
      </c>
      <c r="M37" s="3776">
        <f t="shared" si="0"/>
        <v>-6.7370000000000001</v>
      </c>
      <c r="N37" s="3776">
        <f t="shared" si="0"/>
        <v>-0.47499999999999998</v>
      </c>
      <c r="O37" s="3776">
        <f t="shared" si="0"/>
        <v>4.28</v>
      </c>
      <c r="P37" s="3776">
        <f t="shared" si="0"/>
        <v>85.763000000000005</v>
      </c>
      <c r="Q37" s="3776">
        <f t="shared" si="0"/>
        <v>20.734999999999999</v>
      </c>
      <c r="R37" s="3776">
        <f t="shared" si="0"/>
        <v>1.2749999999999999</v>
      </c>
      <c r="S37" s="3776">
        <f t="shared" si="0"/>
        <v>-3.5659999999999998</v>
      </c>
      <c r="T37" s="3776">
        <f t="shared" si="0"/>
        <v>36.353999999999999</v>
      </c>
      <c r="U37" s="3776">
        <f t="shared" si="0"/>
        <v>-38.948999999999998</v>
      </c>
      <c r="V37" s="3776">
        <f t="shared" si="0"/>
        <v>25.167000000000002</v>
      </c>
      <c r="W37" s="3776">
        <f t="shared" si="0"/>
        <v>101.967</v>
      </c>
      <c r="X37" s="3776">
        <f t="shared" si="0"/>
        <v>53.813000000000002</v>
      </c>
      <c r="Y37" s="3776">
        <f t="shared" si="0"/>
        <v>27.170999999999999</v>
      </c>
      <c r="Z37" s="3776">
        <f t="shared" si="0"/>
        <v>32.673000000000002</v>
      </c>
      <c r="AA37" s="3776">
        <f t="shared" si="0"/>
        <v>12.9</v>
      </c>
      <c r="AB37" s="3776">
        <f t="shared" si="0"/>
        <v>15.942</v>
      </c>
      <c r="AC37" s="3776"/>
    </row>
    <row r="38" spans="5:29" x14ac:dyDescent="0.25">
      <c r="E38" s="3776"/>
      <c r="F38" s="3797"/>
      <c r="G38" s="3797"/>
      <c r="H38" s="3797"/>
      <c r="I38" s="3799"/>
      <c r="J38" s="3799"/>
      <c r="K38" s="3799"/>
      <c r="L38" s="3799"/>
      <c r="M38" s="3799"/>
      <c r="N38" s="3799"/>
      <c r="O38" s="3799"/>
      <c r="P38" s="3799"/>
      <c r="Q38" s="3799"/>
      <c r="R38" s="3799"/>
      <c r="S38" s="3799"/>
      <c r="T38" s="3799"/>
      <c r="U38" s="3799"/>
      <c r="V38" s="3799"/>
      <c r="W38" s="3799"/>
      <c r="X38" s="3799"/>
      <c r="Y38" s="3799"/>
      <c r="Z38" s="3799"/>
      <c r="AA38" s="3799"/>
      <c r="AB38" s="3799"/>
      <c r="AC38" s="3776"/>
    </row>
    <row r="39" spans="5:29" x14ac:dyDescent="0.25">
      <c r="F39" s="53"/>
      <c r="G39" s="53"/>
      <c r="H39" s="53"/>
      <c r="I39" s="53"/>
      <c r="J39" s="53"/>
      <c r="K39" s="53"/>
      <c r="L39" s="53"/>
      <c r="M39" s="53"/>
      <c r="N39" s="53"/>
      <c r="O39" s="53"/>
      <c r="P39" s="53"/>
      <c r="Q39" s="53"/>
      <c r="R39" s="53"/>
      <c r="S39" s="53"/>
      <c r="T39" s="53"/>
      <c r="U39" s="53"/>
      <c r="V39" s="53"/>
      <c r="W39" s="53"/>
      <c r="X39" s="53"/>
      <c r="Y39" s="53"/>
      <c r="Z39" s="53"/>
      <c r="AA39" s="53"/>
      <c r="AB39" s="53"/>
    </row>
    <row r="40" spans="5:29" x14ac:dyDescent="0.25">
      <c r="F40" s="53"/>
      <c r="G40" s="53"/>
      <c r="H40" s="53"/>
      <c r="I40" s="53"/>
      <c r="J40" s="53"/>
      <c r="K40" s="53"/>
      <c r="L40" s="53"/>
      <c r="M40" s="53"/>
      <c r="N40" s="53"/>
      <c r="O40" s="53"/>
      <c r="P40" s="53"/>
      <c r="Q40" s="53"/>
      <c r="R40" s="53"/>
      <c r="S40" s="53"/>
      <c r="T40" s="53"/>
      <c r="U40" s="53"/>
      <c r="V40" s="53"/>
      <c r="W40" s="53"/>
      <c r="X40" s="53"/>
      <c r="Y40" s="53"/>
      <c r="Z40" s="53"/>
      <c r="AA40" s="53"/>
      <c r="AB40" s="53"/>
    </row>
    <row r="61" spans="29:29" x14ac:dyDescent="0.25">
      <c r="AC61" s="44" t="s">
        <v>97</v>
      </c>
    </row>
  </sheetData>
  <mergeCells count="7">
    <mergeCell ref="D32:AA32"/>
    <mergeCell ref="D2:AB2"/>
    <mergeCell ref="D3:AB3"/>
    <mergeCell ref="D4:AB4"/>
    <mergeCell ref="D5:AB5"/>
    <mergeCell ref="D30:AA30"/>
    <mergeCell ref="D31:AA31"/>
  </mergeCells>
  <pageMargins left="0.74803149606299202" right="0.74803149606299202" top="0.98425196850393704" bottom="0.98425196850393704" header="0.511811023622047" footer="0.511811023622047"/>
  <pageSetup paperSize="9" scale="5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36"/>
  <sheetViews>
    <sheetView showGridLines="0" view="pageBreakPreview" zoomScaleNormal="100" zoomScaleSheetLayoutView="100" workbookViewId="0">
      <selection activeCell="L5" sqref="L5"/>
    </sheetView>
  </sheetViews>
  <sheetFormatPr defaultColWidth="9.140625" defaultRowHeight="15" x14ac:dyDescent="0.2"/>
  <cols>
    <col min="1" max="1" width="3.7109375" style="1141" customWidth="1"/>
    <col min="2" max="2" width="14.42578125" style="1080" customWidth="1"/>
    <col min="3" max="3" width="3.28515625" style="1080" customWidth="1"/>
    <col min="4" max="4" width="41" style="1079" customWidth="1"/>
    <col min="5" max="13" width="9.28515625" style="1079" customWidth="1"/>
    <col min="14" max="19" width="9.28515625" style="1079" hidden="1" customWidth="1"/>
    <col min="20" max="20" width="9.28515625" style="1079" customWidth="1"/>
    <col min="21" max="259" width="9.140625" style="1079"/>
    <col min="260" max="260" width="3.7109375" style="1079" customWidth="1"/>
    <col min="261" max="261" width="14.42578125" style="1079" customWidth="1"/>
    <col min="262" max="262" width="3.7109375" style="1079" customWidth="1"/>
    <col min="263" max="263" width="20.85546875" style="1079" customWidth="1"/>
    <col min="264" max="279" width="9.28515625" style="1079" customWidth="1"/>
    <col min="280" max="515" width="9.140625" style="1079"/>
    <col min="516" max="516" width="3.7109375" style="1079" customWidth="1"/>
    <col min="517" max="517" width="14.42578125" style="1079" customWidth="1"/>
    <col min="518" max="518" width="3.7109375" style="1079" customWidth="1"/>
    <col min="519" max="519" width="20.85546875" style="1079" customWidth="1"/>
    <col min="520" max="535" width="9.28515625" style="1079" customWidth="1"/>
    <col min="536" max="771" width="9.140625" style="1079"/>
    <col min="772" max="772" width="3.7109375" style="1079" customWidth="1"/>
    <col min="773" max="773" width="14.42578125" style="1079" customWidth="1"/>
    <col min="774" max="774" width="3.7109375" style="1079" customWidth="1"/>
    <col min="775" max="775" width="20.85546875" style="1079" customWidth="1"/>
    <col min="776" max="791" width="9.28515625" style="1079" customWidth="1"/>
    <col min="792" max="1027" width="9.140625" style="1079"/>
    <col min="1028" max="1028" width="3.7109375" style="1079" customWidth="1"/>
    <col min="1029" max="1029" width="14.42578125" style="1079" customWidth="1"/>
    <col min="1030" max="1030" width="3.7109375" style="1079" customWidth="1"/>
    <col min="1031" max="1031" width="20.85546875" style="1079" customWidth="1"/>
    <col min="1032" max="1047" width="9.28515625" style="1079" customWidth="1"/>
    <col min="1048" max="1283" width="9.140625" style="1079"/>
    <col min="1284" max="1284" width="3.7109375" style="1079" customWidth="1"/>
    <col min="1285" max="1285" width="14.42578125" style="1079" customWidth="1"/>
    <col min="1286" max="1286" width="3.7109375" style="1079" customWidth="1"/>
    <col min="1287" max="1287" width="20.85546875" style="1079" customWidth="1"/>
    <col min="1288" max="1303" width="9.28515625" style="1079" customWidth="1"/>
    <col min="1304" max="1539" width="9.140625" style="1079"/>
    <col min="1540" max="1540" width="3.7109375" style="1079" customWidth="1"/>
    <col min="1541" max="1541" width="14.42578125" style="1079" customWidth="1"/>
    <col min="1542" max="1542" width="3.7109375" style="1079" customWidth="1"/>
    <col min="1543" max="1543" width="20.85546875" style="1079" customWidth="1"/>
    <col min="1544" max="1559" width="9.28515625" style="1079" customWidth="1"/>
    <col min="1560" max="1795" width="9.140625" style="1079"/>
    <col min="1796" max="1796" width="3.7109375" style="1079" customWidth="1"/>
    <col min="1797" max="1797" width="14.42578125" style="1079" customWidth="1"/>
    <col min="1798" max="1798" width="3.7109375" style="1079" customWidth="1"/>
    <col min="1799" max="1799" width="20.85546875" style="1079" customWidth="1"/>
    <col min="1800" max="1815" width="9.28515625" style="1079" customWidth="1"/>
    <col min="1816" max="2051" width="9.140625" style="1079"/>
    <col min="2052" max="2052" width="3.7109375" style="1079" customWidth="1"/>
    <col min="2053" max="2053" width="14.42578125" style="1079" customWidth="1"/>
    <col min="2054" max="2054" width="3.7109375" style="1079" customWidth="1"/>
    <col min="2055" max="2055" width="20.85546875" style="1079" customWidth="1"/>
    <col min="2056" max="2071" width="9.28515625" style="1079" customWidth="1"/>
    <col min="2072" max="2307" width="9.140625" style="1079"/>
    <col min="2308" max="2308" width="3.7109375" style="1079" customWidth="1"/>
    <col min="2309" max="2309" width="14.42578125" style="1079" customWidth="1"/>
    <col min="2310" max="2310" width="3.7109375" style="1079" customWidth="1"/>
    <col min="2311" max="2311" width="20.85546875" style="1079" customWidth="1"/>
    <col min="2312" max="2327" width="9.28515625" style="1079" customWidth="1"/>
    <col min="2328" max="2563" width="9.140625" style="1079"/>
    <col min="2564" max="2564" width="3.7109375" style="1079" customWidth="1"/>
    <col min="2565" max="2565" width="14.42578125" style="1079" customWidth="1"/>
    <col min="2566" max="2566" width="3.7109375" style="1079" customWidth="1"/>
    <col min="2567" max="2567" width="20.85546875" style="1079" customWidth="1"/>
    <col min="2568" max="2583" width="9.28515625" style="1079" customWidth="1"/>
    <col min="2584" max="2819" width="9.140625" style="1079"/>
    <col min="2820" max="2820" width="3.7109375" style="1079" customWidth="1"/>
    <col min="2821" max="2821" width="14.42578125" style="1079" customWidth="1"/>
    <col min="2822" max="2822" width="3.7109375" style="1079" customWidth="1"/>
    <col min="2823" max="2823" width="20.85546875" style="1079" customWidth="1"/>
    <col min="2824" max="2839" width="9.28515625" style="1079" customWidth="1"/>
    <col min="2840" max="3075" width="9.140625" style="1079"/>
    <col min="3076" max="3076" width="3.7109375" style="1079" customWidth="1"/>
    <col min="3077" max="3077" width="14.42578125" style="1079" customWidth="1"/>
    <col min="3078" max="3078" width="3.7109375" style="1079" customWidth="1"/>
    <col min="3079" max="3079" width="20.85546875" style="1079" customWidth="1"/>
    <col min="3080" max="3095" width="9.28515625" style="1079" customWidth="1"/>
    <col min="3096" max="3331" width="9.140625" style="1079"/>
    <col min="3332" max="3332" width="3.7109375" style="1079" customWidth="1"/>
    <col min="3333" max="3333" width="14.42578125" style="1079" customWidth="1"/>
    <col min="3334" max="3334" width="3.7109375" style="1079" customWidth="1"/>
    <col min="3335" max="3335" width="20.85546875" style="1079" customWidth="1"/>
    <col min="3336" max="3351" width="9.28515625" style="1079" customWidth="1"/>
    <col min="3352" max="3587" width="9.140625" style="1079"/>
    <col min="3588" max="3588" width="3.7109375" style="1079" customWidth="1"/>
    <col min="3589" max="3589" width="14.42578125" style="1079" customWidth="1"/>
    <col min="3590" max="3590" width="3.7109375" style="1079" customWidth="1"/>
    <col min="3591" max="3591" width="20.85546875" style="1079" customWidth="1"/>
    <col min="3592" max="3607" width="9.28515625" style="1079" customWidth="1"/>
    <col min="3608" max="3843" width="9.140625" style="1079"/>
    <col min="3844" max="3844" width="3.7109375" style="1079" customWidth="1"/>
    <col min="3845" max="3845" width="14.42578125" style="1079" customWidth="1"/>
    <col min="3846" max="3846" width="3.7109375" style="1079" customWidth="1"/>
    <col min="3847" max="3847" width="20.85546875" style="1079" customWidth="1"/>
    <col min="3848" max="3863" width="9.28515625" style="1079" customWidth="1"/>
    <col min="3864" max="4099" width="9.140625" style="1079"/>
    <col min="4100" max="4100" width="3.7109375" style="1079" customWidth="1"/>
    <col min="4101" max="4101" width="14.42578125" style="1079" customWidth="1"/>
    <col min="4102" max="4102" width="3.7109375" style="1079" customWidth="1"/>
    <col min="4103" max="4103" width="20.85546875" style="1079" customWidth="1"/>
    <col min="4104" max="4119" width="9.28515625" style="1079" customWidth="1"/>
    <col min="4120" max="4355" width="9.140625" style="1079"/>
    <col min="4356" max="4356" width="3.7109375" style="1079" customWidth="1"/>
    <col min="4357" max="4357" width="14.42578125" style="1079" customWidth="1"/>
    <col min="4358" max="4358" width="3.7109375" style="1079" customWidth="1"/>
    <col min="4359" max="4359" width="20.85546875" style="1079" customWidth="1"/>
    <col min="4360" max="4375" width="9.28515625" style="1079" customWidth="1"/>
    <col min="4376" max="4611" width="9.140625" style="1079"/>
    <col min="4612" max="4612" width="3.7109375" style="1079" customWidth="1"/>
    <col min="4613" max="4613" width="14.42578125" style="1079" customWidth="1"/>
    <col min="4614" max="4614" width="3.7109375" style="1079" customWidth="1"/>
    <col min="4615" max="4615" width="20.85546875" style="1079" customWidth="1"/>
    <col min="4616" max="4631" width="9.28515625" style="1079" customWidth="1"/>
    <col min="4632" max="4867" width="9.140625" style="1079"/>
    <col min="4868" max="4868" width="3.7109375" style="1079" customWidth="1"/>
    <col min="4869" max="4869" width="14.42578125" style="1079" customWidth="1"/>
    <col min="4870" max="4870" width="3.7109375" style="1079" customWidth="1"/>
    <col min="4871" max="4871" width="20.85546875" style="1079" customWidth="1"/>
    <col min="4872" max="4887" width="9.28515625" style="1079" customWidth="1"/>
    <col min="4888" max="5123" width="9.140625" style="1079"/>
    <col min="5124" max="5124" width="3.7109375" style="1079" customWidth="1"/>
    <col min="5125" max="5125" width="14.42578125" style="1079" customWidth="1"/>
    <col min="5126" max="5126" width="3.7109375" style="1079" customWidth="1"/>
    <col min="5127" max="5127" width="20.85546875" style="1079" customWidth="1"/>
    <col min="5128" max="5143" width="9.28515625" style="1079" customWidth="1"/>
    <col min="5144" max="5379" width="9.140625" style="1079"/>
    <col min="5380" max="5380" width="3.7109375" style="1079" customWidth="1"/>
    <col min="5381" max="5381" width="14.42578125" style="1079" customWidth="1"/>
    <col min="5382" max="5382" width="3.7109375" style="1079" customWidth="1"/>
    <col min="5383" max="5383" width="20.85546875" style="1079" customWidth="1"/>
    <col min="5384" max="5399" width="9.28515625" style="1079" customWidth="1"/>
    <col min="5400" max="5635" width="9.140625" style="1079"/>
    <col min="5636" max="5636" width="3.7109375" style="1079" customWidth="1"/>
    <col min="5637" max="5637" width="14.42578125" style="1079" customWidth="1"/>
    <col min="5638" max="5638" width="3.7109375" style="1079" customWidth="1"/>
    <col min="5639" max="5639" width="20.85546875" style="1079" customWidth="1"/>
    <col min="5640" max="5655" width="9.28515625" style="1079" customWidth="1"/>
    <col min="5656" max="5891" width="9.140625" style="1079"/>
    <col min="5892" max="5892" width="3.7109375" style="1079" customWidth="1"/>
    <col min="5893" max="5893" width="14.42578125" style="1079" customWidth="1"/>
    <col min="5894" max="5894" width="3.7109375" style="1079" customWidth="1"/>
    <col min="5895" max="5895" width="20.85546875" style="1079" customWidth="1"/>
    <col min="5896" max="5911" width="9.28515625" style="1079" customWidth="1"/>
    <col min="5912" max="6147" width="9.140625" style="1079"/>
    <col min="6148" max="6148" width="3.7109375" style="1079" customWidth="1"/>
    <col min="6149" max="6149" width="14.42578125" style="1079" customWidth="1"/>
    <col min="6150" max="6150" width="3.7109375" style="1079" customWidth="1"/>
    <col min="6151" max="6151" width="20.85546875" style="1079" customWidth="1"/>
    <col min="6152" max="6167" width="9.28515625" style="1079" customWidth="1"/>
    <col min="6168" max="6403" width="9.140625" style="1079"/>
    <col min="6404" max="6404" width="3.7109375" style="1079" customWidth="1"/>
    <col min="6405" max="6405" width="14.42578125" style="1079" customWidth="1"/>
    <col min="6406" max="6406" width="3.7109375" style="1079" customWidth="1"/>
    <col min="6407" max="6407" width="20.85546875" style="1079" customWidth="1"/>
    <col min="6408" max="6423" width="9.28515625" style="1079" customWidth="1"/>
    <col min="6424" max="6659" width="9.140625" style="1079"/>
    <col min="6660" max="6660" width="3.7109375" style="1079" customWidth="1"/>
    <col min="6661" max="6661" width="14.42578125" style="1079" customWidth="1"/>
    <col min="6662" max="6662" width="3.7109375" style="1079" customWidth="1"/>
    <col min="6663" max="6663" width="20.85546875" style="1079" customWidth="1"/>
    <col min="6664" max="6679" width="9.28515625" style="1079" customWidth="1"/>
    <col min="6680" max="6915" width="9.140625" style="1079"/>
    <col min="6916" max="6916" width="3.7109375" style="1079" customWidth="1"/>
    <col min="6917" max="6917" width="14.42578125" style="1079" customWidth="1"/>
    <col min="6918" max="6918" width="3.7109375" style="1079" customWidth="1"/>
    <col min="6919" max="6919" width="20.85546875" style="1079" customWidth="1"/>
    <col min="6920" max="6935" width="9.28515625" style="1079" customWidth="1"/>
    <col min="6936" max="7171" width="9.140625" style="1079"/>
    <col min="7172" max="7172" width="3.7109375" style="1079" customWidth="1"/>
    <col min="7173" max="7173" width="14.42578125" style="1079" customWidth="1"/>
    <col min="7174" max="7174" width="3.7109375" style="1079" customWidth="1"/>
    <col min="7175" max="7175" width="20.85546875" style="1079" customWidth="1"/>
    <col min="7176" max="7191" width="9.28515625" style="1079" customWidth="1"/>
    <col min="7192" max="7427" width="9.140625" style="1079"/>
    <col min="7428" max="7428" width="3.7109375" style="1079" customWidth="1"/>
    <col min="7429" max="7429" width="14.42578125" style="1079" customWidth="1"/>
    <col min="7430" max="7430" width="3.7109375" style="1079" customWidth="1"/>
    <col min="7431" max="7431" width="20.85546875" style="1079" customWidth="1"/>
    <col min="7432" max="7447" width="9.28515625" style="1079" customWidth="1"/>
    <col min="7448" max="7683" width="9.140625" style="1079"/>
    <col min="7684" max="7684" width="3.7109375" style="1079" customWidth="1"/>
    <col min="7685" max="7685" width="14.42578125" style="1079" customWidth="1"/>
    <col min="7686" max="7686" width="3.7109375" style="1079" customWidth="1"/>
    <col min="7687" max="7687" width="20.85546875" style="1079" customWidth="1"/>
    <col min="7688" max="7703" width="9.28515625" style="1079" customWidth="1"/>
    <col min="7704" max="7939" width="9.140625" style="1079"/>
    <col min="7940" max="7940" width="3.7109375" style="1079" customWidth="1"/>
    <col min="7941" max="7941" width="14.42578125" style="1079" customWidth="1"/>
    <col min="7942" max="7942" width="3.7109375" style="1079" customWidth="1"/>
    <col min="7943" max="7943" width="20.85546875" style="1079" customWidth="1"/>
    <col min="7944" max="7959" width="9.28515625" style="1079" customWidth="1"/>
    <col min="7960" max="8195" width="9.140625" style="1079"/>
    <col min="8196" max="8196" width="3.7109375" style="1079" customWidth="1"/>
    <col min="8197" max="8197" width="14.42578125" style="1079" customWidth="1"/>
    <col min="8198" max="8198" width="3.7109375" style="1079" customWidth="1"/>
    <col min="8199" max="8199" width="20.85546875" style="1079" customWidth="1"/>
    <col min="8200" max="8215" width="9.28515625" style="1079" customWidth="1"/>
    <col min="8216" max="8451" width="9.140625" style="1079"/>
    <col min="8452" max="8452" width="3.7109375" style="1079" customWidth="1"/>
    <col min="8453" max="8453" width="14.42578125" style="1079" customWidth="1"/>
    <col min="8454" max="8454" width="3.7109375" style="1079" customWidth="1"/>
    <col min="8455" max="8455" width="20.85546875" style="1079" customWidth="1"/>
    <col min="8456" max="8471" width="9.28515625" style="1079" customWidth="1"/>
    <col min="8472" max="8707" width="9.140625" style="1079"/>
    <col min="8708" max="8708" width="3.7109375" style="1079" customWidth="1"/>
    <col min="8709" max="8709" width="14.42578125" style="1079" customWidth="1"/>
    <col min="8710" max="8710" width="3.7109375" style="1079" customWidth="1"/>
    <col min="8711" max="8711" width="20.85546875" style="1079" customWidth="1"/>
    <col min="8712" max="8727" width="9.28515625" style="1079" customWidth="1"/>
    <col min="8728" max="8963" width="9.140625" style="1079"/>
    <col min="8964" max="8964" width="3.7109375" style="1079" customWidth="1"/>
    <col min="8965" max="8965" width="14.42578125" style="1079" customWidth="1"/>
    <col min="8966" max="8966" width="3.7109375" style="1079" customWidth="1"/>
    <col min="8967" max="8967" width="20.85546875" style="1079" customWidth="1"/>
    <col min="8968" max="8983" width="9.28515625" style="1079" customWidth="1"/>
    <col min="8984" max="9219" width="9.140625" style="1079"/>
    <col min="9220" max="9220" width="3.7109375" style="1079" customWidth="1"/>
    <col min="9221" max="9221" width="14.42578125" style="1079" customWidth="1"/>
    <col min="9222" max="9222" width="3.7109375" style="1079" customWidth="1"/>
    <col min="9223" max="9223" width="20.85546875" style="1079" customWidth="1"/>
    <col min="9224" max="9239" width="9.28515625" style="1079" customWidth="1"/>
    <col min="9240" max="9475" width="9.140625" style="1079"/>
    <col min="9476" max="9476" width="3.7109375" style="1079" customWidth="1"/>
    <col min="9477" max="9477" width="14.42578125" style="1079" customWidth="1"/>
    <col min="9478" max="9478" width="3.7109375" style="1079" customWidth="1"/>
    <col min="9479" max="9479" width="20.85546875" style="1079" customWidth="1"/>
    <col min="9480" max="9495" width="9.28515625" style="1079" customWidth="1"/>
    <col min="9496" max="9731" width="9.140625" style="1079"/>
    <col min="9732" max="9732" width="3.7109375" style="1079" customWidth="1"/>
    <col min="9733" max="9733" width="14.42578125" style="1079" customWidth="1"/>
    <col min="9734" max="9734" width="3.7109375" style="1079" customWidth="1"/>
    <col min="9735" max="9735" width="20.85546875" style="1079" customWidth="1"/>
    <col min="9736" max="9751" width="9.28515625" style="1079" customWidth="1"/>
    <col min="9752" max="9987" width="9.140625" style="1079"/>
    <col min="9988" max="9988" width="3.7109375" style="1079" customWidth="1"/>
    <col min="9989" max="9989" width="14.42578125" style="1079" customWidth="1"/>
    <col min="9990" max="9990" width="3.7109375" style="1079" customWidth="1"/>
    <col min="9991" max="9991" width="20.85546875" style="1079" customWidth="1"/>
    <col min="9992" max="10007" width="9.28515625" style="1079" customWidth="1"/>
    <col min="10008" max="10243" width="9.140625" style="1079"/>
    <col min="10244" max="10244" width="3.7109375" style="1079" customWidth="1"/>
    <col min="10245" max="10245" width="14.42578125" style="1079" customWidth="1"/>
    <col min="10246" max="10246" width="3.7109375" style="1079" customWidth="1"/>
    <col min="10247" max="10247" width="20.85546875" style="1079" customWidth="1"/>
    <col min="10248" max="10263" width="9.28515625" style="1079" customWidth="1"/>
    <col min="10264" max="10499" width="9.140625" style="1079"/>
    <col min="10500" max="10500" width="3.7109375" style="1079" customWidth="1"/>
    <col min="10501" max="10501" width="14.42578125" style="1079" customWidth="1"/>
    <col min="10502" max="10502" width="3.7109375" style="1079" customWidth="1"/>
    <col min="10503" max="10503" width="20.85546875" style="1079" customWidth="1"/>
    <col min="10504" max="10519" width="9.28515625" style="1079" customWidth="1"/>
    <col min="10520" max="10755" width="9.140625" style="1079"/>
    <col min="10756" max="10756" width="3.7109375" style="1079" customWidth="1"/>
    <col min="10757" max="10757" width="14.42578125" style="1079" customWidth="1"/>
    <col min="10758" max="10758" width="3.7109375" style="1079" customWidth="1"/>
    <col min="10759" max="10759" width="20.85546875" style="1079" customWidth="1"/>
    <col min="10760" max="10775" width="9.28515625" style="1079" customWidth="1"/>
    <col min="10776" max="11011" width="9.140625" style="1079"/>
    <col min="11012" max="11012" width="3.7109375" style="1079" customWidth="1"/>
    <col min="11013" max="11013" width="14.42578125" style="1079" customWidth="1"/>
    <col min="11014" max="11014" width="3.7109375" style="1079" customWidth="1"/>
    <col min="11015" max="11015" width="20.85546875" style="1079" customWidth="1"/>
    <col min="11016" max="11031" width="9.28515625" style="1079" customWidth="1"/>
    <col min="11032" max="11267" width="9.140625" style="1079"/>
    <col min="11268" max="11268" width="3.7109375" style="1079" customWidth="1"/>
    <col min="11269" max="11269" width="14.42578125" style="1079" customWidth="1"/>
    <col min="11270" max="11270" width="3.7109375" style="1079" customWidth="1"/>
    <col min="11271" max="11271" width="20.85546875" style="1079" customWidth="1"/>
    <col min="11272" max="11287" width="9.28515625" style="1079" customWidth="1"/>
    <col min="11288" max="11523" width="9.140625" style="1079"/>
    <col min="11524" max="11524" width="3.7109375" style="1079" customWidth="1"/>
    <col min="11525" max="11525" width="14.42578125" style="1079" customWidth="1"/>
    <col min="11526" max="11526" width="3.7109375" style="1079" customWidth="1"/>
    <col min="11527" max="11527" width="20.85546875" style="1079" customWidth="1"/>
    <col min="11528" max="11543" width="9.28515625" style="1079" customWidth="1"/>
    <col min="11544" max="11779" width="9.140625" style="1079"/>
    <col min="11780" max="11780" width="3.7109375" style="1079" customWidth="1"/>
    <col min="11781" max="11781" width="14.42578125" style="1079" customWidth="1"/>
    <col min="11782" max="11782" width="3.7109375" style="1079" customWidth="1"/>
    <col min="11783" max="11783" width="20.85546875" style="1079" customWidth="1"/>
    <col min="11784" max="11799" width="9.28515625" style="1079" customWidth="1"/>
    <col min="11800" max="12035" width="9.140625" style="1079"/>
    <col min="12036" max="12036" width="3.7109375" style="1079" customWidth="1"/>
    <col min="12037" max="12037" width="14.42578125" style="1079" customWidth="1"/>
    <col min="12038" max="12038" width="3.7109375" style="1079" customWidth="1"/>
    <col min="12039" max="12039" width="20.85546875" style="1079" customWidth="1"/>
    <col min="12040" max="12055" width="9.28515625" style="1079" customWidth="1"/>
    <col min="12056" max="12291" width="9.140625" style="1079"/>
    <col min="12292" max="12292" width="3.7109375" style="1079" customWidth="1"/>
    <col min="12293" max="12293" width="14.42578125" style="1079" customWidth="1"/>
    <col min="12294" max="12294" width="3.7109375" style="1079" customWidth="1"/>
    <col min="12295" max="12295" width="20.85546875" style="1079" customWidth="1"/>
    <col min="12296" max="12311" width="9.28515625" style="1079" customWidth="1"/>
    <col min="12312" max="12547" width="9.140625" style="1079"/>
    <col min="12548" max="12548" width="3.7109375" style="1079" customWidth="1"/>
    <col min="12549" max="12549" width="14.42578125" style="1079" customWidth="1"/>
    <col min="12550" max="12550" width="3.7109375" style="1079" customWidth="1"/>
    <col min="12551" max="12551" width="20.85546875" style="1079" customWidth="1"/>
    <col min="12552" max="12567" width="9.28515625" style="1079" customWidth="1"/>
    <col min="12568" max="12803" width="9.140625" style="1079"/>
    <col min="12804" max="12804" width="3.7109375" style="1079" customWidth="1"/>
    <col min="12805" max="12805" width="14.42578125" style="1079" customWidth="1"/>
    <col min="12806" max="12806" width="3.7109375" style="1079" customWidth="1"/>
    <col min="12807" max="12807" width="20.85546875" style="1079" customWidth="1"/>
    <col min="12808" max="12823" width="9.28515625" style="1079" customWidth="1"/>
    <col min="12824" max="13059" width="9.140625" style="1079"/>
    <col min="13060" max="13060" width="3.7109375" style="1079" customWidth="1"/>
    <col min="13061" max="13061" width="14.42578125" style="1079" customWidth="1"/>
    <col min="13062" max="13062" width="3.7109375" style="1079" customWidth="1"/>
    <col min="13063" max="13063" width="20.85546875" style="1079" customWidth="1"/>
    <col min="13064" max="13079" width="9.28515625" style="1079" customWidth="1"/>
    <col min="13080" max="13315" width="9.140625" style="1079"/>
    <col min="13316" max="13316" width="3.7109375" style="1079" customWidth="1"/>
    <col min="13317" max="13317" width="14.42578125" style="1079" customWidth="1"/>
    <col min="13318" max="13318" width="3.7109375" style="1079" customWidth="1"/>
    <col min="13319" max="13319" width="20.85546875" style="1079" customWidth="1"/>
    <col min="13320" max="13335" width="9.28515625" style="1079" customWidth="1"/>
    <col min="13336" max="13571" width="9.140625" style="1079"/>
    <col min="13572" max="13572" width="3.7109375" style="1079" customWidth="1"/>
    <col min="13573" max="13573" width="14.42578125" style="1079" customWidth="1"/>
    <col min="13574" max="13574" width="3.7109375" style="1079" customWidth="1"/>
    <col min="13575" max="13575" width="20.85546875" style="1079" customWidth="1"/>
    <col min="13576" max="13591" width="9.28515625" style="1079" customWidth="1"/>
    <col min="13592" max="13827" width="9.140625" style="1079"/>
    <col min="13828" max="13828" width="3.7109375" style="1079" customWidth="1"/>
    <col min="13829" max="13829" width="14.42578125" style="1079" customWidth="1"/>
    <col min="13830" max="13830" width="3.7109375" style="1079" customWidth="1"/>
    <col min="13831" max="13831" width="20.85546875" style="1079" customWidth="1"/>
    <col min="13832" max="13847" width="9.28515625" style="1079" customWidth="1"/>
    <col min="13848" max="14083" width="9.140625" style="1079"/>
    <col min="14084" max="14084" width="3.7109375" style="1079" customWidth="1"/>
    <col min="14085" max="14085" width="14.42578125" style="1079" customWidth="1"/>
    <col min="14086" max="14086" width="3.7109375" style="1079" customWidth="1"/>
    <col min="14087" max="14087" width="20.85546875" style="1079" customWidth="1"/>
    <col min="14088" max="14103" width="9.28515625" style="1079" customWidth="1"/>
    <col min="14104" max="14339" width="9.140625" style="1079"/>
    <col min="14340" max="14340" width="3.7109375" style="1079" customWidth="1"/>
    <col min="14341" max="14341" width="14.42578125" style="1079" customWidth="1"/>
    <col min="14342" max="14342" width="3.7109375" style="1079" customWidth="1"/>
    <col min="14343" max="14343" width="20.85546875" style="1079" customWidth="1"/>
    <col min="14344" max="14359" width="9.28515625" style="1079" customWidth="1"/>
    <col min="14360" max="14595" width="9.140625" style="1079"/>
    <col min="14596" max="14596" width="3.7109375" style="1079" customWidth="1"/>
    <col min="14597" max="14597" width="14.42578125" style="1079" customWidth="1"/>
    <col min="14598" max="14598" width="3.7109375" style="1079" customWidth="1"/>
    <col min="14599" max="14599" width="20.85546875" style="1079" customWidth="1"/>
    <col min="14600" max="14615" width="9.28515625" style="1079" customWidth="1"/>
    <col min="14616" max="14851" width="9.140625" style="1079"/>
    <col min="14852" max="14852" width="3.7109375" style="1079" customWidth="1"/>
    <col min="14853" max="14853" width="14.42578125" style="1079" customWidth="1"/>
    <col min="14854" max="14854" width="3.7109375" style="1079" customWidth="1"/>
    <col min="14855" max="14855" width="20.85546875" style="1079" customWidth="1"/>
    <col min="14856" max="14871" width="9.28515625" style="1079" customWidth="1"/>
    <col min="14872" max="15107" width="9.140625" style="1079"/>
    <col min="15108" max="15108" width="3.7109375" style="1079" customWidth="1"/>
    <col min="15109" max="15109" width="14.42578125" style="1079" customWidth="1"/>
    <col min="15110" max="15110" width="3.7109375" style="1079" customWidth="1"/>
    <col min="15111" max="15111" width="20.85546875" style="1079" customWidth="1"/>
    <col min="15112" max="15127" width="9.28515625" style="1079" customWidth="1"/>
    <col min="15128" max="15363" width="9.140625" style="1079"/>
    <col min="15364" max="15364" width="3.7109375" style="1079" customWidth="1"/>
    <col min="15365" max="15365" width="14.42578125" style="1079" customWidth="1"/>
    <col min="15366" max="15366" width="3.7109375" style="1079" customWidth="1"/>
    <col min="15367" max="15367" width="20.85546875" style="1079" customWidth="1"/>
    <col min="15368" max="15383" width="9.28515625" style="1079" customWidth="1"/>
    <col min="15384" max="15619" width="9.140625" style="1079"/>
    <col min="15620" max="15620" width="3.7109375" style="1079" customWidth="1"/>
    <col min="15621" max="15621" width="14.42578125" style="1079" customWidth="1"/>
    <col min="15622" max="15622" width="3.7109375" style="1079" customWidth="1"/>
    <col min="15623" max="15623" width="20.85546875" style="1079" customWidth="1"/>
    <col min="15624" max="15639" width="9.28515625" style="1079" customWidth="1"/>
    <col min="15640" max="15875" width="9.140625" style="1079"/>
    <col min="15876" max="15876" width="3.7109375" style="1079" customWidth="1"/>
    <col min="15877" max="15877" width="14.42578125" style="1079" customWidth="1"/>
    <col min="15878" max="15878" width="3.7109375" style="1079" customWidth="1"/>
    <col min="15879" max="15879" width="20.85546875" style="1079" customWidth="1"/>
    <col min="15880" max="15895" width="9.28515625" style="1079" customWidth="1"/>
    <col min="15896" max="16131" width="9.140625" style="1079"/>
    <col min="16132" max="16132" width="3.7109375" style="1079" customWidth="1"/>
    <col min="16133" max="16133" width="14.42578125" style="1079" customWidth="1"/>
    <col min="16134" max="16134" width="3.7109375" style="1079" customWidth="1"/>
    <col min="16135" max="16135" width="20.85546875" style="1079" customWidth="1"/>
    <col min="16136" max="16151" width="9.28515625" style="1079" customWidth="1"/>
    <col min="16152" max="16384" width="9.140625" style="1079"/>
  </cols>
  <sheetData>
    <row r="1" spans="1:29" ht="14.25" customHeight="1" x14ac:dyDescent="0.2">
      <c r="A1" s="782"/>
      <c r="B1" s="1000"/>
      <c r="C1" s="1000"/>
      <c r="D1" s="1059"/>
      <c r="E1" s="1059"/>
      <c r="F1" s="1059"/>
      <c r="G1" s="1059"/>
      <c r="H1" s="1059"/>
      <c r="I1" s="1059"/>
      <c r="J1" s="1059"/>
      <c r="K1" s="1059"/>
      <c r="L1" s="1059"/>
      <c r="M1" s="1059"/>
      <c r="N1" s="1059"/>
      <c r="O1" s="1059"/>
      <c r="P1" s="1059"/>
      <c r="Q1" s="1078"/>
      <c r="R1" s="1078"/>
    </row>
    <row r="2" spans="1:29" ht="14.25" customHeight="1" x14ac:dyDescent="0.2">
      <c r="A2" s="782">
        <v>1</v>
      </c>
      <c r="B2" s="782" t="s">
        <v>0</v>
      </c>
      <c r="C2" s="782">
        <f>1+'Matric pass rate'!C2</f>
        <v>45</v>
      </c>
      <c r="D2" s="4097" t="s">
        <v>1799</v>
      </c>
      <c r="E2" s="4098"/>
      <c r="F2" s="4098"/>
      <c r="G2" s="4098"/>
      <c r="H2" s="4098"/>
      <c r="I2" s="4098"/>
      <c r="J2" s="4098"/>
      <c r="K2" s="4098"/>
      <c r="L2" s="4098"/>
      <c r="M2" s="4098"/>
      <c r="N2" s="4098"/>
      <c r="O2" s="4098"/>
      <c r="P2" s="4098"/>
      <c r="Q2" s="4098"/>
      <c r="R2" s="4098"/>
      <c r="S2" s="4098"/>
      <c r="T2" s="4098"/>
      <c r="U2" s="4098"/>
      <c r="V2" s="4098"/>
      <c r="W2" s="4098"/>
      <c r="X2" s="4098"/>
      <c r="Y2" s="4098"/>
      <c r="Z2" s="4098"/>
      <c r="AA2" s="4099"/>
    </row>
    <row r="3" spans="1:29" ht="14.25" customHeight="1" x14ac:dyDescent="0.2">
      <c r="A3" s="782">
        <v>2</v>
      </c>
      <c r="B3" s="782" t="s">
        <v>2</v>
      </c>
      <c r="C3" s="782"/>
      <c r="D3" s="4097" t="s">
        <v>402</v>
      </c>
      <c r="E3" s="4098"/>
      <c r="F3" s="4098"/>
      <c r="G3" s="4098"/>
      <c r="H3" s="4098"/>
      <c r="I3" s="4098"/>
      <c r="J3" s="4098"/>
      <c r="K3" s="4098"/>
      <c r="L3" s="4098"/>
      <c r="M3" s="4098"/>
      <c r="N3" s="4098"/>
      <c r="O3" s="4098"/>
      <c r="P3" s="4098"/>
      <c r="Q3" s="4098"/>
      <c r="R3" s="4098"/>
      <c r="S3" s="4098"/>
      <c r="T3" s="4098"/>
      <c r="U3" s="4098"/>
      <c r="V3" s="4098"/>
      <c r="W3" s="4098"/>
      <c r="X3" s="4098"/>
      <c r="Y3" s="4098"/>
      <c r="Z3" s="4098"/>
      <c r="AA3" s="4099"/>
    </row>
    <row r="4" spans="1:29" ht="14.25" customHeight="1" x14ac:dyDescent="0.2">
      <c r="A4" s="782">
        <v>3</v>
      </c>
      <c r="B4" s="782" t="s">
        <v>4</v>
      </c>
      <c r="C4" s="782"/>
      <c r="D4" s="4097" t="s">
        <v>486</v>
      </c>
      <c r="E4" s="4098"/>
      <c r="F4" s="4098"/>
      <c r="G4" s="4098"/>
      <c r="H4" s="4098"/>
      <c r="I4" s="4098"/>
      <c r="J4" s="4098"/>
      <c r="K4" s="4098"/>
      <c r="L4" s="4098"/>
      <c r="M4" s="4098"/>
      <c r="N4" s="4098"/>
      <c r="O4" s="4098"/>
      <c r="P4" s="4098"/>
      <c r="Q4" s="4098"/>
      <c r="R4" s="4098"/>
      <c r="S4" s="4098"/>
      <c r="T4" s="4098"/>
      <c r="U4" s="4098"/>
      <c r="V4" s="4098"/>
      <c r="W4" s="4098"/>
      <c r="X4" s="4098"/>
      <c r="Y4" s="4098"/>
      <c r="Z4" s="4098"/>
      <c r="AA4" s="4099"/>
    </row>
    <row r="5" spans="1:29" ht="14.25" customHeight="1" x14ac:dyDescent="0.2">
      <c r="A5" s="782"/>
      <c r="B5" s="782"/>
      <c r="C5" s="1079"/>
      <c r="D5" s="325"/>
      <c r="E5" s="325"/>
      <c r="F5" s="325"/>
      <c r="G5" s="325"/>
      <c r="H5" s="325"/>
      <c r="I5" s="325"/>
      <c r="J5" s="325"/>
      <c r="K5" s="325"/>
      <c r="L5" s="325"/>
      <c r="M5" s="325"/>
      <c r="N5" s="325"/>
      <c r="O5" s="325"/>
      <c r="P5" s="325"/>
      <c r="Q5" s="325"/>
      <c r="R5" s="325"/>
      <c r="S5" s="325"/>
      <c r="T5" s="325"/>
      <c r="U5" s="325"/>
      <c r="V5" s="325"/>
      <c r="W5" s="325"/>
      <c r="X5" s="325"/>
      <c r="Y5" s="325"/>
      <c r="Z5" s="325"/>
      <c r="AA5" s="325"/>
    </row>
    <row r="6" spans="1:29" ht="14.25" customHeight="1" x14ac:dyDescent="0.2">
      <c r="A6" s="1079"/>
      <c r="B6" s="1079"/>
      <c r="C6" s="782"/>
      <c r="D6" s="196"/>
      <c r="E6" s="196"/>
      <c r="F6" s="196"/>
      <c r="G6" s="196"/>
      <c r="H6" s="196"/>
      <c r="I6" s="196"/>
      <c r="J6" s="196"/>
      <c r="K6" s="196"/>
      <c r="L6" s="196"/>
      <c r="M6" s="196"/>
      <c r="N6" s="196"/>
      <c r="O6" s="96"/>
      <c r="P6" s="96"/>
      <c r="Q6" s="1143"/>
      <c r="R6" s="1143"/>
    </row>
    <row r="7" spans="1:29" s="74" customFormat="1" ht="11.25" customHeight="1" x14ac:dyDescent="0.2">
      <c r="A7" s="782">
        <v>4</v>
      </c>
      <c r="B7" s="782" t="s">
        <v>5</v>
      </c>
      <c r="C7" s="1082"/>
      <c r="D7" s="123" t="s">
        <v>112</v>
      </c>
      <c r="E7" s="123" t="str">
        <f>D2</f>
        <v>Number of candidates for the National Senior Certficate examinations with mathematics and physical science passes</v>
      </c>
      <c r="F7" s="123"/>
      <c r="G7" s="123"/>
      <c r="H7" s="123"/>
      <c r="I7" s="123"/>
      <c r="J7" s="123"/>
      <c r="K7" s="123"/>
      <c r="L7" s="123"/>
      <c r="M7" s="148"/>
      <c r="N7" s="148"/>
      <c r="O7" s="148"/>
      <c r="P7" s="148"/>
      <c r="Q7" s="139"/>
      <c r="R7" s="139"/>
      <c r="S7" s="203"/>
      <c r="T7" s="203"/>
    </row>
    <row r="8" spans="1:29" s="74" customFormat="1" ht="12.75" customHeight="1" x14ac:dyDescent="0.25">
      <c r="A8" s="1083"/>
      <c r="B8" s="1082"/>
      <c r="C8" s="1082"/>
      <c r="D8" s="1144"/>
      <c r="E8" s="1145">
        <v>1995</v>
      </c>
      <c r="F8" s="1145">
        <v>1996</v>
      </c>
      <c r="G8" s="1145">
        <v>1997</v>
      </c>
      <c r="H8" s="1145">
        <v>1998</v>
      </c>
      <c r="I8" s="1145">
        <v>1999</v>
      </c>
      <c r="J8" s="1145">
        <v>2000</v>
      </c>
      <c r="K8" s="1145">
        <v>2001</v>
      </c>
      <c r="L8" s="1145">
        <v>2002</v>
      </c>
      <c r="M8" s="1145">
        <v>2003</v>
      </c>
      <c r="N8" s="1145">
        <v>2004</v>
      </c>
      <c r="O8" s="1145">
        <v>2005</v>
      </c>
      <c r="P8" s="1145">
        <v>2006</v>
      </c>
      <c r="Q8" s="1145">
        <v>2007</v>
      </c>
      <c r="R8" s="1145">
        <v>2008</v>
      </c>
      <c r="S8" s="1145">
        <v>2009</v>
      </c>
      <c r="T8" s="908">
        <v>2010</v>
      </c>
      <c r="U8" s="908">
        <v>2011</v>
      </c>
      <c r="V8" s="908">
        <v>2012</v>
      </c>
      <c r="W8" s="908">
        <v>2013</v>
      </c>
      <c r="X8" s="908">
        <v>2014</v>
      </c>
      <c r="Y8" s="908">
        <v>2015</v>
      </c>
      <c r="Z8" s="908">
        <v>2016</v>
      </c>
      <c r="AA8" s="910">
        <v>2017</v>
      </c>
      <c r="AB8" s="949"/>
      <c r="AC8" s="949"/>
    </row>
    <row r="9" spans="1:29" s="74" customFormat="1" ht="13.5" customHeight="1" x14ac:dyDescent="0.25">
      <c r="A9" s="1083"/>
      <c r="B9" s="1082"/>
      <c r="C9" s="1082"/>
      <c r="D9" s="138" t="s">
        <v>487</v>
      </c>
      <c r="E9" s="1146"/>
      <c r="F9" s="1146"/>
      <c r="G9" s="1146"/>
      <c r="H9" s="1146"/>
      <c r="I9" s="1146"/>
      <c r="J9" s="1146"/>
      <c r="K9" s="1146"/>
      <c r="L9" s="1146"/>
      <c r="M9" s="1147"/>
      <c r="N9" s="1148"/>
      <c r="O9" s="52"/>
      <c r="P9" s="1149"/>
      <c r="Q9" s="1146"/>
      <c r="R9" s="1150">
        <v>136184</v>
      </c>
      <c r="S9" s="1151">
        <v>133505</v>
      </c>
      <c r="T9" s="1152">
        <v>124749</v>
      </c>
      <c r="U9" s="1152">
        <v>104033</v>
      </c>
      <c r="V9" s="1152">
        <v>121970</v>
      </c>
      <c r="W9" s="1152">
        <v>142666</v>
      </c>
      <c r="X9" s="1152">
        <v>120523</v>
      </c>
      <c r="Y9" s="1152">
        <v>129481</v>
      </c>
      <c r="Z9" s="1152">
        <v>135958</v>
      </c>
      <c r="AA9" s="1153">
        <v>127197</v>
      </c>
      <c r="AB9" s="1154"/>
      <c r="AC9" s="1154"/>
    </row>
    <row r="10" spans="1:29" s="1164" customFormat="1" ht="13.5" customHeight="1" x14ac:dyDescent="0.25">
      <c r="A10" s="1155"/>
      <c r="B10" s="1156"/>
      <c r="C10" s="1156"/>
      <c r="D10" s="1157" t="s">
        <v>488</v>
      </c>
      <c r="E10" s="1158"/>
      <c r="F10" s="1158"/>
      <c r="G10" s="1158"/>
      <c r="H10" s="1158"/>
      <c r="I10" s="1158"/>
      <c r="J10" s="1158"/>
      <c r="K10" s="1158"/>
      <c r="L10" s="1158"/>
      <c r="M10" s="1159"/>
      <c r="N10" s="1160"/>
      <c r="O10" s="1161"/>
      <c r="P10" s="1162"/>
      <c r="Q10" s="1158"/>
      <c r="R10" s="1151">
        <v>62388</v>
      </c>
      <c r="S10" s="1151">
        <v>52866</v>
      </c>
      <c r="T10" s="1163">
        <v>50195</v>
      </c>
      <c r="U10" s="1163">
        <v>41586</v>
      </c>
      <c r="V10" s="1163">
        <v>51231</v>
      </c>
      <c r="W10" s="1163">
        <v>63151</v>
      </c>
      <c r="X10" s="1163">
        <v>50365</v>
      </c>
      <c r="Y10" s="1163">
        <v>53588</v>
      </c>
      <c r="Z10" s="1163">
        <v>56555</v>
      </c>
      <c r="AA10" s="1153">
        <v>54359</v>
      </c>
      <c r="AB10" s="1154"/>
      <c r="AC10" s="1154"/>
    </row>
    <row r="11" spans="1:29" s="52" customFormat="1" ht="12" customHeight="1" x14ac:dyDescent="0.25">
      <c r="A11" s="1165"/>
      <c r="B11" s="1166"/>
      <c r="C11" s="1166"/>
      <c r="D11" s="1167" t="s">
        <v>489</v>
      </c>
      <c r="E11" s="1168"/>
      <c r="F11" s="1168"/>
      <c r="G11" s="1168"/>
      <c r="H11" s="1168"/>
      <c r="I11" s="1168"/>
      <c r="J11" s="1168"/>
      <c r="K11" s="1168"/>
      <c r="L11" s="1168"/>
      <c r="M11" s="1147"/>
      <c r="N11" s="1148"/>
      <c r="P11" s="1149"/>
      <c r="Q11" s="1168"/>
      <c r="R11" s="1169">
        <v>119206</v>
      </c>
      <c r="S11" s="1151">
        <v>81356</v>
      </c>
      <c r="T11" s="1163">
        <v>98260</v>
      </c>
      <c r="U11" s="1163">
        <v>96441</v>
      </c>
      <c r="V11" s="1163">
        <v>109918</v>
      </c>
      <c r="W11" s="1163">
        <v>124206</v>
      </c>
      <c r="X11" s="1163">
        <v>103348</v>
      </c>
      <c r="Y11" s="1163">
        <v>113121</v>
      </c>
      <c r="Z11" s="1163">
        <v>119427</v>
      </c>
      <c r="AA11" s="1170">
        <v>116862</v>
      </c>
      <c r="AB11" s="1151"/>
      <c r="AC11" s="1151"/>
    </row>
    <row r="12" spans="1:29" s="1164" customFormat="1" ht="12" customHeight="1" x14ac:dyDescent="0.25">
      <c r="A12" s="1155"/>
      <c r="B12" s="1156"/>
      <c r="C12" s="1156"/>
      <c r="D12" s="1171" t="s">
        <v>488</v>
      </c>
      <c r="E12" s="1172"/>
      <c r="F12" s="1172"/>
      <c r="G12" s="1172"/>
      <c r="H12" s="1172"/>
      <c r="I12" s="1172"/>
      <c r="J12" s="1172"/>
      <c r="K12" s="1172"/>
      <c r="L12" s="1172"/>
      <c r="M12" s="1173"/>
      <c r="N12" s="1174"/>
      <c r="O12" s="1175"/>
      <c r="P12" s="1176"/>
      <c r="Q12" s="1172"/>
      <c r="R12" s="1177">
        <v>32524</v>
      </c>
      <c r="S12" s="1177">
        <v>22329</v>
      </c>
      <c r="T12" s="1178">
        <v>37853</v>
      </c>
      <c r="U12" s="1178">
        <v>37106</v>
      </c>
      <c r="V12" s="1178">
        <v>43639</v>
      </c>
      <c r="W12" s="1178">
        <v>47030</v>
      </c>
      <c r="X12" s="1178">
        <v>37749</v>
      </c>
      <c r="Y12" s="1178">
        <v>42433</v>
      </c>
      <c r="Z12" s="1178">
        <v>47586</v>
      </c>
      <c r="AA12" s="1179">
        <v>48260</v>
      </c>
      <c r="AB12" s="1151"/>
      <c r="AC12" s="1151"/>
    </row>
    <row r="13" spans="1:29" ht="13.5" customHeight="1" x14ac:dyDescent="0.2">
      <c r="A13" s="1076"/>
      <c r="B13" s="1077"/>
      <c r="C13" s="1077"/>
      <c r="D13" s="138"/>
      <c r="E13" s="1168"/>
      <c r="F13" s="1168"/>
      <c r="G13" s="1168"/>
      <c r="H13" s="1168"/>
      <c r="I13" s="1168"/>
      <c r="J13" s="1168"/>
      <c r="K13" s="1168"/>
      <c r="L13" s="1168"/>
      <c r="M13" s="1168"/>
      <c r="N13" s="1168"/>
      <c r="O13" s="1168"/>
      <c r="P13" s="1168"/>
      <c r="Q13" s="1168"/>
      <c r="R13" s="1168"/>
      <c r="S13" s="1180"/>
      <c r="T13" s="1180"/>
      <c r="U13" s="1180"/>
      <c r="V13" s="1180"/>
      <c r="W13" s="1180"/>
      <c r="X13" s="1180"/>
    </row>
    <row r="14" spans="1:29" ht="13.5" customHeight="1" x14ac:dyDescent="0.2">
      <c r="A14" s="1076"/>
      <c r="B14" s="1077"/>
      <c r="C14" s="1077"/>
      <c r="D14" s="138"/>
      <c r="E14" s="1168"/>
      <c r="F14" s="1168"/>
      <c r="G14" s="1168"/>
      <c r="H14" s="1168"/>
      <c r="I14" s="1168"/>
      <c r="J14" s="1168"/>
      <c r="K14" s="1168"/>
      <c r="L14" s="1168"/>
      <c r="M14" s="1168"/>
      <c r="N14" s="1168"/>
      <c r="O14" s="1168"/>
      <c r="P14" s="1168"/>
      <c r="Q14" s="1168"/>
      <c r="R14" s="1168"/>
    </row>
    <row r="15" spans="1:29" x14ac:dyDescent="0.2">
      <c r="C15" s="782"/>
      <c r="D15" s="1078"/>
      <c r="E15" s="1078"/>
      <c r="F15" s="1078"/>
      <c r="G15" s="1078"/>
      <c r="H15" s="1078"/>
      <c r="I15" s="1078"/>
      <c r="J15" s="1078"/>
      <c r="K15" s="1078"/>
      <c r="L15" s="1078"/>
      <c r="M15" s="1078"/>
      <c r="N15" s="1078"/>
      <c r="O15" s="1078"/>
      <c r="P15" s="1078"/>
      <c r="Q15" s="1078"/>
      <c r="R15" s="1078"/>
    </row>
    <row r="16" spans="1:29" x14ac:dyDescent="0.2">
      <c r="A16" s="782">
        <v>5</v>
      </c>
      <c r="B16" s="782" t="s">
        <v>90</v>
      </c>
      <c r="C16" s="1076"/>
      <c r="D16" s="1078"/>
      <c r="E16" s="1078"/>
      <c r="F16" s="1078"/>
      <c r="G16" s="1078"/>
      <c r="H16" s="1078"/>
      <c r="I16" s="1078"/>
      <c r="J16" s="1078"/>
      <c r="K16" s="1078"/>
      <c r="L16" s="1078"/>
      <c r="M16" s="1078"/>
      <c r="N16" s="1078"/>
      <c r="O16" s="1078"/>
      <c r="P16" s="1078"/>
      <c r="Q16" s="1078"/>
      <c r="R16" s="1078"/>
    </row>
    <row r="17" spans="1:28" x14ac:dyDescent="0.2">
      <c r="A17" s="1076"/>
      <c r="B17" s="1076"/>
      <c r="C17" s="1076"/>
      <c r="D17" s="1078"/>
      <c r="E17" s="1078"/>
      <c r="F17" s="1078"/>
      <c r="G17" s="1078"/>
      <c r="H17" s="1078"/>
      <c r="I17" s="1078"/>
      <c r="J17" s="1078"/>
      <c r="K17" s="1078"/>
      <c r="L17" s="1078"/>
      <c r="M17" s="1078"/>
      <c r="N17" s="1078"/>
      <c r="O17" s="1078"/>
      <c r="P17" s="1078"/>
      <c r="Q17" s="1078"/>
      <c r="R17" s="1078"/>
    </row>
    <row r="18" spans="1:28" x14ac:dyDescent="0.2">
      <c r="A18" s="1076"/>
      <c r="B18" s="1076"/>
      <c r="C18" s="1076"/>
      <c r="D18" s="1078"/>
      <c r="E18" s="1078"/>
      <c r="F18" s="1078"/>
      <c r="G18" s="1078"/>
      <c r="H18" s="1078"/>
      <c r="I18" s="1078"/>
      <c r="J18" s="1078"/>
      <c r="K18" s="1078"/>
      <c r="L18" s="1078"/>
      <c r="M18" s="1078"/>
      <c r="N18" s="1078"/>
      <c r="O18" s="1078"/>
      <c r="P18" s="1078"/>
      <c r="Q18" s="1078"/>
      <c r="R18" s="1078"/>
    </row>
    <row r="19" spans="1:28" x14ac:dyDescent="0.2">
      <c r="A19" s="1076"/>
      <c r="B19" s="1076"/>
      <c r="C19" s="1076"/>
      <c r="D19" s="1078"/>
      <c r="E19" s="1078"/>
      <c r="F19" s="1078"/>
      <c r="G19" s="1078"/>
      <c r="H19" s="1078"/>
      <c r="I19" s="1078"/>
      <c r="J19" s="1078"/>
      <c r="K19" s="1078"/>
      <c r="L19" s="1078"/>
      <c r="M19" s="1078"/>
      <c r="N19" s="1078"/>
      <c r="O19" s="1078"/>
      <c r="P19" s="1078"/>
      <c r="Q19" s="1078"/>
      <c r="R19" s="1078"/>
    </row>
    <row r="20" spans="1:28" x14ac:dyDescent="0.2">
      <c r="A20" s="1076"/>
      <c r="B20" s="1076"/>
      <c r="C20" s="1076"/>
      <c r="D20" s="1078"/>
      <c r="E20" s="1078"/>
      <c r="F20" s="1078"/>
      <c r="G20" s="1078"/>
      <c r="H20" s="1078"/>
      <c r="I20" s="1078"/>
      <c r="J20" s="1078"/>
      <c r="K20" s="1078"/>
      <c r="L20" s="1078"/>
      <c r="M20" s="1078"/>
      <c r="N20" s="1078"/>
      <c r="O20" s="1078"/>
      <c r="P20" s="1078"/>
      <c r="Q20" s="1078"/>
      <c r="R20" s="1078"/>
    </row>
    <row r="21" spans="1:28" x14ac:dyDescent="0.2">
      <c r="A21" s="1076"/>
      <c r="B21" s="1076"/>
      <c r="C21" s="1076"/>
      <c r="D21" s="1078"/>
      <c r="E21" s="1078"/>
      <c r="F21" s="1078"/>
      <c r="G21" s="1078"/>
      <c r="H21" s="1078"/>
      <c r="I21" s="1078"/>
      <c r="J21" s="1078"/>
      <c r="K21" s="1078"/>
      <c r="L21" s="1078"/>
      <c r="M21" s="1078"/>
      <c r="N21" s="1078"/>
      <c r="O21" s="1078"/>
      <c r="P21" s="1078"/>
      <c r="Q21" s="1078"/>
      <c r="R21" s="1078"/>
    </row>
    <row r="22" spans="1:28" x14ac:dyDescent="0.2">
      <c r="A22" s="1076"/>
      <c r="B22" s="1076"/>
      <c r="C22" s="1076"/>
      <c r="D22" s="1078"/>
      <c r="E22" s="1078"/>
      <c r="F22" s="1078"/>
      <c r="G22" s="1078"/>
      <c r="H22" s="1078"/>
      <c r="I22" s="1078"/>
      <c r="J22" s="1078"/>
      <c r="K22" s="1078"/>
      <c r="L22" s="1078"/>
      <c r="M22" s="1078"/>
      <c r="N22" s="1078"/>
      <c r="O22" s="1078"/>
      <c r="P22" s="1078"/>
      <c r="Q22" s="1078"/>
      <c r="R22" s="1078"/>
    </row>
    <row r="23" spans="1:28" x14ac:dyDescent="0.2">
      <c r="A23" s="1076"/>
      <c r="B23" s="1076"/>
      <c r="C23" s="1076"/>
      <c r="D23" s="1078"/>
      <c r="E23" s="1078"/>
      <c r="F23" s="1078"/>
      <c r="G23" s="1078"/>
      <c r="H23" s="1078"/>
      <c r="I23" s="1078"/>
      <c r="J23" s="1078"/>
      <c r="K23" s="1078"/>
      <c r="L23" s="1078"/>
      <c r="M23" s="1078"/>
      <c r="N23" s="1078"/>
      <c r="O23" s="1078"/>
      <c r="P23" s="1078"/>
      <c r="Q23" s="1078"/>
      <c r="R23" s="1078"/>
    </row>
    <row r="24" spans="1:28" x14ac:dyDescent="0.2">
      <c r="A24" s="1076"/>
      <c r="B24" s="1076"/>
      <c r="C24" s="1076"/>
      <c r="D24" s="1078"/>
      <c r="E24" s="1078"/>
      <c r="F24" s="1078"/>
      <c r="G24" s="1078"/>
      <c r="H24" s="1078"/>
      <c r="I24" s="1078"/>
      <c r="J24" s="1078"/>
      <c r="K24" s="1078"/>
      <c r="L24" s="1078"/>
      <c r="M24" s="1078"/>
      <c r="N24" s="1078"/>
      <c r="O24" s="1078"/>
      <c r="P24" s="1078"/>
      <c r="Q24" s="1078"/>
      <c r="R24" s="1078"/>
    </row>
    <row r="25" spans="1:28" x14ac:dyDescent="0.2">
      <c r="A25" s="1076"/>
      <c r="B25" s="1076"/>
      <c r="C25" s="1076"/>
      <c r="D25" s="1078"/>
      <c r="E25" s="1078"/>
      <c r="F25" s="1078"/>
      <c r="G25" s="1078"/>
      <c r="H25" s="1078"/>
      <c r="I25" s="1078"/>
      <c r="J25" s="1078"/>
      <c r="K25" s="1078"/>
      <c r="L25" s="1078"/>
      <c r="M25" s="1078"/>
      <c r="N25" s="1078"/>
      <c r="O25" s="1078"/>
      <c r="P25" s="1078"/>
      <c r="Q25" s="1078"/>
      <c r="R25" s="1078"/>
    </row>
    <row r="26" spans="1:28" x14ac:dyDescent="0.2">
      <c r="A26" s="1076"/>
      <c r="B26" s="1076"/>
      <c r="C26" s="1076"/>
      <c r="D26" s="1078"/>
      <c r="E26" s="1078"/>
      <c r="F26" s="1078"/>
      <c r="G26" s="1078"/>
      <c r="H26" s="1078"/>
      <c r="I26" s="1078"/>
      <c r="J26" s="1078"/>
      <c r="K26" s="1078"/>
      <c r="L26" s="1078"/>
      <c r="M26" s="1078"/>
      <c r="N26" s="1078"/>
      <c r="O26" s="1078"/>
      <c r="P26" s="1078"/>
      <c r="Q26" s="1078"/>
      <c r="R26" s="1078"/>
    </row>
    <row r="27" spans="1:28" x14ac:dyDescent="0.2">
      <c r="A27" s="1076"/>
      <c r="B27" s="1076"/>
      <c r="C27" s="1076"/>
      <c r="D27" s="1078"/>
      <c r="E27" s="1078"/>
      <c r="F27" s="1078"/>
      <c r="G27" s="1078"/>
      <c r="H27" s="1078"/>
      <c r="I27" s="1078"/>
      <c r="J27" s="1078"/>
      <c r="K27" s="1078"/>
      <c r="L27" s="1078"/>
      <c r="M27" s="1078"/>
      <c r="N27" s="1078"/>
      <c r="O27" s="1078"/>
      <c r="P27" s="1078"/>
      <c r="Q27" s="1078"/>
      <c r="R27" s="1078"/>
    </row>
    <row r="28" spans="1:28" x14ac:dyDescent="0.2">
      <c r="A28" s="1076"/>
      <c r="B28" s="1076"/>
      <c r="C28" s="1076"/>
      <c r="D28" s="1078"/>
      <c r="E28" s="1078"/>
      <c r="F28" s="1078"/>
      <c r="G28" s="1078"/>
      <c r="H28" s="1078"/>
      <c r="I28" s="1078"/>
      <c r="J28" s="1078"/>
      <c r="K28" s="1078"/>
      <c r="L28" s="1078"/>
      <c r="M28" s="1078"/>
      <c r="N28" s="1078"/>
      <c r="O28" s="1078"/>
      <c r="P28" s="1078"/>
      <c r="Q28" s="1078"/>
      <c r="R28" s="1078"/>
    </row>
    <row r="29" spans="1:28" ht="22.5" customHeight="1" x14ac:dyDescent="0.2">
      <c r="A29" s="1076"/>
      <c r="B29" s="1076"/>
      <c r="C29" s="1076"/>
      <c r="D29" s="1078"/>
      <c r="E29" s="1078"/>
      <c r="F29" s="1078"/>
      <c r="G29" s="1078"/>
      <c r="H29" s="1078"/>
      <c r="I29" s="1078"/>
      <c r="J29" s="1078"/>
      <c r="K29" s="1078"/>
      <c r="L29" s="1078"/>
      <c r="M29" s="1078"/>
      <c r="N29" s="1078"/>
      <c r="O29" s="1078"/>
      <c r="P29" s="1078"/>
      <c r="Q29" s="1078"/>
      <c r="R29" s="1078"/>
    </row>
    <row r="30" spans="1:28" ht="15" customHeight="1" x14ac:dyDescent="0.2">
      <c r="A30" s="782">
        <v>6</v>
      </c>
      <c r="B30" s="782" t="s">
        <v>29</v>
      </c>
      <c r="C30" s="782"/>
      <c r="D30" s="4283" t="s">
        <v>294</v>
      </c>
      <c r="E30" s="4284"/>
      <c r="F30" s="4284"/>
      <c r="G30" s="4284"/>
      <c r="H30" s="4284"/>
      <c r="I30" s="4284"/>
      <c r="J30" s="4284"/>
      <c r="K30" s="4284"/>
      <c r="L30" s="4284"/>
      <c r="M30" s="4284"/>
      <c r="N30" s="4284"/>
      <c r="O30" s="4284"/>
      <c r="P30" s="4284"/>
      <c r="Q30" s="4284"/>
      <c r="R30" s="4284"/>
      <c r="S30" s="4284"/>
      <c r="T30" s="4284"/>
      <c r="U30" s="4284"/>
      <c r="V30" s="4284"/>
      <c r="W30" s="4284"/>
      <c r="X30" s="4284"/>
      <c r="Y30" s="4284"/>
      <c r="Z30" s="4285"/>
      <c r="AA30" s="142"/>
      <c r="AB30" s="142"/>
    </row>
    <row r="31" spans="1:28" ht="25.5" customHeight="1" x14ac:dyDescent="0.2">
      <c r="A31" s="818">
        <v>7</v>
      </c>
      <c r="B31" s="818" t="s">
        <v>32</v>
      </c>
      <c r="C31" s="818"/>
      <c r="D31" s="4283" t="s">
        <v>490</v>
      </c>
      <c r="E31" s="4284"/>
      <c r="F31" s="4284"/>
      <c r="G31" s="4284"/>
      <c r="H31" s="4284"/>
      <c r="I31" s="4284"/>
      <c r="J31" s="4284"/>
      <c r="K31" s="4284"/>
      <c r="L31" s="4284"/>
      <c r="M31" s="4284"/>
      <c r="N31" s="4284"/>
      <c r="O31" s="4284"/>
      <c r="P31" s="4284"/>
      <c r="Q31" s="4284"/>
      <c r="R31" s="4284"/>
      <c r="S31" s="4284"/>
      <c r="T31" s="4284"/>
      <c r="U31" s="4284"/>
      <c r="V31" s="4284"/>
      <c r="W31" s="4284"/>
      <c r="X31" s="4284"/>
      <c r="Y31" s="4284"/>
      <c r="Z31" s="4285"/>
      <c r="AA31" s="142"/>
      <c r="AB31" s="142"/>
    </row>
    <row r="32" spans="1:28" ht="14.25" customHeight="1" x14ac:dyDescent="0.2">
      <c r="A32" s="782">
        <v>8</v>
      </c>
      <c r="B32" s="782" t="s">
        <v>31</v>
      </c>
      <c r="C32" s="782"/>
      <c r="D32" s="4283" t="s">
        <v>1738</v>
      </c>
      <c r="E32" s="4284"/>
      <c r="F32" s="4284"/>
      <c r="G32" s="4284"/>
      <c r="H32" s="4284"/>
      <c r="I32" s="4284"/>
      <c r="J32" s="4284"/>
      <c r="K32" s="4284"/>
      <c r="L32" s="4284"/>
      <c r="M32" s="4284"/>
      <c r="N32" s="4284"/>
      <c r="O32" s="4284"/>
      <c r="P32" s="4284"/>
      <c r="Q32" s="4284"/>
      <c r="R32" s="4284"/>
      <c r="S32" s="4284"/>
      <c r="T32" s="4284"/>
      <c r="U32" s="4284"/>
      <c r="V32" s="4284"/>
      <c r="W32" s="4284"/>
      <c r="X32" s="4284"/>
      <c r="Y32" s="4284"/>
      <c r="Z32" s="4285"/>
      <c r="AA32" s="142"/>
      <c r="AB32" s="142"/>
    </row>
    <row r="33" spans="1:28" ht="14.25" customHeight="1" x14ac:dyDescent="0.2">
      <c r="A33" s="782">
        <v>9</v>
      </c>
      <c r="B33" s="782" t="s">
        <v>157</v>
      </c>
      <c r="D33" s="4283" t="s">
        <v>485</v>
      </c>
      <c r="E33" s="4284"/>
      <c r="F33" s="4284"/>
      <c r="G33" s="4284"/>
      <c r="H33" s="4284"/>
      <c r="I33" s="4284"/>
      <c r="J33" s="4284"/>
      <c r="K33" s="4284"/>
      <c r="L33" s="4284"/>
      <c r="M33" s="4284"/>
      <c r="N33" s="4284"/>
      <c r="O33" s="4284"/>
      <c r="P33" s="4284"/>
      <c r="Q33" s="4284"/>
      <c r="R33" s="4284"/>
      <c r="S33" s="4284"/>
      <c r="T33" s="4284"/>
      <c r="U33" s="4284"/>
      <c r="V33" s="4284"/>
      <c r="W33" s="4284"/>
      <c r="X33" s="4284"/>
      <c r="Y33" s="4284"/>
      <c r="Z33" s="4285"/>
      <c r="AA33" s="142"/>
      <c r="AB33" s="142"/>
    </row>
    <row r="35" spans="1:28" x14ac:dyDescent="0.25">
      <c r="H35" s="1150"/>
      <c r="I35" s="1150"/>
      <c r="J35" s="1181"/>
      <c r="K35" s="1181"/>
      <c r="L35" s="1181"/>
    </row>
    <row r="36" spans="1:28" x14ac:dyDescent="0.25">
      <c r="H36" s="1182"/>
      <c r="I36" s="1182"/>
      <c r="J36" s="1183"/>
      <c r="K36" s="1183"/>
      <c r="L36" s="1183"/>
    </row>
  </sheetData>
  <mergeCells count="7">
    <mergeCell ref="D32:Z32"/>
    <mergeCell ref="D33:Z33"/>
    <mergeCell ref="D2:AA2"/>
    <mergeCell ref="D3:AA3"/>
    <mergeCell ref="D4:AA4"/>
    <mergeCell ref="D30:Z30"/>
    <mergeCell ref="D31:Z31"/>
  </mergeCells>
  <pageMargins left="0.74803149606299202" right="0.74803149606299202" top="0.98425196850393704" bottom="0.98425196850393704" header="0.511811023622047" footer="0.511811023622047"/>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80"/>
  <sheetViews>
    <sheetView showGridLines="0" view="pageBreakPreview" zoomScaleNormal="100" zoomScaleSheetLayoutView="100" workbookViewId="0">
      <selection activeCell="D47" sqref="D47:Y47"/>
    </sheetView>
  </sheetViews>
  <sheetFormatPr defaultColWidth="9.140625" defaultRowHeight="15" x14ac:dyDescent="0.2"/>
  <cols>
    <col min="1" max="1" width="3.7109375" style="1141" customWidth="1"/>
    <col min="2" max="2" width="14.42578125" style="1080" customWidth="1"/>
    <col min="3" max="3" width="3.7109375" style="1080" customWidth="1"/>
    <col min="4" max="4" width="20" style="1079" customWidth="1"/>
    <col min="5" max="16" width="8.7109375" style="1079" customWidth="1"/>
    <col min="17" max="17" width="10.42578125" style="1079" bestFit="1" customWidth="1"/>
    <col min="18" max="259" width="9.140625" style="1079"/>
    <col min="260" max="260" width="3.7109375" style="1079" customWidth="1"/>
    <col min="261" max="261" width="14.42578125" style="1079" customWidth="1"/>
    <col min="262" max="262" width="3.7109375" style="1079" customWidth="1"/>
    <col min="263" max="263" width="20" style="1079" customWidth="1"/>
    <col min="264" max="275" width="8.7109375" style="1079" customWidth="1"/>
    <col min="276" max="276" width="10.42578125" style="1079" bestFit="1" customWidth="1"/>
    <col min="277" max="515" width="9.140625" style="1079"/>
    <col min="516" max="516" width="3.7109375" style="1079" customWidth="1"/>
    <col min="517" max="517" width="14.42578125" style="1079" customWidth="1"/>
    <col min="518" max="518" width="3.7109375" style="1079" customWidth="1"/>
    <col min="519" max="519" width="20" style="1079" customWidth="1"/>
    <col min="520" max="531" width="8.7109375" style="1079" customWidth="1"/>
    <col min="532" max="532" width="10.42578125" style="1079" bestFit="1" customWidth="1"/>
    <col min="533" max="771" width="9.140625" style="1079"/>
    <col min="772" max="772" width="3.7109375" style="1079" customWidth="1"/>
    <col min="773" max="773" width="14.42578125" style="1079" customWidth="1"/>
    <col min="774" max="774" width="3.7109375" style="1079" customWidth="1"/>
    <col min="775" max="775" width="20" style="1079" customWidth="1"/>
    <col min="776" max="787" width="8.7109375" style="1079" customWidth="1"/>
    <col min="788" max="788" width="10.42578125" style="1079" bestFit="1" customWidth="1"/>
    <col min="789" max="1027" width="9.140625" style="1079"/>
    <col min="1028" max="1028" width="3.7109375" style="1079" customWidth="1"/>
    <col min="1029" max="1029" width="14.42578125" style="1079" customWidth="1"/>
    <col min="1030" max="1030" width="3.7109375" style="1079" customWidth="1"/>
    <col min="1031" max="1031" width="20" style="1079" customWidth="1"/>
    <col min="1032" max="1043" width="8.7109375" style="1079" customWidth="1"/>
    <col min="1044" max="1044" width="10.42578125" style="1079" bestFit="1" customWidth="1"/>
    <col min="1045" max="1283" width="9.140625" style="1079"/>
    <col min="1284" max="1284" width="3.7109375" style="1079" customWidth="1"/>
    <col min="1285" max="1285" width="14.42578125" style="1079" customWidth="1"/>
    <col min="1286" max="1286" width="3.7109375" style="1079" customWidth="1"/>
    <col min="1287" max="1287" width="20" style="1079" customWidth="1"/>
    <col min="1288" max="1299" width="8.7109375" style="1079" customWidth="1"/>
    <col min="1300" max="1300" width="10.42578125" style="1079" bestFit="1" customWidth="1"/>
    <col min="1301" max="1539" width="9.140625" style="1079"/>
    <col min="1540" max="1540" width="3.7109375" style="1079" customWidth="1"/>
    <col min="1541" max="1541" width="14.42578125" style="1079" customWidth="1"/>
    <col min="1542" max="1542" width="3.7109375" style="1079" customWidth="1"/>
    <col min="1543" max="1543" width="20" style="1079" customWidth="1"/>
    <col min="1544" max="1555" width="8.7109375" style="1079" customWidth="1"/>
    <col min="1556" max="1556" width="10.42578125" style="1079" bestFit="1" customWidth="1"/>
    <col min="1557" max="1795" width="9.140625" style="1079"/>
    <col min="1796" max="1796" width="3.7109375" style="1079" customWidth="1"/>
    <col min="1797" max="1797" width="14.42578125" style="1079" customWidth="1"/>
    <col min="1798" max="1798" width="3.7109375" style="1079" customWidth="1"/>
    <col min="1799" max="1799" width="20" style="1079" customWidth="1"/>
    <col min="1800" max="1811" width="8.7109375" style="1079" customWidth="1"/>
    <col min="1812" max="1812" width="10.42578125" style="1079" bestFit="1" customWidth="1"/>
    <col min="1813" max="2051" width="9.140625" style="1079"/>
    <col min="2052" max="2052" width="3.7109375" style="1079" customWidth="1"/>
    <col min="2053" max="2053" width="14.42578125" style="1079" customWidth="1"/>
    <col min="2054" max="2054" width="3.7109375" style="1079" customWidth="1"/>
    <col min="2055" max="2055" width="20" style="1079" customWidth="1"/>
    <col min="2056" max="2067" width="8.7109375" style="1079" customWidth="1"/>
    <col min="2068" max="2068" width="10.42578125" style="1079" bestFit="1" customWidth="1"/>
    <col min="2069" max="2307" width="9.140625" style="1079"/>
    <col min="2308" max="2308" width="3.7109375" style="1079" customWidth="1"/>
    <col min="2309" max="2309" width="14.42578125" style="1079" customWidth="1"/>
    <col min="2310" max="2310" width="3.7109375" style="1079" customWidth="1"/>
    <col min="2311" max="2311" width="20" style="1079" customWidth="1"/>
    <col min="2312" max="2323" width="8.7109375" style="1079" customWidth="1"/>
    <col min="2324" max="2324" width="10.42578125" style="1079" bestFit="1" customWidth="1"/>
    <col min="2325" max="2563" width="9.140625" style="1079"/>
    <col min="2564" max="2564" width="3.7109375" style="1079" customWidth="1"/>
    <col min="2565" max="2565" width="14.42578125" style="1079" customWidth="1"/>
    <col min="2566" max="2566" width="3.7109375" style="1079" customWidth="1"/>
    <col min="2567" max="2567" width="20" style="1079" customWidth="1"/>
    <col min="2568" max="2579" width="8.7109375" style="1079" customWidth="1"/>
    <col min="2580" max="2580" width="10.42578125" style="1079" bestFit="1" customWidth="1"/>
    <col min="2581" max="2819" width="9.140625" style="1079"/>
    <col min="2820" max="2820" width="3.7109375" style="1079" customWidth="1"/>
    <col min="2821" max="2821" width="14.42578125" style="1079" customWidth="1"/>
    <col min="2822" max="2822" width="3.7109375" style="1079" customWidth="1"/>
    <col min="2823" max="2823" width="20" style="1079" customWidth="1"/>
    <col min="2824" max="2835" width="8.7109375" style="1079" customWidth="1"/>
    <col min="2836" max="2836" width="10.42578125" style="1079" bestFit="1" customWidth="1"/>
    <col min="2837" max="3075" width="9.140625" style="1079"/>
    <col min="3076" max="3076" width="3.7109375" style="1079" customWidth="1"/>
    <col min="3077" max="3077" width="14.42578125" style="1079" customWidth="1"/>
    <col min="3078" max="3078" width="3.7109375" style="1079" customWidth="1"/>
    <col min="3079" max="3079" width="20" style="1079" customWidth="1"/>
    <col min="3080" max="3091" width="8.7109375" style="1079" customWidth="1"/>
    <col min="3092" max="3092" width="10.42578125" style="1079" bestFit="1" customWidth="1"/>
    <col min="3093" max="3331" width="9.140625" style="1079"/>
    <col min="3332" max="3332" width="3.7109375" style="1079" customWidth="1"/>
    <col min="3333" max="3333" width="14.42578125" style="1079" customWidth="1"/>
    <col min="3334" max="3334" width="3.7109375" style="1079" customWidth="1"/>
    <col min="3335" max="3335" width="20" style="1079" customWidth="1"/>
    <col min="3336" max="3347" width="8.7109375" style="1079" customWidth="1"/>
    <col min="3348" max="3348" width="10.42578125" style="1079" bestFit="1" customWidth="1"/>
    <col min="3349" max="3587" width="9.140625" style="1079"/>
    <col min="3588" max="3588" width="3.7109375" style="1079" customWidth="1"/>
    <col min="3589" max="3589" width="14.42578125" style="1079" customWidth="1"/>
    <col min="3590" max="3590" width="3.7109375" style="1079" customWidth="1"/>
    <col min="3591" max="3591" width="20" style="1079" customWidth="1"/>
    <col min="3592" max="3603" width="8.7109375" style="1079" customWidth="1"/>
    <col min="3604" max="3604" width="10.42578125" style="1079" bestFit="1" customWidth="1"/>
    <col min="3605" max="3843" width="9.140625" style="1079"/>
    <col min="3844" max="3844" width="3.7109375" style="1079" customWidth="1"/>
    <col min="3845" max="3845" width="14.42578125" style="1079" customWidth="1"/>
    <col min="3846" max="3846" width="3.7109375" style="1079" customWidth="1"/>
    <col min="3847" max="3847" width="20" style="1079" customWidth="1"/>
    <col min="3848" max="3859" width="8.7109375" style="1079" customWidth="1"/>
    <col min="3860" max="3860" width="10.42578125" style="1079" bestFit="1" customWidth="1"/>
    <col min="3861" max="4099" width="9.140625" style="1079"/>
    <col min="4100" max="4100" width="3.7109375" style="1079" customWidth="1"/>
    <col min="4101" max="4101" width="14.42578125" style="1079" customWidth="1"/>
    <col min="4102" max="4102" width="3.7109375" style="1079" customWidth="1"/>
    <col min="4103" max="4103" width="20" style="1079" customWidth="1"/>
    <col min="4104" max="4115" width="8.7109375" style="1079" customWidth="1"/>
    <col min="4116" max="4116" width="10.42578125" style="1079" bestFit="1" customWidth="1"/>
    <col min="4117" max="4355" width="9.140625" style="1079"/>
    <col min="4356" max="4356" width="3.7109375" style="1079" customWidth="1"/>
    <col min="4357" max="4357" width="14.42578125" style="1079" customWidth="1"/>
    <col min="4358" max="4358" width="3.7109375" style="1079" customWidth="1"/>
    <col min="4359" max="4359" width="20" style="1079" customWidth="1"/>
    <col min="4360" max="4371" width="8.7109375" style="1079" customWidth="1"/>
    <col min="4372" max="4372" width="10.42578125" style="1079" bestFit="1" customWidth="1"/>
    <col min="4373" max="4611" width="9.140625" style="1079"/>
    <col min="4612" max="4612" width="3.7109375" style="1079" customWidth="1"/>
    <col min="4613" max="4613" width="14.42578125" style="1079" customWidth="1"/>
    <col min="4614" max="4614" width="3.7109375" style="1079" customWidth="1"/>
    <col min="4615" max="4615" width="20" style="1079" customWidth="1"/>
    <col min="4616" max="4627" width="8.7109375" style="1079" customWidth="1"/>
    <col min="4628" max="4628" width="10.42578125" style="1079" bestFit="1" customWidth="1"/>
    <col min="4629" max="4867" width="9.140625" style="1079"/>
    <col min="4868" max="4868" width="3.7109375" style="1079" customWidth="1"/>
    <col min="4869" max="4869" width="14.42578125" style="1079" customWidth="1"/>
    <col min="4870" max="4870" width="3.7109375" style="1079" customWidth="1"/>
    <col min="4871" max="4871" width="20" style="1079" customWidth="1"/>
    <col min="4872" max="4883" width="8.7109375" style="1079" customWidth="1"/>
    <col min="4884" max="4884" width="10.42578125" style="1079" bestFit="1" customWidth="1"/>
    <col min="4885" max="5123" width="9.140625" style="1079"/>
    <col min="5124" max="5124" width="3.7109375" style="1079" customWidth="1"/>
    <col min="5125" max="5125" width="14.42578125" style="1079" customWidth="1"/>
    <col min="5126" max="5126" width="3.7109375" style="1079" customWidth="1"/>
    <col min="5127" max="5127" width="20" style="1079" customWidth="1"/>
    <col min="5128" max="5139" width="8.7109375" style="1079" customWidth="1"/>
    <col min="5140" max="5140" width="10.42578125" style="1079" bestFit="1" customWidth="1"/>
    <col min="5141" max="5379" width="9.140625" style="1079"/>
    <col min="5380" max="5380" width="3.7109375" style="1079" customWidth="1"/>
    <col min="5381" max="5381" width="14.42578125" style="1079" customWidth="1"/>
    <col min="5382" max="5382" width="3.7109375" style="1079" customWidth="1"/>
    <col min="5383" max="5383" width="20" style="1079" customWidth="1"/>
    <col min="5384" max="5395" width="8.7109375" style="1079" customWidth="1"/>
    <col min="5396" max="5396" width="10.42578125" style="1079" bestFit="1" customWidth="1"/>
    <col min="5397" max="5635" width="9.140625" style="1079"/>
    <col min="5636" max="5636" width="3.7109375" style="1079" customWidth="1"/>
    <col min="5637" max="5637" width="14.42578125" style="1079" customWidth="1"/>
    <col min="5638" max="5638" width="3.7109375" style="1079" customWidth="1"/>
    <col min="5639" max="5639" width="20" style="1079" customWidth="1"/>
    <col min="5640" max="5651" width="8.7109375" style="1079" customWidth="1"/>
    <col min="5652" max="5652" width="10.42578125" style="1079" bestFit="1" customWidth="1"/>
    <col min="5653" max="5891" width="9.140625" style="1079"/>
    <col min="5892" max="5892" width="3.7109375" style="1079" customWidth="1"/>
    <col min="5893" max="5893" width="14.42578125" style="1079" customWidth="1"/>
    <col min="5894" max="5894" width="3.7109375" style="1079" customWidth="1"/>
    <col min="5895" max="5895" width="20" style="1079" customWidth="1"/>
    <col min="5896" max="5907" width="8.7109375" style="1079" customWidth="1"/>
    <col min="5908" max="5908" width="10.42578125" style="1079" bestFit="1" customWidth="1"/>
    <col min="5909" max="6147" width="9.140625" style="1079"/>
    <col min="6148" max="6148" width="3.7109375" style="1079" customWidth="1"/>
    <col min="6149" max="6149" width="14.42578125" style="1079" customWidth="1"/>
    <col min="6150" max="6150" width="3.7109375" style="1079" customWidth="1"/>
    <col min="6151" max="6151" width="20" style="1079" customWidth="1"/>
    <col min="6152" max="6163" width="8.7109375" style="1079" customWidth="1"/>
    <col min="6164" max="6164" width="10.42578125" style="1079" bestFit="1" customWidth="1"/>
    <col min="6165" max="6403" width="9.140625" style="1079"/>
    <col min="6404" max="6404" width="3.7109375" style="1079" customWidth="1"/>
    <col min="6405" max="6405" width="14.42578125" style="1079" customWidth="1"/>
    <col min="6406" max="6406" width="3.7109375" style="1079" customWidth="1"/>
    <col min="6407" max="6407" width="20" style="1079" customWidth="1"/>
    <col min="6408" max="6419" width="8.7109375" style="1079" customWidth="1"/>
    <col min="6420" max="6420" width="10.42578125" style="1079" bestFit="1" customWidth="1"/>
    <col min="6421" max="6659" width="9.140625" style="1079"/>
    <col min="6660" max="6660" width="3.7109375" style="1079" customWidth="1"/>
    <col min="6661" max="6661" width="14.42578125" style="1079" customWidth="1"/>
    <col min="6662" max="6662" width="3.7109375" style="1079" customWidth="1"/>
    <col min="6663" max="6663" width="20" style="1079" customWidth="1"/>
    <col min="6664" max="6675" width="8.7109375" style="1079" customWidth="1"/>
    <col min="6676" max="6676" width="10.42578125" style="1079" bestFit="1" customWidth="1"/>
    <col min="6677" max="6915" width="9.140625" style="1079"/>
    <col min="6916" max="6916" width="3.7109375" style="1079" customWidth="1"/>
    <col min="6917" max="6917" width="14.42578125" style="1079" customWidth="1"/>
    <col min="6918" max="6918" width="3.7109375" style="1079" customWidth="1"/>
    <col min="6919" max="6919" width="20" style="1079" customWidth="1"/>
    <col min="6920" max="6931" width="8.7109375" style="1079" customWidth="1"/>
    <col min="6932" max="6932" width="10.42578125" style="1079" bestFit="1" customWidth="1"/>
    <col min="6933" max="7171" width="9.140625" style="1079"/>
    <col min="7172" max="7172" width="3.7109375" style="1079" customWidth="1"/>
    <col min="7173" max="7173" width="14.42578125" style="1079" customWidth="1"/>
    <col min="7174" max="7174" width="3.7109375" style="1079" customWidth="1"/>
    <col min="7175" max="7175" width="20" style="1079" customWidth="1"/>
    <col min="7176" max="7187" width="8.7109375" style="1079" customWidth="1"/>
    <col min="7188" max="7188" width="10.42578125" style="1079" bestFit="1" customWidth="1"/>
    <col min="7189" max="7427" width="9.140625" style="1079"/>
    <col min="7428" max="7428" width="3.7109375" style="1079" customWidth="1"/>
    <col min="7429" max="7429" width="14.42578125" style="1079" customWidth="1"/>
    <col min="7430" max="7430" width="3.7109375" style="1079" customWidth="1"/>
    <col min="7431" max="7431" width="20" style="1079" customWidth="1"/>
    <col min="7432" max="7443" width="8.7109375" style="1079" customWidth="1"/>
    <col min="7444" max="7444" width="10.42578125" style="1079" bestFit="1" customWidth="1"/>
    <col min="7445" max="7683" width="9.140625" style="1079"/>
    <col min="7684" max="7684" width="3.7109375" style="1079" customWidth="1"/>
    <col min="7685" max="7685" width="14.42578125" style="1079" customWidth="1"/>
    <col min="7686" max="7686" width="3.7109375" style="1079" customWidth="1"/>
    <col min="7687" max="7687" width="20" style="1079" customWidth="1"/>
    <col min="7688" max="7699" width="8.7109375" style="1079" customWidth="1"/>
    <col min="7700" max="7700" width="10.42578125" style="1079" bestFit="1" customWidth="1"/>
    <col min="7701" max="7939" width="9.140625" style="1079"/>
    <col min="7940" max="7940" width="3.7109375" style="1079" customWidth="1"/>
    <col min="7941" max="7941" width="14.42578125" style="1079" customWidth="1"/>
    <col min="7942" max="7942" width="3.7109375" style="1079" customWidth="1"/>
    <col min="7943" max="7943" width="20" style="1079" customWidth="1"/>
    <col min="7944" max="7955" width="8.7109375" style="1079" customWidth="1"/>
    <col min="7956" max="7956" width="10.42578125" style="1079" bestFit="1" customWidth="1"/>
    <col min="7957" max="8195" width="9.140625" style="1079"/>
    <col min="8196" max="8196" width="3.7109375" style="1079" customWidth="1"/>
    <col min="8197" max="8197" width="14.42578125" style="1079" customWidth="1"/>
    <col min="8198" max="8198" width="3.7109375" style="1079" customWidth="1"/>
    <col min="8199" max="8199" width="20" style="1079" customWidth="1"/>
    <col min="8200" max="8211" width="8.7109375" style="1079" customWidth="1"/>
    <col min="8212" max="8212" width="10.42578125" style="1079" bestFit="1" customWidth="1"/>
    <col min="8213" max="8451" width="9.140625" style="1079"/>
    <col min="8452" max="8452" width="3.7109375" style="1079" customWidth="1"/>
    <col min="8453" max="8453" width="14.42578125" style="1079" customWidth="1"/>
    <col min="8454" max="8454" width="3.7109375" style="1079" customWidth="1"/>
    <col min="8455" max="8455" width="20" style="1079" customWidth="1"/>
    <col min="8456" max="8467" width="8.7109375" style="1079" customWidth="1"/>
    <col min="8468" max="8468" width="10.42578125" style="1079" bestFit="1" customWidth="1"/>
    <col min="8469" max="8707" width="9.140625" style="1079"/>
    <col min="8708" max="8708" width="3.7109375" style="1079" customWidth="1"/>
    <col min="8709" max="8709" width="14.42578125" style="1079" customWidth="1"/>
    <col min="8710" max="8710" width="3.7109375" style="1079" customWidth="1"/>
    <col min="8711" max="8711" width="20" style="1079" customWidth="1"/>
    <col min="8712" max="8723" width="8.7109375" style="1079" customWidth="1"/>
    <col min="8724" max="8724" width="10.42578125" style="1079" bestFit="1" customWidth="1"/>
    <col min="8725" max="8963" width="9.140625" style="1079"/>
    <col min="8964" max="8964" width="3.7109375" style="1079" customWidth="1"/>
    <col min="8965" max="8965" width="14.42578125" style="1079" customWidth="1"/>
    <col min="8966" max="8966" width="3.7109375" style="1079" customWidth="1"/>
    <col min="8967" max="8967" width="20" style="1079" customWidth="1"/>
    <col min="8968" max="8979" width="8.7109375" style="1079" customWidth="1"/>
    <col min="8980" max="8980" width="10.42578125" style="1079" bestFit="1" customWidth="1"/>
    <col min="8981" max="9219" width="9.140625" style="1079"/>
    <col min="9220" max="9220" width="3.7109375" style="1079" customWidth="1"/>
    <col min="9221" max="9221" width="14.42578125" style="1079" customWidth="1"/>
    <col min="9222" max="9222" width="3.7109375" style="1079" customWidth="1"/>
    <col min="9223" max="9223" width="20" style="1079" customWidth="1"/>
    <col min="9224" max="9235" width="8.7109375" style="1079" customWidth="1"/>
    <col min="9236" max="9236" width="10.42578125" style="1079" bestFit="1" customWidth="1"/>
    <col min="9237" max="9475" width="9.140625" style="1079"/>
    <col min="9476" max="9476" width="3.7109375" style="1079" customWidth="1"/>
    <col min="9477" max="9477" width="14.42578125" style="1079" customWidth="1"/>
    <col min="9478" max="9478" width="3.7109375" style="1079" customWidth="1"/>
    <col min="9479" max="9479" width="20" style="1079" customWidth="1"/>
    <col min="9480" max="9491" width="8.7109375" style="1079" customWidth="1"/>
    <col min="9492" max="9492" width="10.42578125" style="1079" bestFit="1" customWidth="1"/>
    <col min="9493" max="9731" width="9.140625" style="1079"/>
    <col min="9732" max="9732" width="3.7109375" style="1079" customWidth="1"/>
    <col min="9733" max="9733" width="14.42578125" style="1079" customWidth="1"/>
    <col min="9734" max="9734" width="3.7109375" style="1079" customWidth="1"/>
    <col min="9735" max="9735" width="20" style="1079" customWidth="1"/>
    <col min="9736" max="9747" width="8.7109375" style="1079" customWidth="1"/>
    <col min="9748" max="9748" width="10.42578125" style="1079" bestFit="1" customWidth="1"/>
    <col min="9749" max="9987" width="9.140625" style="1079"/>
    <col min="9988" max="9988" width="3.7109375" style="1079" customWidth="1"/>
    <col min="9989" max="9989" width="14.42578125" style="1079" customWidth="1"/>
    <col min="9990" max="9990" width="3.7109375" style="1079" customWidth="1"/>
    <col min="9991" max="9991" width="20" style="1079" customWidth="1"/>
    <col min="9992" max="10003" width="8.7109375" style="1079" customWidth="1"/>
    <col min="10004" max="10004" width="10.42578125" style="1079" bestFit="1" customWidth="1"/>
    <col min="10005" max="10243" width="9.140625" style="1079"/>
    <col min="10244" max="10244" width="3.7109375" style="1079" customWidth="1"/>
    <col min="10245" max="10245" width="14.42578125" style="1079" customWidth="1"/>
    <col min="10246" max="10246" width="3.7109375" style="1079" customWidth="1"/>
    <col min="10247" max="10247" width="20" style="1079" customWidth="1"/>
    <col min="10248" max="10259" width="8.7109375" style="1079" customWidth="1"/>
    <col min="10260" max="10260" width="10.42578125" style="1079" bestFit="1" customWidth="1"/>
    <col min="10261" max="10499" width="9.140625" style="1079"/>
    <col min="10500" max="10500" width="3.7109375" style="1079" customWidth="1"/>
    <col min="10501" max="10501" width="14.42578125" style="1079" customWidth="1"/>
    <col min="10502" max="10502" width="3.7109375" style="1079" customWidth="1"/>
    <col min="10503" max="10503" width="20" style="1079" customWidth="1"/>
    <col min="10504" max="10515" width="8.7109375" style="1079" customWidth="1"/>
    <col min="10516" max="10516" width="10.42578125" style="1079" bestFit="1" customWidth="1"/>
    <col min="10517" max="10755" width="9.140625" style="1079"/>
    <col min="10756" max="10756" width="3.7109375" style="1079" customWidth="1"/>
    <col min="10757" max="10757" width="14.42578125" style="1079" customWidth="1"/>
    <col min="10758" max="10758" width="3.7109375" style="1079" customWidth="1"/>
    <col min="10759" max="10759" width="20" style="1079" customWidth="1"/>
    <col min="10760" max="10771" width="8.7109375" style="1079" customWidth="1"/>
    <col min="10772" max="10772" width="10.42578125" style="1079" bestFit="1" customWidth="1"/>
    <col min="10773" max="11011" width="9.140625" style="1079"/>
    <col min="11012" max="11012" width="3.7109375" style="1079" customWidth="1"/>
    <col min="11013" max="11013" width="14.42578125" style="1079" customWidth="1"/>
    <col min="11014" max="11014" width="3.7109375" style="1079" customWidth="1"/>
    <col min="11015" max="11015" width="20" style="1079" customWidth="1"/>
    <col min="11016" max="11027" width="8.7109375" style="1079" customWidth="1"/>
    <col min="11028" max="11028" width="10.42578125" style="1079" bestFit="1" customWidth="1"/>
    <col min="11029" max="11267" width="9.140625" style="1079"/>
    <col min="11268" max="11268" width="3.7109375" style="1079" customWidth="1"/>
    <col min="11269" max="11269" width="14.42578125" style="1079" customWidth="1"/>
    <col min="11270" max="11270" width="3.7109375" style="1079" customWidth="1"/>
    <col min="11271" max="11271" width="20" style="1079" customWidth="1"/>
    <col min="11272" max="11283" width="8.7109375" style="1079" customWidth="1"/>
    <col min="11284" max="11284" width="10.42578125" style="1079" bestFit="1" customWidth="1"/>
    <col min="11285" max="11523" width="9.140625" style="1079"/>
    <col min="11524" max="11524" width="3.7109375" style="1079" customWidth="1"/>
    <col min="11525" max="11525" width="14.42578125" style="1079" customWidth="1"/>
    <col min="11526" max="11526" width="3.7109375" style="1079" customWidth="1"/>
    <col min="11527" max="11527" width="20" style="1079" customWidth="1"/>
    <col min="11528" max="11539" width="8.7109375" style="1079" customWidth="1"/>
    <col min="11540" max="11540" width="10.42578125" style="1079" bestFit="1" customWidth="1"/>
    <col min="11541" max="11779" width="9.140625" style="1079"/>
    <col min="11780" max="11780" width="3.7109375" style="1079" customWidth="1"/>
    <col min="11781" max="11781" width="14.42578125" style="1079" customWidth="1"/>
    <col min="11782" max="11782" width="3.7109375" style="1079" customWidth="1"/>
    <col min="11783" max="11783" width="20" style="1079" customWidth="1"/>
    <col min="11784" max="11795" width="8.7109375" style="1079" customWidth="1"/>
    <col min="11796" max="11796" width="10.42578125" style="1079" bestFit="1" customWidth="1"/>
    <col min="11797" max="12035" width="9.140625" style="1079"/>
    <col min="12036" max="12036" width="3.7109375" style="1079" customWidth="1"/>
    <col min="12037" max="12037" width="14.42578125" style="1079" customWidth="1"/>
    <col min="12038" max="12038" width="3.7109375" style="1079" customWidth="1"/>
    <col min="12039" max="12039" width="20" style="1079" customWidth="1"/>
    <col min="12040" max="12051" width="8.7109375" style="1079" customWidth="1"/>
    <col min="12052" max="12052" width="10.42578125" style="1079" bestFit="1" customWidth="1"/>
    <col min="12053" max="12291" width="9.140625" style="1079"/>
    <col min="12292" max="12292" width="3.7109375" style="1079" customWidth="1"/>
    <col min="12293" max="12293" width="14.42578125" style="1079" customWidth="1"/>
    <col min="12294" max="12294" width="3.7109375" style="1079" customWidth="1"/>
    <col min="12295" max="12295" width="20" style="1079" customWidth="1"/>
    <col min="12296" max="12307" width="8.7109375" style="1079" customWidth="1"/>
    <col min="12308" max="12308" width="10.42578125" style="1079" bestFit="1" customWidth="1"/>
    <col min="12309" max="12547" width="9.140625" style="1079"/>
    <col min="12548" max="12548" width="3.7109375" style="1079" customWidth="1"/>
    <col min="12549" max="12549" width="14.42578125" style="1079" customWidth="1"/>
    <col min="12550" max="12550" width="3.7109375" style="1079" customWidth="1"/>
    <col min="12551" max="12551" width="20" style="1079" customWidth="1"/>
    <col min="12552" max="12563" width="8.7109375" style="1079" customWidth="1"/>
    <col min="12564" max="12564" width="10.42578125" style="1079" bestFit="1" customWidth="1"/>
    <col min="12565" max="12803" width="9.140625" style="1079"/>
    <col min="12804" max="12804" width="3.7109375" style="1079" customWidth="1"/>
    <col min="12805" max="12805" width="14.42578125" style="1079" customWidth="1"/>
    <col min="12806" max="12806" width="3.7109375" style="1079" customWidth="1"/>
    <col min="12807" max="12807" width="20" style="1079" customWidth="1"/>
    <col min="12808" max="12819" width="8.7109375" style="1079" customWidth="1"/>
    <col min="12820" max="12820" width="10.42578125" style="1079" bestFit="1" customWidth="1"/>
    <col min="12821" max="13059" width="9.140625" style="1079"/>
    <col min="13060" max="13060" width="3.7109375" style="1079" customWidth="1"/>
    <col min="13061" max="13061" width="14.42578125" style="1079" customWidth="1"/>
    <col min="13062" max="13062" width="3.7109375" style="1079" customWidth="1"/>
    <col min="13063" max="13063" width="20" style="1079" customWidth="1"/>
    <col min="13064" max="13075" width="8.7109375" style="1079" customWidth="1"/>
    <col min="13076" max="13076" width="10.42578125" style="1079" bestFit="1" customWidth="1"/>
    <col min="13077" max="13315" width="9.140625" style="1079"/>
    <col min="13316" max="13316" width="3.7109375" style="1079" customWidth="1"/>
    <col min="13317" max="13317" width="14.42578125" style="1079" customWidth="1"/>
    <col min="13318" max="13318" width="3.7109375" style="1079" customWidth="1"/>
    <col min="13319" max="13319" width="20" style="1079" customWidth="1"/>
    <col min="13320" max="13331" width="8.7109375" style="1079" customWidth="1"/>
    <col min="13332" max="13332" width="10.42578125" style="1079" bestFit="1" customWidth="1"/>
    <col min="13333" max="13571" width="9.140625" style="1079"/>
    <col min="13572" max="13572" width="3.7109375" style="1079" customWidth="1"/>
    <col min="13573" max="13573" width="14.42578125" style="1079" customWidth="1"/>
    <col min="13574" max="13574" width="3.7109375" style="1079" customWidth="1"/>
    <col min="13575" max="13575" width="20" style="1079" customWidth="1"/>
    <col min="13576" max="13587" width="8.7109375" style="1079" customWidth="1"/>
    <col min="13588" max="13588" width="10.42578125" style="1079" bestFit="1" customWidth="1"/>
    <col min="13589" max="13827" width="9.140625" style="1079"/>
    <col min="13828" max="13828" width="3.7109375" style="1079" customWidth="1"/>
    <col min="13829" max="13829" width="14.42578125" style="1079" customWidth="1"/>
    <col min="13830" max="13830" width="3.7109375" style="1079" customWidth="1"/>
    <col min="13831" max="13831" width="20" style="1079" customWidth="1"/>
    <col min="13832" max="13843" width="8.7109375" style="1079" customWidth="1"/>
    <col min="13844" max="13844" width="10.42578125" style="1079" bestFit="1" customWidth="1"/>
    <col min="13845" max="14083" width="9.140625" style="1079"/>
    <col min="14084" max="14084" width="3.7109375" style="1079" customWidth="1"/>
    <col min="14085" max="14085" width="14.42578125" style="1079" customWidth="1"/>
    <col min="14086" max="14086" width="3.7109375" style="1079" customWidth="1"/>
    <col min="14087" max="14087" width="20" style="1079" customWidth="1"/>
    <col min="14088" max="14099" width="8.7109375" style="1079" customWidth="1"/>
    <col min="14100" max="14100" width="10.42578125" style="1079" bestFit="1" customWidth="1"/>
    <col min="14101" max="14339" width="9.140625" style="1079"/>
    <col min="14340" max="14340" width="3.7109375" style="1079" customWidth="1"/>
    <col min="14341" max="14341" width="14.42578125" style="1079" customWidth="1"/>
    <col min="14342" max="14342" width="3.7109375" style="1079" customWidth="1"/>
    <col min="14343" max="14343" width="20" style="1079" customWidth="1"/>
    <col min="14344" max="14355" width="8.7109375" style="1079" customWidth="1"/>
    <col min="14356" max="14356" width="10.42578125" style="1079" bestFit="1" customWidth="1"/>
    <col min="14357" max="14595" width="9.140625" style="1079"/>
    <col min="14596" max="14596" width="3.7109375" style="1079" customWidth="1"/>
    <col min="14597" max="14597" width="14.42578125" style="1079" customWidth="1"/>
    <col min="14598" max="14598" width="3.7109375" style="1079" customWidth="1"/>
    <col min="14599" max="14599" width="20" style="1079" customWidth="1"/>
    <col min="14600" max="14611" width="8.7109375" style="1079" customWidth="1"/>
    <col min="14612" max="14612" width="10.42578125" style="1079" bestFit="1" customWidth="1"/>
    <col min="14613" max="14851" width="9.140625" style="1079"/>
    <col min="14852" max="14852" width="3.7109375" style="1079" customWidth="1"/>
    <col min="14853" max="14853" width="14.42578125" style="1079" customWidth="1"/>
    <col min="14854" max="14854" width="3.7109375" style="1079" customWidth="1"/>
    <col min="14855" max="14855" width="20" style="1079" customWidth="1"/>
    <col min="14856" max="14867" width="8.7109375" style="1079" customWidth="1"/>
    <col min="14868" max="14868" width="10.42578125" style="1079" bestFit="1" customWidth="1"/>
    <col min="14869" max="15107" width="9.140625" style="1079"/>
    <col min="15108" max="15108" width="3.7109375" style="1079" customWidth="1"/>
    <col min="15109" max="15109" width="14.42578125" style="1079" customWidth="1"/>
    <col min="15110" max="15110" width="3.7109375" style="1079" customWidth="1"/>
    <col min="15111" max="15111" width="20" style="1079" customWidth="1"/>
    <col min="15112" max="15123" width="8.7109375" style="1079" customWidth="1"/>
    <col min="15124" max="15124" width="10.42578125" style="1079" bestFit="1" customWidth="1"/>
    <col min="15125" max="15363" width="9.140625" style="1079"/>
    <col min="15364" max="15364" width="3.7109375" style="1079" customWidth="1"/>
    <col min="15365" max="15365" width="14.42578125" style="1079" customWidth="1"/>
    <col min="15366" max="15366" width="3.7109375" style="1079" customWidth="1"/>
    <col min="15367" max="15367" width="20" style="1079" customWidth="1"/>
    <col min="15368" max="15379" width="8.7109375" style="1079" customWidth="1"/>
    <col min="15380" max="15380" width="10.42578125" style="1079" bestFit="1" customWidth="1"/>
    <col min="15381" max="15619" width="9.140625" style="1079"/>
    <col min="15620" max="15620" width="3.7109375" style="1079" customWidth="1"/>
    <col min="15621" max="15621" width="14.42578125" style="1079" customWidth="1"/>
    <col min="15622" max="15622" width="3.7109375" style="1079" customWidth="1"/>
    <col min="15623" max="15623" width="20" style="1079" customWidth="1"/>
    <col min="15624" max="15635" width="8.7109375" style="1079" customWidth="1"/>
    <col min="15636" max="15636" width="10.42578125" style="1079" bestFit="1" customWidth="1"/>
    <col min="15637" max="15875" width="9.140625" style="1079"/>
    <col min="15876" max="15876" width="3.7109375" style="1079" customWidth="1"/>
    <col min="15877" max="15877" width="14.42578125" style="1079" customWidth="1"/>
    <col min="15878" max="15878" width="3.7109375" style="1079" customWidth="1"/>
    <col min="15879" max="15879" width="20" style="1079" customWidth="1"/>
    <col min="15880" max="15891" width="8.7109375" style="1079" customWidth="1"/>
    <col min="15892" max="15892" width="10.42578125" style="1079" bestFit="1" customWidth="1"/>
    <col min="15893" max="16131" width="9.140625" style="1079"/>
    <col min="16132" max="16132" width="3.7109375" style="1079" customWidth="1"/>
    <col min="16133" max="16133" width="14.42578125" style="1079" customWidth="1"/>
    <col min="16134" max="16134" width="3.7109375" style="1079" customWidth="1"/>
    <col min="16135" max="16135" width="20" style="1079" customWidth="1"/>
    <col min="16136" max="16147" width="8.7109375" style="1079" customWidth="1"/>
    <col min="16148" max="16148" width="10.42578125" style="1079" bestFit="1" customWidth="1"/>
    <col min="16149" max="16384" width="9.140625" style="1079"/>
  </cols>
  <sheetData>
    <row r="1" spans="1:29" x14ac:dyDescent="0.2">
      <c r="A1" s="1076"/>
      <c r="B1" s="1077"/>
      <c r="C1" s="1077"/>
      <c r="D1" s="1078"/>
      <c r="E1" s="1078"/>
      <c r="F1" s="1078"/>
      <c r="G1" s="1078"/>
      <c r="H1" s="1078"/>
      <c r="I1" s="1078"/>
      <c r="J1" s="1078"/>
      <c r="K1" s="1078"/>
      <c r="L1" s="1078"/>
      <c r="M1" s="1078"/>
      <c r="N1" s="1078"/>
      <c r="O1" s="1078"/>
      <c r="P1" s="1078"/>
      <c r="Q1" s="1078"/>
      <c r="R1" s="1078"/>
      <c r="S1" s="1078"/>
      <c r="T1" s="1078"/>
      <c r="U1" s="1078"/>
    </row>
    <row r="2" spans="1:29" ht="14.25" customHeight="1" x14ac:dyDescent="0.2">
      <c r="A2" s="782">
        <v>1</v>
      </c>
      <c r="B2" s="782" t="s">
        <v>0</v>
      </c>
      <c r="C2" s="782">
        <v>46</v>
      </c>
      <c r="D2" s="4048" t="s">
        <v>491</v>
      </c>
      <c r="E2" s="4049"/>
      <c r="F2" s="4049"/>
      <c r="G2" s="4049"/>
      <c r="H2" s="4049"/>
      <c r="I2" s="4049"/>
      <c r="J2" s="4049"/>
      <c r="K2" s="4049"/>
      <c r="L2" s="4049"/>
      <c r="M2" s="4049"/>
      <c r="N2" s="4049"/>
      <c r="O2" s="4049"/>
      <c r="P2" s="4049"/>
      <c r="Q2" s="4049"/>
      <c r="R2" s="4049"/>
      <c r="S2" s="4049"/>
      <c r="T2" s="4049"/>
      <c r="U2" s="4049"/>
      <c r="V2" s="4049"/>
      <c r="W2" s="4049"/>
      <c r="X2" s="4049"/>
      <c r="Y2" s="4049"/>
      <c r="Z2" s="4049"/>
      <c r="AA2" s="4050"/>
    </row>
    <row r="3" spans="1:29" ht="15" customHeight="1" x14ac:dyDescent="0.2">
      <c r="A3" s="782">
        <v>2</v>
      </c>
      <c r="B3" s="782" t="s">
        <v>2</v>
      </c>
      <c r="C3" s="782"/>
      <c r="D3" s="4048" t="s">
        <v>402</v>
      </c>
      <c r="E3" s="4049"/>
      <c r="F3" s="4049"/>
      <c r="G3" s="4049"/>
      <c r="H3" s="4049"/>
      <c r="I3" s="4049"/>
      <c r="J3" s="4049"/>
      <c r="K3" s="4049"/>
      <c r="L3" s="4049"/>
      <c r="M3" s="4049"/>
      <c r="N3" s="4049"/>
      <c r="O3" s="4049"/>
      <c r="P3" s="4049"/>
      <c r="Q3" s="4049"/>
      <c r="R3" s="4049"/>
      <c r="S3" s="4049"/>
      <c r="T3" s="4049"/>
      <c r="U3" s="4049"/>
      <c r="V3" s="4049"/>
      <c r="W3" s="4049"/>
      <c r="X3" s="4049"/>
      <c r="Y3" s="4049"/>
      <c r="Z3" s="4049"/>
      <c r="AA3" s="4050"/>
    </row>
    <row r="4" spans="1:29" ht="14.25" customHeight="1" x14ac:dyDescent="0.2">
      <c r="A4" s="782">
        <v>3</v>
      </c>
      <c r="B4" s="782" t="s">
        <v>4</v>
      </c>
      <c r="C4" s="782"/>
      <c r="D4" s="4048" t="s">
        <v>492</v>
      </c>
      <c r="E4" s="4049"/>
      <c r="F4" s="4049"/>
      <c r="G4" s="4049"/>
      <c r="H4" s="4049"/>
      <c r="I4" s="4049"/>
      <c r="J4" s="4049"/>
      <c r="K4" s="4049"/>
      <c r="L4" s="4049"/>
      <c r="M4" s="4049"/>
      <c r="N4" s="4049"/>
      <c r="O4" s="4049"/>
      <c r="P4" s="4049"/>
      <c r="Q4" s="4049"/>
      <c r="R4" s="4049"/>
      <c r="S4" s="4049"/>
      <c r="T4" s="4049"/>
      <c r="U4" s="4049"/>
      <c r="V4" s="4049"/>
      <c r="W4" s="4049"/>
      <c r="X4" s="4049"/>
      <c r="Y4" s="4049"/>
      <c r="Z4" s="4049"/>
      <c r="AA4" s="4050"/>
    </row>
    <row r="5" spans="1:29" ht="14.25" customHeight="1" x14ac:dyDescent="0.25">
      <c r="A5" s="782"/>
      <c r="B5" s="782"/>
      <c r="C5" s="782"/>
      <c r="D5" s="142"/>
      <c r="E5" s="142"/>
      <c r="F5" s="142"/>
      <c r="G5" s="229"/>
      <c r="H5" s="229"/>
      <c r="I5" s="229"/>
      <c r="J5" s="229"/>
      <c r="K5" s="229"/>
      <c r="L5" s="229"/>
      <c r="M5" s="229"/>
      <c r="N5" s="229"/>
      <c r="O5" s="229"/>
      <c r="P5" s="229"/>
      <c r="Q5" s="229"/>
      <c r="R5" s="229"/>
      <c r="S5" s="229"/>
      <c r="T5" s="229"/>
      <c r="U5" s="1184"/>
    </row>
    <row r="6" spans="1:29" s="74" customFormat="1" ht="12.75" customHeight="1" x14ac:dyDescent="0.2">
      <c r="A6" s="1083"/>
      <c r="B6" s="957"/>
      <c r="C6" s="957"/>
      <c r="D6" s="1185"/>
      <c r="E6" s="1185"/>
      <c r="F6" s="1185"/>
      <c r="G6" s="1185"/>
      <c r="H6" s="1185"/>
      <c r="I6" s="1185"/>
      <c r="J6" s="1185"/>
      <c r="K6" s="1185"/>
      <c r="L6" s="1185"/>
      <c r="M6" s="1185"/>
      <c r="N6" s="1185"/>
      <c r="O6" s="1185"/>
      <c r="P6" s="1185"/>
      <c r="Q6" s="52"/>
      <c r="R6" s="52"/>
      <c r="V6" s="1186"/>
    </row>
    <row r="7" spans="1:29" s="74" customFormat="1" ht="12.75" customHeight="1" x14ac:dyDescent="0.2">
      <c r="A7" s="782">
        <v>4</v>
      </c>
      <c r="B7" s="902" t="s">
        <v>5</v>
      </c>
      <c r="C7" s="1082"/>
      <c r="D7" s="1187" t="s">
        <v>40</v>
      </c>
      <c r="E7" s="1187"/>
      <c r="F7" s="1187"/>
      <c r="G7" s="1188" t="s">
        <v>493</v>
      </c>
      <c r="H7" s="1189"/>
      <c r="I7" s="1189"/>
      <c r="J7" s="1189"/>
      <c r="K7" s="1189"/>
      <c r="L7" s="1189"/>
      <c r="M7" s="1189"/>
      <c r="N7" s="1189"/>
      <c r="O7" s="1189"/>
      <c r="P7" s="1189"/>
      <c r="Q7" s="1189"/>
      <c r="S7" s="120"/>
      <c r="T7" s="120"/>
      <c r="U7" s="120"/>
    </row>
    <row r="8" spans="1:29" s="74" customFormat="1" ht="12.75" customHeight="1" x14ac:dyDescent="0.2">
      <c r="A8" s="1190"/>
      <c r="B8" s="1082"/>
      <c r="C8" s="1082"/>
      <c r="D8" s="1191"/>
      <c r="E8" s="946">
        <v>1995</v>
      </c>
      <c r="F8" s="946">
        <v>1996</v>
      </c>
      <c r="G8" s="946">
        <v>1997</v>
      </c>
      <c r="H8" s="946">
        <v>1998</v>
      </c>
      <c r="I8" s="946">
        <v>1999</v>
      </c>
      <c r="J8" s="946">
        <v>2000</v>
      </c>
      <c r="K8" s="946">
        <v>2001</v>
      </c>
      <c r="L8" s="946">
        <v>2002</v>
      </c>
      <c r="M8" s="946">
        <v>2003</v>
      </c>
      <c r="N8" s="946">
        <v>2004</v>
      </c>
      <c r="O8" s="946">
        <v>2005</v>
      </c>
      <c r="P8" s="946">
        <v>2006</v>
      </c>
      <c r="Q8" s="946">
        <v>2007</v>
      </c>
      <c r="R8" s="946">
        <v>2008</v>
      </c>
      <c r="S8" s="946">
        <v>2009</v>
      </c>
      <c r="T8" s="946">
        <v>2010</v>
      </c>
      <c r="U8" s="946">
        <v>2011</v>
      </c>
      <c r="V8" s="946">
        <v>2012</v>
      </c>
      <c r="W8" s="946">
        <v>2013</v>
      </c>
      <c r="X8" s="946">
        <v>2014</v>
      </c>
      <c r="Y8" s="946">
        <v>2015</v>
      </c>
      <c r="Z8" s="946">
        <v>2016</v>
      </c>
      <c r="AA8" s="1192">
        <v>2017</v>
      </c>
      <c r="AB8" s="560"/>
      <c r="AC8" s="185"/>
    </row>
    <row r="9" spans="1:29" s="74" customFormat="1" ht="12.75" customHeight="1" x14ac:dyDescent="0.2">
      <c r="A9" s="1190"/>
      <c r="B9" s="1082"/>
      <c r="C9" s="1193">
        <v>1</v>
      </c>
      <c r="D9" s="1167" t="s">
        <v>494</v>
      </c>
      <c r="E9" s="1194"/>
      <c r="F9" s="1194"/>
      <c r="G9" s="1195"/>
      <c r="H9" s="1195"/>
      <c r="I9" s="1195"/>
      <c r="J9" s="1196"/>
      <c r="K9" s="1196"/>
      <c r="L9" s="1196">
        <v>0.72699999999999998</v>
      </c>
      <c r="M9" s="1196">
        <v>0.745</v>
      </c>
      <c r="N9" s="1196">
        <v>0.75</v>
      </c>
      <c r="O9" s="1196">
        <v>0.75800000000000001</v>
      </c>
      <c r="P9" s="1196">
        <v>0.76300000000000001</v>
      </c>
      <c r="Q9" s="1196">
        <v>0.77300000000000002</v>
      </c>
      <c r="R9" s="1196">
        <v>0.77600000000000002</v>
      </c>
      <c r="S9" s="1196">
        <v>0.80700000000000005</v>
      </c>
      <c r="T9" s="1196">
        <v>0.81200000000000006</v>
      </c>
      <c r="U9" s="1196">
        <v>0.82299999999999995</v>
      </c>
      <c r="V9" s="1196">
        <v>0.83499999999999996</v>
      </c>
      <c r="W9" s="1196">
        <v>0.83799999999999997</v>
      </c>
      <c r="X9" s="1196">
        <v>0.84199999999999997</v>
      </c>
      <c r="Y9" s="1196">
        <v>0.84399999999999997</v>
      </c>
      <c r="Z9" s="1196">
        <v>0.85142957999999991</v>
      </c>
      <c r="AA9" s="1197">
        <v>0.86144141000000007</v>
      </c>
      <c r="AB9" s="1198"/>
      <c r="AC9" s="1099"/>
    </row>
    <row r="10" spans="1:29" s="74" customFormat="1" ht="12.75" customHeight="1" x14ac:dyDescent="0.2">
      <c r="A10" s="1190"/>
      <c r="B10" s="1082"/>
      <c r="C10" s="1193">
        <v>2</v>
      </c>
      <c r="D10" s="138" t="s">
        <v>495</v>
      </c>
      <c r="E10" s="1196">
        <v>0.69582114118507699</v>
      </c>
      <c r="F10" s="1194"/>
      <c r="G10" s="1196">
        <v>0.69258781105587497</v>
      </c>
      <c r="H10" s="1196">
        <v>0.68703930601276797</v>
      </c>
      <c r="I10" s="1196">
        <v>0.69049620076509899</v>
      </c>
      <c r="J10" s="1196"/>
      <c r="K10" s="1196"/>
      <c r="L10" s="1196"/>
      <c r="M10" s="1196"/>
      <c r="N10" s="1196"/>
      <c r="O10" s="1196"/>
      <c r="P10" s="1196"/>
      <c r="Q10" s="1196"/>
      <c r="R10" s="1196"/>
      <c r="S10" s="1196"/>
      <c r="T10" s="1196"/>
      <c r="U10" s="1196"/>
      <c r="V10" s="1196"/>
      <c r="W10" s="1196"/>
      <c r="X10" s="1196"/>
      <c r="Y10" s="1196"/>
      <c r="Z10" s="1196"/>
      <c r="AA10" s="1197"/>
      <c r="AB10" s="1198"/>
      <c r="AC10" s="1099"/>
    </row>
    <row r="11" spans="1:29" s="74" customFormat="1" ht="12.75" customHeight="1" x14ac:dyDescent="0.2">
      <c r="A11" s="1190"/>
      <c r="B11" s="1082"/>
      <c r="C11" s="1193">
        <v>3</v>
      </c>
      <c r="D11" s="1167" t="s">
        <v>496</v>
      </c>
      <c r="E11" s="1194"/>
      <c r="F11" s="1194"/>
      <c r="G11" s="1199"/>
      <c r="H11" s="1199"/>
      <c r="I11" s="1199"/>
      <c r="J11" s="1196"/>
      <c r="K11" s="1196"/>
      <c r="L11" s="1196">
        <v>0.69379092021008704</v>
      </c>
      <c r="M11" s="1196">
        <v>0.70300464922628603</v>
      </c>
      <c r="N11" s="1196">
        <v>0.71803278688524597</v>
      </c>
      <c r="O11" s="1196">
        <v>0.73699999999999999</v>
      </c>
      <c r="P11" s="1196">
        <v>0.745</v>
      </c>
      <c r="Q11" s="1196">
        <v>0.75700000000000001</v>
      </c>
      <c r="R11" s="1196">
        <v>0.753</v>
      </c>
      <c r="S11" s="1196">
        <v>0.78800000000000003</v>
      </c>
      <c r="T11" s="1196">
        <v>0.79500000000000004</v>
      </c>
      <c r="U11" s="1196">
        <v>0.80700000000000005</v>
      </c>
      <c r="V11" s="1196">
        <v>0.82</v>
      </c>
      <c r="W11" s="1196">
        <v>0.82499999999999996</v>
      </c>
      <c r="X11" s="1196">
        <v>0.83</v>
      </c>
      <c r="Y11" s="1196">
        <v>0.83199999999999996</v>
      </c>
      <c r="Z11" s="1196">
        <v>0.83923060999999999</v>
      </c>
      <c r="AA11" s="1197">
        <v>0.85250806000000001</v>
      </c>
      <c r="AB11" s="1198"/>
      <c r="AC11" s="1099"/>
    </row>
    <row r="12" spans="1:29" s="74" customFormat="1" ht="12.75" customHeight="1" x14ac:dyDescent="0.2">
      <c r="A12" s="1190"/>
      <c r="B12" s="1082"/>
      <c r="C12" s="1200">
        <v>4</v>
      </c>
      <c r="D12" s="1201" t="s">
        <v>497</v>
      </c>
      <c r="E12" s="1202">
        <v>0.67228661749209695</v>
      </c>
      <c r="F12" s="1203"/>
      <c r="G12" s="1202">
        <v>0.675676991430467</v>
      </c>
      <c r="H12" s="1202">
        <v>0.67219802920879301</v>
      </c>
      <c r="I12" s="1202">
        <v>0.67376959649273205</v>
      </c>
      <c r="J12" s="1202"/>
      <c r="K12" s="1202"/>
      <c r="L12" s="1202"/>
      <c r="M12" s="1202"/>
      <c r="N12" s="1202"/>
      <c r="O12" s="1202"/>
      <c r="P12" s="1202"/>
      <c r="Q12" s="1202"/>
      <c r="R12" s="1202"/>
      <c r="S12" s="1202"/>
      <c r="T12" s="1202"/>
      <c r="U12" s="1202"/>
      <c r="V12" s="1202"/>
      <c r="W12" s="1202"/>
      <c r="X12" s="1202"/>
      <c r="Y12" s="1202"/>
      <c r="Z12" s="1202"/>
      <c r="AA12" s="1204"/>
      <c r="AB12" s="1198"/>
      <c r="AC12" s="1099"/>
    </row>
    <row r="13" spans="1:29" s="74" customFormat="1" ht="12.75" customHeight="1" x14ac:dyDescent="0.2">
      <c r="A13" s="1190"/>
      <c r="B13" s="1082"/>
      <c r="C13" s="1200"/>
      <c r="D13" s="1205" t="s">
        <v>498</v>
      </c>
      <c r="E13" s="1096">
        <f>1-E10</f>
        <v>0.30417885881492301</v>
      </c>
      <c r="F13" s="1096"/>
      <c r="G13" s="1096">
        <f>1-G10</f>
        <v>0.30741218894412503</v>
      </c>
      <c r="H13" s="1096">
        <f>1-H10</f>
        <v>0.31296069398723203</v>
      </c>
      <c r="I13" s="1096">
        <f>1-I10</f>
        <v>0.30950379923490101</v>
      </c>
      <c r="J13" s="1096"/>
      <c r="K13" s="1096"/>
      <c r="L13" s="1096">
        <v>0.27300000000000002</v>
      </c>
      <c r="M13" s="1096">
        <v>0.255</v>
      </c>
      <c r="N13" s="1096">
        <v>0.25</v>
      </c>
      <c r="O13" s="1096">
        <v>0.24199999999999999</v>
      </c>
      <c r="P13" s="1096">
        <v>0.23699999999999999</v>
      </c>
      <c r="Q13" s="1096">
        <v>0.22699999999999998</v>
      </c>
      <c r="R13" s="1096">
        <v>0.22399999999999998</v>
      </c>
      <c r="S13" s="1096">
        <v>0.19299999999999995</v>
      </c>
      <c r="T13" s="1096">
        <v>0.18799999999999994</v>
      </c>
      <c r="U13" s="1096">
        <v>0.17700000000000005</v>
      </c>
      <c r="V13" s="1096">
        <v>0.16500000000000004</v>
      </c>
      <c r="W13" s="1096">
        <v>0.16200000000000003</v>
      </c>
      <c r="X13" s="1096">
        <v>0.15800000000000003</v>
      </c>
      <c r="Y13" s="1096">
        <v>0.156</v>
      </c>
      <c r="Z13" s="1206">
        <v>0.14857042000000009</v>
      </c>
      <c r="AA13" s="1207">
        <v>0.13855858999999993</v>
      </c>
      <c r="AB13" s="1198"/>
      <c r="AC13" s="1099"/>
    </row>
    <row r="14" spans="1:29" s="74" customFormat="1" ht="12.75" customHeight="1" x14ac:dyDescent="0.2">
      <c r="A14" s="1190"/>
      <c r="B14" s="1082"/>
      <c r="C14" s="1200"/>
      <c r="D14" s="1167"/>
      <c r="E14" s="1099"/>
      <c r="F14" s="193"/>
      <c r="G14" s="1099"/>
      <c r="H14" s="1099"/>
      <c r="I14" s="1099"/>
      <c r="J14" s="1099"/>
      <c r="K14" s="1099"/>
      <c r="L14" s="1099"/>
      <c r="M14" s="1099"/>
      <c r="N14" s="1099"/>
      <c r="O14" s="1099"/>
      <c r="P14" s="1099"/>
      <c r="Q14" s="1099"/>
      <c r="R14" s="1099"/>
      <c r="S14" s="1099"/>
      <c r="T14" s="1099"/>
      <c r="U14" s="1099"/>
      <c r="V14" s="1099"/>
      <c r="W14" s="1099"/>
      <c r="X14" s="1099"/>
    </row>
    <row r="15" spans="1:29" s="74" customFormat="1" ht="12.75" customHeight="1" x14ac:dyDescent="0.2">
      <c r="A15" s="1190"/>
      <c r="B15" s="1082"/>
      <c r="C15" s="1200"/>
      <c r="D15" s="1208" t="s">
        <v>67</v>
      </c>
      <c r="E15" s="1188"/>
      <c r="F15" s="193"/>
      <c r="G15" s="1188" t="s">
        <v>499</v>
      </c>
      <c r="H15" s="1099"/>
      <c r="I15" s="1099"/>
      <c r="J15" s="1099"/>
      <c r="K15" s="1099"/>
      <c r="L15" s="1099"/>
      <c r="M15" s="1099"/>
      <c r="N15" s="1099"/>
      <c r="O15" s="1099"/>
      <c r="P15" s="1099"/>
    </row>
    <row r="16" spans="1:29" s="74" customFormat="1" ht="12.75" customHeight="1" x14ac:dyDescent="0.2">
      <c r="A16" s="1190"/>
      <c r="B16" s="1082"/>
      <c r="C16" s="1082"/>
      <c r="D16" s="1191"/>
      <c r="E16" s="184">
        <v>1995</v>
      </c>
      <c r="F16" s="184">
        <v>1996</v>
      </c>
      <c r="G16" s="184">
        <v>1997</v>
      </c>
      <c r="H16" s="184">
        <v>1998</v>
      </c>
      <c r="I16" s="184">
        <v>1999</v>
      </c>
      <c r="J16" s="184">
        <v>2000</v>
      </c>
      <c r="K16" s="184">
        <v>2001</v>
      </c>
      <c r="L16" s="184">
        <v>2002</v>
      </c>
      <c r="M16" s="184">
        <v>2003</v>
      </c>
      <c r="N16" s="184">
        <v>2004</v>
      </c>
      <c r="O16" s="184">
        <v>2005</v>
      </c>
      <c r="P16" s="184">
        <v>2006</v>
      </c>
      <c r="Q16" s="184">
        <v>2007</v>
      </c>
      <c r="R16" s="184">
        <v>2008</v>
      </c>
      <c r="S16" s="184">
        <v>2009</v>
      </c>
      <c r="T16" s="184">
        <v>2010</v>
      </c>
      <c r="U16" s="184">
        <v>2011</v>
      </c>
    </row>
    <row r="17" spans="1:21" s="74" customFormat="1" ht="12.75" customHeight="1" x14ac:dyDescent="0.2">
      <c r="A17" s="1190"/>
      <c r="B17" s="1082"/>
      <c r="C17" s="1082"/>
      <c r="D17" s="967" t="s">
        <v>19</v>
      </c>
      <c r="E17" s="1209"/>
      <c r="F17" s="1210">
        <f>(100-40.4)/100</f>
        <v>0.59599999999999997</v>
      </c>
      <c r="G17" s="1211"/>
      <c r="H17" s="1211"/>
      <c r="I17" s="1211"/>
      <c r="J17" s="1211"/>
      <c r="K17" s="1210">
        <f>(100-39.7)/100</f>
        <v>0.60299999999999998</v>
      </c>
      <c r="L17" s="1211"/>
      <c r="M17" s="1211"/>
      <c r="N17" s="1211"/>
      <c r="O17" s="1211"/>
      <c r="P17" s="1211"/>
      <c r="Q17" s="1211"/>
      <c r="R17" s="1211"/>
      <c r="S17" s="1211"/>
      <c r="T17" s="1211"/>
      <c r="U17" s="1210">
        <f>(100-26.5)/100</f>
        <v>0.73499999999999999</v>
      </c>
    </row>
    <row r="18" spans="1:21" s="74" customFormat="1" ht="12.75" customHeight="1" x14ac:dyDescent="0.2">
      <c r="A18" s="1190"/>
      <c r="B18" s="1082"/>
      <c r="C18" s="1082"/>
      <c r="D18" s="967" t="s">
        <v>20</v>
      </c>
      <c r="E18" s="1209"/>
      <c r="F18" s="1210">
        <f>(100-36.2)/100</f>
        <v>0.63800000000000001</v>
      </c>
      <c r="G18" s="1211"/>
      <c r="H18" s="1211"/>
      <c r="I18" s="1211"/>
      <c r="J18" s="1211"/>
      <c r="K18" s="1210">
        <f>(100-34.7)/100</f>
        <v>0.65300000000000002</v>
      </c>
      <c r="L18" s="1211"/>
      <c r="M18" s="1211"/>
      <c r="N18" s="1211"/>
      <c r="O18" s="1211"/>
      <c r="P18" s="1211"/>
      <c r="Q18" s="1211"/>
      <c r="R18" s="1211"/>
      <c r="S18" s="1211"/>
      <c r="T18" s="1211"/>
      <c r="U18" s="1210">
        <f>(100-21.1)/100</f>
        <v>0.78900000000000003</v>
      </c>
    </row>
    <row r="19" spans="1:21" s="74" customFormat="1" ht="12.75" customHeight="1" x14ac:dyDescent="0.2">
      <c r="A19" s="1190"/>
      <c r="B19" s="1082"/>
      <c r="C19" s="1082"/>
      <c r="D19" s="967" t="s">
        <v>21</v>
      </c>
      <c r="E19" s="1209"/>
      <c r="F19" s="1210">
        <f>(100-20.5)/100</f>
        <v>0.79500000000000004</v>
      </c>
      <c r="G19" s="1211"/>
      <c r="H19" s="1211"/>
      <c r="I19" s="1211"/>
      <c r="J19" s="1211"/>
      <c r="K19" s="1210">
        <f>(100-19.2)/100</f>
        <v>0.80799999999999994</v>
      </c>
      <c r="L19" s="1211"/>
      <c r="M19" s="1211"/>
      <c r="N19" s="1211"/>
      <c r="O19" s="1211"/>
      <c r="P19" s="1211"/>
      <c r="Q19" s="1211"/>
      <c r="R19" s="1211"/>
      <c r="S19" s="1211"/>
      <c r="T19" s="1211"/>
      <c r="U19" s="1210">
        <f>(100-10.4)/100</f>
        <v>0.89599999999999991</v>
      </c>
    </row>
    <row r="20" spans="1:21" s="74" customFormat="1" ht="12.75" customHeight="1" x14ac:dyDescent="0.2">
      <c r="A20" s="1190"/>
      <c r="B20" s="1082"/>
      <c r="C20" s="1082"/>
      <c r="D20" s="967" t="s">
        <v>22</v>
      </c>
      <c r="E20" s="1209"/>
      <c r="F20" s="1210">
        <f>(100-37.7)/100</f>
        <v>0.623</v>
      </c>
      <c r="G20" s="1211"/>
      <c r="H20" s="1211"/>
      <c r="I20" s="1211"/>
      <c r="J20" s="1211"/>
      <c r="K20" s="1210">
        <f>(100-35.4)/100</f>
        <v>0.64599999999999991</v>
      </c>
      <c r="L20" s="1211"/>
      <c r="M20" s="1211"/>
      <c r="N20" s="1211"/>
      <c r="O20" s="1211"/>
      <c r="P20" s="1211"/>
      <c r="Q20" s="1211"/>
      <c r="R20" s="1211"/>
      <c r="S20" s="1211"/>
      <c r="T20" s="1211"/>
      <c r="U20" s="1210">
        <f>(100-21.8)/100</f>
        <v>0.78200000000000003</v>
      </c>
    </row>
    <row r="21" spans="1:21" s="74" customFormat="1" ht="12.75" customHeight="1" x14ac:dyDescent="0.2">
      <c r="A21" s="1190"/>
      <c r="B21" s="1082"/>
      <c r="C21" s="1082"/>
      <c r="D21" s="967" t="s">
        <v>23</v>
      </c>
      <c r="E21" s="1209"/>
      <c r="F21" s="1210">
        <f>(100-42.2)/100</f>
        <v>0.57799999999999996</v>
      </c>
      <c r="G21" s="1211"/>
      <c r="H21" s="1211"/>
      <c r="I21" s="1211"/>
      <c r="J21" s="1211"/>
      <c r="K21" s="1210">
        <f>(100-41)/100</f>
        <v>0.59</v>
      </c>
      <c r="L21" s="1211"/>
      <c r="M21" s="1211"/>
      <c r="N21" s="1211"/>
      <c r="O21" s="1211"/>
      <c r="P21" s="1211"/>
      <c r="Q21" s="1211"/>
      <c r="R21" s="1211"/>
      <c r="S21" s="1211"/>
      <c r="T21" s="1211"/>
      <c r="U21" s="1210">
        <f>(100-25)/100</f>
        <v>0.75</v>
      </c>
    </row>
    <row r="22" spans="1:21" s="74" customFormat="1" ht="12.75" customHeight="1" x14ac:dyDescent="0.2">
      <c r="A22" s="1190"/>
      <c r="B22" s="1082"/>
      <c r="C22" s="1082"/>
      <c r="D22" s="967" t="s">
        <v>24</v>
      </c>
      <c r="E22" s="1209"/>
      <c r="F22" s="1210">
        <f>(100-40.9)/100</f>
        <v>0.59099999999999997</v>
      </c>
      <c r="G22" s="1211"/>
      <c r="H22" s="1211"/>
      <c r="I22" s="1211"/>
      <c r="J22" s="1211"/>
      <c r="K22" s="1210">
        <f>(100-39.9)/100</f>
        <v>0.60099999999999998</v>
      </c>
      <c r="L22" s="1211"/>
      <c r="M22" s="1211"/>
      <c r="N22" s="1211"/>
      <c r="O22" s="1211"/>
      <c r="P22" s="1211"/>
      <c r="Q22" s="1211"/>
      <c r="R22" s="1211"/>
      <c r="S22" s="1211"/>
      <c r="T22" s="1211"/>
      <c r="U22" s="1210">
        <f>(100-23.1)/100</f>
        <v>0.76900000000000002</v>
      </c>
    </row>
    <row r="23" spans="1:21" s="74" customFormat="1" ht="12.75" customHeight="1" x14ac:dyDescent="0.2">
      <c r="A23" s="1190"/>
      <c r="B23" s="1082"/>
      <c r="C23" s="1082"/>
      <c r="D23" s="967" t="s">
        <v>25</v>
      </c>
      <c r="E23" s="1209"/>
      <c r="F23" s="1210">
        <f>(100-41.2)/100</f>
        <v>0.58799999999999997</v>
      </c>
      <c r="G23" s="1211"/>
      <c r="H23" s="1211"/>
      <c r="I23" s="1211"/>
      <c r="J23" s="1211"/>
      <c r="K23" s="1210">
        <f>(100-38)/100</f>
        <v>0.62</v>
      </c>
      <c r="L23" s="1211"/>
      <c r="M23" s="1211"/>
      <c r="N23" s="1211"/>
      <c r="O23" s="1211"/>
      <c r="P23" s="1211"/>
      <c r="Q23" s="1211"/>
      <c r="R23" s="1211"/>
      <c r="S23" s="1211"/>
      <c r="T23" s="1211"/>
      <c r="U23" s="1210">
        <f>(100-26.4)/100</f>
        <v>0.73599999999999999</v>
      </c>
    </row>
    <row r="24" spans="1:21" s="74" customFormat="1" ht="12.75" customHeight="1" x14ac:dyDescent="0.2">
      <c r="A24" s="1190"/>
      <c r="B24" s="1082"/>
      <c r="C24" s="1193"/>
      <c r="D24" s="967" t="s">
        <v>26</v>
      </c>
      <c r="E24" s="1212"/>
      <c r="F24" s="1213">
        <f>(100-42.1)/100</f>
        <v>0.57899999999999996</v>
      </c>
      <c r="G24" s="1214"/>
      <c r="H24" s="1214"/>
      <c r="I24" s="1214"/>
      <c r="J24" s="1211"/>
      <c r="K24" s="1210">
        <f>(100-38.1)/100</f>
        <v>0.61899999999999999</v>
      </c>
      <c r="L24" s="1211"/>
      <c r="M24" s="1211"/>
      <c r="N24" s="1211"/>
      <c r="O24" s="1211"/>
      <c r="P24" s="1211"/>
      <c r="Q24" s="1211"/>
      <c r="R24" s="1211"/>
      <c r="S24" s="1211"/>
      <c r="T24" s="1211"/>
      <c r="U24" s="1210">
        <f>(100-26)/100</f>
        <v>0.74</v>
      </c>
    </row>
    <row r="25" spans="1:21" s="74" customFormat="1" ht="12.75" customHeight="1" x14ac:dyDescent="0.2">
      <c r="A25" s="1190"/>
      <c r="B25" s="1082"/>
      <c r="C25" s="1200"/>
      <c r="D25" s="1121" t="s">
        <v>27</v>
      </c>
      <c r="E25" s="1215"/>
      <c r="F25" s="1216">
        <f>(100-21.1)/100</f>
        <v>0.78900000000000003</v>
      </c>
      <c r="G25" s="1217"/>
      <c r="H25" s="1217"/>
      <c r="I25" s="1217"/>
      <c r="J25" s="1217"/>
      <c r="K25" s="1218">
        <f>(100-19.6)/100</f>
        <v>0.80400000000000005</v>
      </c>
      <c r="L25" s="1217"/>
      <c r="M25" s="1217"/>
      <c r="N25" s="1217"/>
      <c r="O25" s="1217"/>
      <c r="P25" s="1217"/>
      <c r="Q25" s="1217"/>
      <c r="R25" s="1217"/>
      <c r="S25" s="1217"/>
      <c r="T25" s="1217"/>
      <c r="U25" s="1218">
        <f>(100-12.6)/100</f>
        <v>0.87400000000000011</v>
      </c>
    </row>
    <row r="26" spans="1:21" s="74" customFormat="1" ht="12.75" customHeight="1" x14ac:dyDescent="0.2">
      <c r="A26" s="1190"/>
      <c r="B26" s="1082"/>
      <c r="C26" s="1200"/>
      <c r="D26" s="1205" t="s">
        <v>500</v>
      </c>
      <c r="E26" s="1219"/>
      <c r="F26" s="1220">
        <f>(100-33.6)/100</f>
        <v>0.66400000000000003</v>
      </c>
      <c r="G26" s="1221"/>
      <c r="H26" s="1221"/>
      <c r="I26" s="1221"/>
      <c r="J26" s="1221"/>
      <c r="K26" s="1222">
        <f>(100-31.5)/100</f>
        <v>0.68500000000000005</v>
      </c>
      <c r="L26" s="1221"/>
      <c r="M26" s="1221"/>
      <c r="N26" s="1221"/>
      <c r="O26" s="1221"/>
      <c r="P26" s="1221"/>
      <c r="Q26" s="1221"/>
      <c r="R26" s="1221"/>
      <c r="S26" s="1221"/>
      <c r="T26" s="1221"/>
      <c r="U26" s="1222">
        <f>(100-19.1)/100</f>
        <v>0.80900000000000005</v>
      </c>
    </row>
    <row r="27" spans="1:21" s="1226" customFormat="1" ht="12.75" customHeight="1" x14ac:dyDescent="0.2">
      <c r="A27" s="1190"/>
      <c r="B27" s="1190"/>
      <c r="C27" s="1200"/>
      <c r="D27" s="1208" t="s">
        <v>498</v>
      </c>
      <c r="E27" s="1223"/>
      <c r="F27" s="1224">
        <v>0.33600000000000002</v>
      </c>
      <c r="G27" s="1225"/>
      <c r="H27" s="1225"/>
      <c r="I27" s="1225"/>
      <c r="J27" s="1225"/>
      <c r="K27" s="1224">
        <v>0.315</v>
      </c>
      <c r="L27" s="1225"/>
      <c r="M27" s="1225"/>
      <c r="N27" s="1225"/>
      <c r="O27" s="1225"/>
      <c r="P27" s="1225"/>
      <c r="Q27" s="1225"/>
      <c r="R27" s="1225"/>
      <c r="S27" s="1225"/>
      <c r="T27" s="1225"/>
      <c r="U27" s="1224">
        <v>0.191</v>
      </c>
    </row>
    <row r="28" spans="1:21" s="74" customFormat="1" ht="12.75" customHeight="1" x14ac:dyDescent="0.2">
      <c r="A28" s="1190"/>
      <c r="B28" s="1082"/>
      <c r="C28" s="1200"/>
      <c r="D28" s="1167"/>
      <c r="E28" s="1099"/>
      <c r="F28" s="193"/>
      <c r="G28" s="193"/>
      <c r="H28" s="193"/>
      <c r="I28" s="193"/>
      <c r="J28" s="193"/>
      <c r="K28" s="193"/>
      <c r="L28" s="193"/>
      <c r="M28" s="193"/>
      <c r="N28" s="193"/>
      <c r="O28" s="193"/>
      <c r="P28" s="193"/>
      <c r="Q28" s="193"/>
      <c r="R28" s="193"/>
      <c r="S28" s="193"/>
      <c r="T28" s="193"/>
      <c r="U28" s="193"/>
    </row>
    <row r="29" spans="1:21" s="74" customFormat="1" ht="12.75" customHeight="1" x14ac:dyDescent="0.2">
      <c r="A29" s="782">
        <v>5</v>
      </c>
      <c r="B29" s="902" t="s">
        <v>90</v>
      </c>
      <c r="C29" s="1200"/>
      <c r="D29" s="1167"/>
      <c r="E29" s="1099"/>
      <c r="F29" s="193"/>
      <c r="G29" s="1099"/>
      <c r="H29" s="1099"/>
      <c r="I29" s="1099"/>
      <c r="J29" s="1099"/>
      <c r="K29" s="1099"/>
      <c r="L29" s="1099"/>
      <c r="M29" s="1099"/>
      <c r="N29" s="1099"/>
      <c r="O29" s="1099"/>
      <c r="P29" s="1099"/>
    </row>
    <row r="30" spans="1:21" s="74" customFormat="1" ht="12.75" customHeight="1" x14ac:dyDescent="0.2">
      <c r="A30" s="1190"/>
      <c r="B30" s="1082"/>
      <c r="C30" s="1200"/>
      <c r="D30" s="1167"/>
      <c r="E30" s="1099"/>
      <c r="F30" s="193"/>
      <c r="G30" s="1099"/>
      <c r="H30" s="1099"/>
      <c r="I30" s="1099"/>
      <c r="J30" s="1099"/>
      <c r="K30" s="1099"/>
      <c r="L30" s="1099"/>
      <c r="M30" s="1099"/>
      <c r="N30" s="1099"/>
      <c r="O30" s="1099"/>
      <c r="P30" s="1099"/>
    </row>
    <row r="31" spans="1:21" s="74" customFormat="1" ht="12.75" customHeight="1" x14ac:dyDescent="0.2">
      <c r="A31" s="1190"/>
      <c r="B31" s="1082"/>
      <c r="C31" s="1200"/>
      <c r="D31" s="1167"/>
      <c r="E31" s="1099"/>
      <c r="F31" s="193"/>
      <c r="G31" s="1099"/>
      <c r="H31" s="1099"/>
      <c r="I31" s="1099"/>
      <c r="J31" s="1099"/>
      <c r="K31" s="1099"/>
      <c r="L31" s="1099"/>
      <c r="M31" s="1099"/>
      <c r="N31" s="1099"/>
      <c r="O31" s="1099"/>
      <c r="P31" s="1099"/>
    </row>
    <row r="32" spans="1:21" s="74" customFormat="1" ht="12.75" customHeight="1" x14ac:dyDescent="0.2">
      <c r="A32" s="1190"/>
      <c r="B32" s="1082"/>
      <c r="C32" s="1200"/>
      <c r="D32" s="1167"/>
      <c r="E32" s="1099"/>
      <c r="F32" s="193"/>
      <c r="G32" s="1099"/>
      <c r="H32" s="1099"/>
      <c r="I32" s="1099"/>
      <c r="J32" s="1099"/>
      <c r="K32" s="1099"/>
      <c r="L32" s="1099"/>
      <c r="M32" s="1099"/>
      <c r="N32" s="1099"/>
      <c r="O32" s="1099"/>
      <c r="P32" s="1099"/>
    </row>
    <row r="33" spans="1:27" s="74" customFormat="1" ht="12.75" customHeight="1" x14ac:dyDescent="0.2">
      <c r="A33" s="1190"/>
      <c r="B33" s="1082"/>
      <c r="C33" s="1200"/>
      <c r="D33" s="1167"/>
      <c r="E33" s="1099"/>
      <c r="F33" s="193"/>
      <c r="G33" s="1099"/>
      <c r="H33" s="1099"/>
      <c r="I33" s="1099"/>
      <c r="J33" s="1099"/>
      <c r="K33" s="1099"/>
      <c r="L33" s="1099"/>
      <c r="M33" s="1099"/>
      <c r="N33" s="1099"/>
      <c r="O33" s="1099"/>
      <c r="P33" s="1099"/>
    </row>
    <row r="34" spans="1:27" s="74" customFormat="1" ht="12.75" customHeight="1" x14ac:dyDescent="0.2">
      <c r="A34" s="1190"/>
      <c r="B34" s="1082"/>
      <c r="C34" s="1200"/>
      <c r="D34" s="1167"/>
      <c r="E34" s="1099"/>
      <c r="F34" s="193"/>
      <c r="G34" s="1099"/>
      <c r="H34" s="1099"/>
      <c r="I34" s="1099"/>
      <c r="J34" s="1099"/>
      <c r="K34" s="1099"/>
      <c r="L34" s="1099"/>
      <c r="M34" s="1099"/>
      <c r="N34" s="1099"/>
      <c r="O34" s="1099"/>
      <c r="P34" s="1099"/>
    </row>
    <row r="35" spans="1:27" s="74" customFormat="1" ht="12.75" customHeight="1" x14ac:dyDescent="0.2">
      <c r="A35" s="1190"/>
      <c r="B35" s="1082"/>
      <c r="C35" s="1200"/>
      <c r="D35" s="1167"/>
      <c r="E35" s="1099"/>
      <c r="F35" s="193"/>
      <c r="G35" s="1099"/>
      <c r="H35" s="1099"/>
      <c r="I35" s="1099"/>
      <c r="J35" s="1099"/>
      <c r="K35" s="1099"/>
      <c r="L35" s="1099"/>
      <c r="M35" s="1099"/>
      <c r="N35" s="1099"/>
      <c r="O35" s="1099"/>
      <c r="P35" s="1099"/>
    </row>
    <row r="36" spans="1:27" s="74" customFormat="1" ht="12.75" customHeight="1" x14ac:dyDescent="0.2">
      <c r="A36" s="1190"/>
      <c r="B36" s="1082"/>
      <c r="C36" s="1200"/>
      <c r="D36" s="1167"/>
      <c r="E36" s="1099"/>
      <c r="F36" s="193"/>
      <c r="G36" s="1099"/>
      <c r="H36" s="1099"/>
      <c r="I36" s="1099"/>
      <c r="J36" s="1099"/>
      <c r="K36" s="1099"/>
      <c r="L36" s="1099"/>
      <c r="M36" s="1099"/>
      <c r="N36" s="1099"/>
      <c r="O36" s="1099"/>
      <c r="P36" s="1099"/>
    </row>
    <row r="37" spans="1:27" s="74" customFormat="1" ht="12.75" customHeight="1" x14ac:dyDescent="0.2">
      <c r="A37" s="1190"/>
      <c r="B37" s="1082"/>
      <c r="C37" s="1200"/>
      <c r="D37" s="1167"/>
      <c r="E37" s="1099"/>
      <c r="F37" s="193"/>
      <c r="G37" s="1099"/>
      <c r="H37" s="1099"/>
      <c r="I37" s="1099"/>
      <c r="J37" s="1099"/>
      <c r="K37" s="1099"/>
      <c r="L37" s="1099"/>
      <c r="M37" s="1099"/>
      <c r="N37" s="1099"/>
      <c r="O37" s="1099"/>
      <c r="P37" s="1099"/>
    </row>
    <row r="38" spans="1:27" s="74" customFormat="1" ht="12.75" customHeight="1" x14ac:dyDescent="0.2">
      <c r="A38" s="1190"/>
      <c r="B38" s="1082"/>
      <c r="C38" s="1200"/>
      <c r="D38" s="1167"/>
      <c r="E38" s="1099"/>
      <c r="F38" s="193"/>
      <c r="G38" s="1099"/>
      <c r="H38" s="1099"/>
      <c r="I38" s="1099"/>
      <c r="J38" s="1099"/>
      <c r="K38" s="1099"/>
      <c r="L38" s="1099"/>
      <c r="M38" s="1099"/>
      <c r="N38" s="1099"/>
      <c r="O38" s="1099"/>
      <c r="P38" s="1099"/>
    </row>
    <row r="39" spans="1:27" s="74" customFormat="1" ht="12.75" customHeight="1" x14ac:dyDescent="0.2">
      <c r="A39" s="1190"/>
      <c r="B39" s="1082"/>
      <c r="C39" s="1200"/>
      <c r="D39" s="1167"/>
      <c r="E39" s="1099"/>
      <c r="F39" s="193"/>
      <c r="G39" s="1099"/>
      <c r="H39" s="1099"/>
      <c r="I39" s="1099"/>
      <c r="J39" s="1099"/>
      <c r="K39" s="1099"/>
      <c r="L39" s="1099"/>
      <c r="M39" s="1099"/>
      <c r="N39" s="1099"/>
      <c r="O39" s="1099"/>
      <c r="P39" s="1099"/>
    </row>
    <row r="40" spans="1:27" s="74" customFormat="1" ht="12.75" customHeight="1" x14ac:dyDescent="0.2">
      <c r="A40" s="1190"/>
      <c r="B40" s="1082"/>
      <c r="C40" s="1200"/>
      <c r="D40" s="1167"/>
      <c r="E40" s="1099"/>
      <c r="F40" s="193"/>
      <c r="G40" s="1099"/>
      <c r="H40" s="1099"/>
      <c r="I40" s="1099"/>
      <c r="J40" s="1099"/>
      <c r="K40" s="1099"/>
      <c r="L40" s="1099"/>
      <c r="M40" s="1099"/>
      <c r="N40" s="1099"/>
      <c r="O40" s="1099"/>
      <c r="P40" s="1099"/>
    </row>
    <row r="41" spans="1:27" s="74" customFormat="1" ht="12.75" customHeight="1" x14ac:dyDescent="0.2">
      <c r="A41" s="1190"/>
      <c r="B41" s="1082"/>
      <c r="C41" s="1200"/>
      <c r="D41" s="1167"/>
      <c r="E41" s="1099"/>
      <c r="F41" s="193"/>
      <c r="G41" s="1099"/>
      <c r="H41" s="1099"/>
      <c r="I41" s="1099"/>
      <c r="J41" s="1099"/>
      <c r="K41" s="1099"/>
      <c r="L41" s="1099"/>
      <c r="M41" s="1099"/>
      <c r="N41" s="1099"/>
      <c r="O41" s="1099"/>
      <c r="P41" s="1099"/>
    </row>
    <row r="42" spans="1:27" s="74" customFormat="1" ht="12.75" customHeight="1" x14ac:dyDescent="0.2">
      <c r="A42" s="1190"/>
      <c r="B42" s="1082"/>
      <c r="C42" s="1200"/>
      <c r="D42" s="1167"/>
      <c r="E42" s="1099"/>
      <c r="F42" s="193"/>
      <c r="G42" s="1099"/>
      <c r="H42" s="1099"/>
      <c r="I42" s="1099"/>
      <c r="J42" s="1099"/>
      <c r="K42" s="1099"/>
      <c r="L42" s="1099"/>
      <c r="M42" s="1099"/>
      <c r="N42" s="1099"/>
      <c r="O42" s="1099"/>
      <c r="P42" s="1099"/>
    </row>
    <row r="43" spans="1:27" s="74" customFormat="1" ht="12.75" customHeight="1" x14ac:dyDescent="0.2">
      <c r="A43" s="1190"/>
      <c r="B43" s="1082"/>
      <c r="C43" s="1200"/>
      <c r="D43" s="1167"/>
      <c r="E43" s="1099"/>
      <c r="F43" s="193"/>
      <c r="G43" s="1099"/>
      <c r="H43" s="1099"/>
      <c r="I43" s="1099"/>
      <c r="J43" s="1099"/>
      <c r="K43" s="1099"/>
      <c r="L43" s="1099"/>
      <c r="M43" s="1099"/>
      <c r="N43" s="1099"/>
      <c r="O43" s="1099"/>
      <c r="P43" s="1099"/>
    </row>
    <row r="44" spans="1:27" s="74" customFormat="1" ht="12.75" customHeight="1" x14ac:dyDescent="0.2">
      <c r="A44" s="1190"/>
      <c r="B44" s="1082"/>
      <c r="C44" s="1082"/>
      <c r="D44" s="138"/>
      <c r="E44" s="138"/>
      <c r="F44" s="138"/>
      <c r="G44" s="371"/>
      <c r="H44" s="371"/>
      <c r="I44" s="371"/>
      <c r="J44" s="371"/>
      <c r="K44" s="371"/>
      <c r="L44" s="371"/>
      <c r="M44" s="371"/>
      <c r="N44" s="371"/>
      <c r="O44" s="371"/>
      <c r="P44" s="371"/>
      <c r="Q44" s="371"/>
      <c r="R44" s="371"/>
      <c r="S44" s="371"/>
      <c r="T44" s="371"/>
      <c r="U44" s="371"/>
    </row>
    <row r="45" spans="1:27" ht="15" customHeight="1" x14ac:dyDescent="0.2">
      <c r="A45" s="782">
        <v>6</v>
      </c>
      <c r="B45" s="782" t="s">
        <v>29</v>
      </c>
      <c r="C45" s="782"/>
      <c r="D45" s="4048" t="s">
        <v>392</v>
      </c>
      <c r="E45" s="4049"/>
      <c r="F45" s="4049"/>
      <c r="G45" s="4049"/>
      <c r="H45" s="4049"/>
      <c r="I45" s="4049"/>
      <c r="J45" s="4049"/>
      <c r="K45" s="4049"/>
      <c r="L45" s="4049"/>
      <c r="M45" s="4049"/>
      <c r="N45" s="4049"/>
      <c r="O45" s="4049"/>
      <c r="P45" s="4049"/>
      <c r="Q45" s="4049"/>
      <c r="R45" s="4049"/>
      <c r="S45" s="4049"/>
      <c r="T45" s="4049"/>
      <c r="U45" s="4049"/>
      <c r="V45" s="4049"/>
      <c r="W45" s="4049"/>
      <c r="X45" s="4049"/>
      <c r="Y45" s="4050"/>
      <c r="Z45" s="142"/>
      <c r="AA45" s="142"/>
    </row>
    <row r="46" spans="1:27" ht="36.75" customHeight="1" x14ac:dyDescent="0.2">
      <c r="A46" s="818">
        <v>7</v>
      </c>
      <c r="B46" s="818" t="s">
        <v>32</v>
      </c>
      <c r="C46" s="818"/>
      <c r="D46" s="4078" t="s">
        <v>1739</v>
      </c>
      <c r="E46" s="4079"/>
      <c r="F46" s="4079"/>
      <c r="G46" s="4079"/>
      <c r="H46" s="4079"/>
      <c r="I46" s="4079"/>
      <c r="J46" s="4079"/>
      <c r="K46" s="4079"/>
      <c r="L46" s="4079"/>
      <c r="M46" s="4079"/>
      <c r="N46" s="4079"/>
      <c r="O46" s="4079"/>
      <c r="P46" s="4079"/>
      <c r="Q46" s="4079"/>
      <c r="R46" s="4079"/>
      <c r="S46" s="4079"/>
      <c r="T46" s="4079"/>
      <c r="U46" s="4079"/>
      <c r="V46" s="4079"/>
      <c r="W46" s="4079"/>
      <c r="X46" s="4079"/>
      <c r="Y46" s="4080"/>
      <c r="Z46" s="230"/>
      <c r="AA46" s="230"/>
    </row>
    <row r="47" spans="1:27" ht="14.25" customHeight="1" x14ac:dyDescent="0.2">
      <c r="A47" s="782">
        <v>8</v>
      </c>
      <c r="B47" s="782" t="s">
        <v>31</v>
      </c>
      <c r="C47" s="782"/>
      <c r="D47" s="4072" t="s">
        <v>501</v>
      </c>
      <c r="E47" s="4073"/>
      <c r="F47" s="4073"/>
      <c r="G47" s="4073"/>
      <c r="H47" s="4073"/>
      <c r="I47" s="4073"/>
      <c r="J47" s="4073"/>
      <c r="K47" s="4073"/>
      <c r="L47" s="4073"/>
      <c r="M47" s="4073"/>
      <c r="N47" s="4073"/>
      <c r="O47" s="4073"/>
      <c r="P47" s="4073"/>
      <c r="Q47" s="4073"/>
      <c r="R47" s="4073"/>
      <c r="S47" s="4073"/>
      <c r="T47" s="4073"/>
      <c r="U47" s="4073"/>
      <c r="V47" s="4073"/>
      <c r="W47" s="4073"/>
      <c r="X47" s="4073"/>
      <c r="Y47" s="4074"/>
      <c r="Z47" s="229"/>
      <c r="AA47" s="229"/>
    </row>
    <row r="48" spans="1:27" ht="14.25" customHeight="1" x14ac:dyDescent="0.2">
      <c r="A48" s="782">
        <v>9</v>
      </c>
      <c r="B48" s="782" t="s">
        <v>157</v>
      </c>
      <c r="D48" s="4048" t="s">
        <v>502</v>
      </c>
      <c r="E48" s="4049"/>
      <c r="F48" s="4049"/>
      <c r="G48" s="4049"/>
      <c r="H48" s="4049"/>
      <c r="I48" s="4049"/>
      <c r="J48" s="4049"/>
      <c r="K48" s="4049"/>
      <c r="L48" s="4049"/>
      <c r="M48" s="4049"/>
      <c r="N48" s="4049"/>
      <c r="O48" s="4049"/>
      <c r="P48" s="4049"/>
      <c r="Q48" s="4049"/>
      <c r="R48" s="4049"/>
      <c r="S48" s="4049"/>
      <c r="T48" s="4049"/>
      <c r="U48" s="4049"/>
      <c r="V48" s="4049"/>
      <c r="W48" s="4049"/>
      <c r="X48" s="4049"/>
      <c r="Y48" s="4050"/>
      <c r="Z48" s="142"/>
      <c r="AA48" s="142"/>
    </row>
    <row r="49" spans="4:29" x14ac:dyDescent="0.2">
      <c r="E49" s="1227"/>
    </row>
    <row r="54" spans="4:29" x14ac:dyDescent="0.2">
      <c r="D54" s="1187" t="s">
        <v>6</v>
      </c>
      <c r="E54" s="1187"/>
      <c r="F54" s="1187"/>
      <c r="G54" s="1188" t="s">
        <v>493</v>
      </c>
      <c r="H54" s="1189"/>
      <c r="I54" s="1189"/>
      <c r="J54" s="1189"/>
      <c r="K54" s="1189"/>
      <c r="L54" s="1189"/>
      <c r="M54" s="1189"/>
      <c r="N54" s="1189"/>
      <c r="O54" s="1189"/>
      <c r="P54" s="1189"/>
      <c r="Q54" s="1189"/>
      <c r="R54" s="74"/>
    </row>
    <row r="55" spans="4:29" x14ac:dyDescent="0.2">
      <c r="D55" s="822"/>
      <c r="E55" s="1228">
        <v>1995</v>
      </c>
      <c r="F55" s="1228">
        <v>1996</v>
      </c>
      <c r="G55" s="1228">
        <v>1997</v>
      </c>
      <c r="H55" s="1228">
        <v>1998</v>
      </c>
      <c r="I55" s="1228">
        <v>1999</v>
      </c>
      <c r="J55" s="1228">
        <v>2000</v>
      </c>
      <c r="K55" s="1228">
        <v>2001</v>
      </c>
      <c r="L55" s="1228">
        <v>2002</v>
      </c>
      <c r="M55" s="1228">
        <v>2003</v>
      </c>
      <c r="N55" s="1228">
        <v>2004</v>
      </c>
      <c r="O55" s="1228">
        <v>2005</v>
      </c>
      <c r="P55" s="1228">
        <v>2006</v>
      </c>
      <c r="Q55" s="1228">
        <v>2007</v>
      </c>
      <c r="R55" s="1228">
        <v>2008</v>
      </c>
      <c r="S55" s="1228">
        <v>2009</v>
      </c>
      <c r="T55" s="1228">
        <v>2010</v>
      </c>
      <c r="U55" s="1228">
        <v>2011</v>
      </c>
      <c r="V55" s="1228">
        <v>2012</v>
      </c>
      <c r="W55" s="1228">
        <v>2013</v>
      </c>
      <c r="X55" s="1228">
        <v>2014</v>
      </c>
      <c r="Y55" s="1228">
        <v>2015</v>
      </c>
      <c r="Z55" s="1229">
        <v>2016</v>
      </c>
      <c r="AA55" s="1229">
        <v>2017</v>
      </c>
      <c r="AB55" s="1230"/>
      <c r="AC55" s="185"/>
    </row>
    <row r="56" spans="4:29" x14ac:dyDescent="0.2">
      <c r="D56" s="1167" t="s">
        <v>503</v>
      </c>
      <c r="E56" s="193"/>
      <c r="F56" s="193"/>
      <c r="G56" s="1231"/>
      <c r="H56" s="1231"/>
      <c r="I56" s="1231"/>
      <c r="J56" s="1099"/>
      <c r="K56" s="1099"/>
      <c r="L56" s="1099">
        <v>0.72699999999999998</v>
      </c>
      <c r="M56" s="1099">
        <v>0.745</v>
      </c>
      <c r="N56" s="1099">
        <v>0.75</v>
      </c>
      <c r="O56" s="1099">
        <v>0.75800000000000001</v>
      </c>
      <c r="P56" s="1099">
        <v>0.76300000000000001</v>
      </c>
      <c r="Q56" s="1099">
        <v>0.77300000000000002</v>
      </c>
      <c r="R56" s="1099">
        <v>0.77600000000000002</v>
      </c>
      <c r="S56" s="1099">
        <v>0.80700000000000005</v>
      </c>
      <c r="T56" s="1099">
        <v>0.81200000000000006</v>
      </c>
      <c r="U56" s="1099">
        <v>0.82299999999999995</v>
      </c>
      <c r="V56" s="1099">
        <v>0.83499999999999996</v>
      </c>
      <c r="W56" s="1099">
        <v>0.83799999999999997</v>
      </c>
      <c r="X56" s="1099">
        <v>0.84199999999999997</v>
      </c>
      <c r="Y56" s="1099">
        <v>0.84399999999999997</v>
      </c>
      <c r="Z56" s="1232">
        <v>0.85142957999999991</v>
      </c>
      <c r="AA56" s="1233">
        <v>0.86144141000000007</v>
      </c>
      <c r="AB56" s="1099"/>
      <c r="AC56" s="1099"/>
    </row>
    <row r="57" spans="4:29" x14ac:dyDescent="0.2">
      <c r="D57" s="138" t="s">
        <v>495</v>
      </c>
      <c r="E57" s="1099">
        <v>0.69582114118507699</v>
      </c>
      <c r="F57" s="193"/>
      <c r="G57" s="1099">
        <v>0.69258781105587497</v>
      </c>
      <c r="H57" s="1099">
        <v>0.68703930601276797</v>
      </c>
      <c r="I57" s="1099">
        <v>0.69049620076509899</v>
      </c>
      <c r="J57" s="1099"/>
      <c r="K57" s="1099"/>
      <c r="L57" s="1099"/>
      <c r="M57" s="1099"/>
      <c r="N57" s="1099"/>
      <c r="O57" s="1099"/>
      <c r="P57" s="1099"/>
      <c r="Q57" s="1099"/>
      <c r="R57" s="1099"/>
      <c r="S57" s="1099"/>
      <c r="T57" s="1099"/>
      <c r="U57" s="1099"/>
      <c r="V57" s="1099"/>
      <c r="W57" s="1099"/>
      <c r="X57" s="1099"/>
      <c r="Y57" s="1099"/>
      <c r="Z57" s="1232"/>
      <c r="AA57" s="1233"/>
      <c r="AB57" s="1099"/>
      <c r="AC57" s="1099"/>
    </row>
    <row r="58" spans="4:29" x14ac:dyDescent="0.2">
      <c r="D58" s="1167" t="s">
        <v>504</v>
      </c>
      <c r="E58" s="193"/>
      <c r="F58" s="193"/>
      <c r="G58" s="1234"/>
      <c r="H58" s="1234"/>
      <c r="I58" s="1234"/>
      <c r="J58" s="1099"/>
      <c r="K58" s="1099"/>
      <c r="L58" s="1099">
        <v>0.69379092021008704</v>
      </c>
      <c r="M58" s="1099">
        <v>0.70300464922628603</v>
      </c>
      <c r="N58" s="1099">
        <v>0.71803278688524597</v>
      </c>
      <c r="O58" s="1099">
        <v>0.73699999999999999</v>
      </c>
      <c r="P58" s="1099">
        <v>0.745</v>
      </c>
      <c r="Q58" s="1099">
        <v>0.75700000000000001</v>
      </c>
      <c r="R58" s="1099">
        <v>0.753</v>
      </c>
      <c r="S58" s="1099">
        <v>0.78800000000000003</v>
      </c>
      <c r="T58" s="1099">
        <v>0.79500000000000004</v>
      </c>
      <c r="U58" s="1099">
        <v>0.80700000000000005</v>
      </c>
      <c r="V58" s="1099">
        <v>0.82</v>
      </c>
      <c r="W58" s="1099">
        <v>0.82499999999999996</v>
      </c>
      <c r="X58" s="1099">
        <v>0.83</v>
      </c>
      <c r="Y58" s="1099">
        <v>0.83199999999999996</v>
      </c>
      <c r="Z58" s="1232">
        <v>0.83923060999999999</v>
      </c>
      <c r="AA58" s="1233">
        <v>0.85250806000000001</v>
      </c>
      <c r="AB58" s="1099"/>
      <c r="AC58" s="1099"/>
    </row>
    <row r="59" spans="4:29" x14ac:dyDescent="0.2">
      <c r="D59" s="1201" t="s">
        <v>497</v>
      </c>
      <c r="E59" s="1235">
        <v>0.67228661749209695</v>
      </c>
      <c r="F59" s="1236"/>
      <c r="G59" s="1235">
        <v>0.675676991430467</v>
      </c>
      <c r="H59" s="1235">
        <v>0.67219802920879301</v>
      </c>
      <c r="I59" s="1235">
        <v>0.67376959649273205</v>
      </c>
      <c r="J59" s="1235"/>
      <c r="K59" s="1235"/>
      <c r="L59" s="1235"/>
      <c r="M59" s="1235"/>
      <c r="N59" s="1235"/>
      <c r="O59" s="1235"/>
      <c r="P59" s="1235"/>
      <c r="Q59" s="1235"/>
      <c r="R59" s="1235"/>
      <c r="S59" s="1235"/>
      <c r="T59" s="1235"/>
      <c r="U59" s="1235"/>
      <c r="V59" s="1235"/>
      <c r="W59" s="1235"/>
      <c r="X59" s="1235"/>
      <c r="Y59" s="1235"/>
      <c r="Z59" s="1237"/>
      <c r="AA59" s="1238"/>
      <c r="AB59" s="1099"/>
      <c r="AC59" s="1099"/>
    </row>
    <row r="60" spans="4:29" x14ac:dyDescent="0.2">
      <c r="D60" s="1205" t="s">
        <v>505</v>
      </c>
      <c r="E60" s="1239">
        <v>0.30417885881492301</v>
      </c>
      <c r="F60" s="1239"/>
      <c r="G60" s="1239">
        <v>0.30741218894412503</v>
      </c>
      <c r="H60" s="1239">
        <v>0.31296069398723203</v>
      </c>
      <c r="I60" s="1239">
        <v>0.30950379923490101</v>
      </c>
      <c r="J60" s="1239"/>
      <c r="K60" s="1239"/>
      <c r="L60" s="1239">
        <v>0.27300000000000002</v>
      </c>
      <c r="M60" s="1239">
        <v>0.255</v>
      </c>
      <c r="N60" s="1239">
        <v>0.25</v>
      </c>
      <c r="O60" s="1239">
        <v>0.24199999999999999</v>
      </c>
      <c r="P60" s="1239">
        <v>0.23699999999999999</v>
      </c>
      <c r="Q60" s="1239">
        <v>0.22699999999999998</v>
      </c>
      <c r="R60" s="1239">
        <v>0.22399999999999998</v>
      </c>
      <c r="S60" s="1239">
        <v>0.19299999999999995</v>
      </c>
      <c r="T60" s="1239">
        <v>0.18799999999999994</v>
      </c>
      <c r="U60" s="1239">
        <v>0.17700000000000005</v>
      </c>
      <c r="V60" s="1239">
        <v>0.16500000000000004</v>
      </c>
      <c r="W60" s="1239">
        <v>0.16200000000000003</v>
      </c>
      <c r="X60" s="1239">
        <v>0.15800000000000003</v>
      </c>
      <c r="Y60" s="1239">
        <v>0.156</v>
      </c>
      <c r="Z60" s="1240">
        <v>0.14857042000000009</v>
      </c>
      <c r="AA60" s="1241">
        <v>0.13855858999999993</v>
      </c>
      <c r="AB60" s="1099"/>
      <c r="AC60" s="1099"/>
    </row>
    <row r="71" spans="8:13" x14ac:dyDescent="0.2">
      <c r="H71" s="1242"/>
    </row>
    <row r="79" spans="8:13" x14ac:dyDescent="0.25">
      <c r="L79" s="1243"/>
      <c r="M79" s="1244"/>
    </row>
    <row r="80" spans="8:13" x14ac:dyDescent="0.25">
      <c r="L80" s="1243"/>
    </row>
  </sheetData>
  <mergeCells count="7">
    <mergeCell ref="D47:Y47"/>
    <mergeCell ref="D48:Y48"/>
    <mergeCell ref="D2:AA2"/>
    <mergeCell ref="D3:AA3"/>
    <mergeCell ref="D4:AA4"/>
    <mergeCell ref="D45:Y45"/>
    <mergeCell ref="D46:Y46"/>
  </mergeCells>
  <pageMargins left="0.74803149606299202" right="0.74803149606299202" top="0.98425196850393704" bottom="0.98425196850393704" header="0.511811023622047" footer="0.511811023622047"/>
  <pageSetup paperSize="9" scale="5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F44"/>
  <sheetViews>
    <sheetView showGridLines="0" view="pageBreakPreview" zoomScaleNormal="100" zoomScaleSheetLayoutView="100" workbookViewId="0">
      <selection activeCell="D4" sqref="D4:AB4"/>
    </sheetView>
  </sheetViews>
  <sheetFormatPr defaultColWidth="9.140625" defaultRowHeight="15" x14ac:dyDescent="0.25"/>
  <cols>
    <col min="1" max="1" width="3.7109375" style="1249" customWidth="1"/>
    <col min="2" max="2" width="14.42578125" style="1250" customWidth="1"/>
    <col min="3" max="3" width="3.7109375" style="1250" customWidth="1"/>
    <col min="4" max="4" width="20.140625" style="921" customWidth="1"/>
    <col min="5" max="5" width="6.7109375" style="921" customWidth="1"/>
    <col min="6" max="23" width="7.7109375" style="921" customWidth="1"/>
    <col min="24" max="26" width="9.140625" style="921"/>
    <col min="27" max="27" width="10.85546875" style="921" bestFit="1" customWidth="1"/>
    <col min="28" max="32" width="9.140625" style="921"/>
    <col min="33" max="33" width="9.5703125" style="921" bestFit="1" customWidth="1"/>
    <col min="34" max="53" width="9.7109375" style="921" bestFit="1" customWidth="1"/>
    <col min="54" max="54" width="9.5703125" style="921" bestFit="1" customWidth="1"/>
    <col min="55" max="57" width="9.28515625" style="921" bestFit="1" customWidth="1"/>
    <col min="58" max="16384" width="9.140625" style="921"/>
  </cols>
  <sheetData>
    <row r="1" spans="1:58" x14ac:dyDescent="0.25">
      <c r="A1" s="1245"/>
      <c r="B1" s="1246"/>
      <c r="C1" s="1246"/>
      <c r="D1" s="1247"/>
      <c r="E1" s="1247"/>
      <c r="F1" s="1247"/>
      <c r="G1" s="1247"/>
      <c r="H1" s="1247"/>
      <c r="I1" s="1247"/>
      <c r="J1" s="1247"/>
      <c r="K1" s="1247"/>
      <c r="L1" s="1247"/>
      <c r="M1" s="1247"/>
      <c r="N1" s="1247"/>
      <c r="O1" s="1247"/>
      <c r="P1" s="1247"/>
      <c r="Q1" s="1247"/>
      <c r="R1" s="1247"/>
      <c r="S1" s="1247"/>
      <c r="T1" s="1247"/>
      <c r="U1" s="1247"/>
      <c r="V1" s="1248"/>
      <c r="W1" s="1248"/>
    </row>
    <row r="2" spans="1:58" ht="14.45" customHeight="1" x14ac:dyDescent="0.25">
      <c r="A2" s="1245">
        <v>1</v>
      </c>
      <c r="B2" s="1245" t="s">
        <v>0</v>
      </c>
      <c r="C2" s="1245">
        <f>1+'Literacy rate '!C2</f>
        <v>47</v>
      </c>
      <c r="D2" s="4129" t="s">
        <v>506</v>
      </c>
      <c r="E2" s="4130"/>
      <c r="F2" s="4130"/>
      <c r="G2" s="4130"/>
      <c r="H2" s="4130"/>
      <c r="I2" s="4130"/>
      <c r="J2" s="4130"/>
      <c r="K2" s="4130"/>
      <c r="L2" s="4130"/>
      <c r="M2" s="4130"/>
      <c r="N2" s="4130"/>
      <c r="O2" s="4130"/>
      <c r="P2" s="4130"/>
      <c r="Q2" s="4130"/>
      <c r="R2" s="4130"/>
      <c r="S2" s="4130"/>
      <c r="T2" s="4130"/>
      <c r="U2" s="4130"/>
      <c r="V2" s="4130"/>
      <c r="W2" s="4130"/>
      <c r="X2" s="4130"/>
      <c r="Y2" s="4130"/>
      <c r="Z2" s="4130"/>
      <c r="AA2" s="4130"/>
      <c r="AB2" s="4131"/>
    </row>
    <row r="3" spans="1:58" ht="15" customHeight="1" x14ac:dyDescent="0.25">
      <c r="A3" s="1245">
        <v>2</v>
      </c>
      <c r="B3" s="1245" t="s">
        <v>2</v>
      </c>
      <c r="C3" s="1245"/>
      <c r="D3" s="4129" t="s">
        <v>198</v>
      </c>
      <c r="E3" s="4130"/>
      <c r="F3" s="4130"/>
      <c r="G3" s="4130"/>
      <c r="H3" s="4130"/>
      <c r="I3" s="4130"/>
      <c r="J3" s="4130"/>
      <c r="K3" s="4130"/>
      <c r="L3" s="4130"/>
      <c r="M3" s="4130"/>
      <c r="N3" s="4130"/>
      <c r="O3" s="4130"/>
      <c r="P3" s="4130"/>
      <c r="Q3" s="4130"/>
      <c r="R3" s="4130"/>
      <c r="S3" s="4130"/>
      <c r="T3" s="4130"/>
      <c r="U3" s="4130"/>
      <c r="V3" s="4130"/>
      <c r="W3" s="4130"/>
      <c r="X3" s="4130"/>
      <c r="Y3" s="4130"/>
      <c r="Z3" s="4130"/>
      <c r="AA3" s="4130"/>
      <c r="AB3" s="4131"/>
    </row>
    <row r="4" spans="1:58" ht="12.75" customHeight="1" x14ac:dyDescent="0.25">
      <c r="A4" s="1245">
        <v>3</v>
      </c>
      <c r="B4" s="1245" t="s">
        <v>4</v>
      </c>
      <c r="C4" s="1245"/>
      <c r="D4" s="4129" t="s">
        <v>507</v>
      </c>
      <c r="E4" s="4130"/>
      <c r="F4" s="4130"/>
      <c r="G4" s="4130"/>
      <c r="H4" s="4130"/>
      <c r="I4" s="4130"/>
      <c r="J4" s="4130"/>
      <c r="K4" s="4130"/>
      <c r="L4" s="4130"/>
      <c r="M4" s="4130"/>
      <c r="N4" s="4130"/>
      <c r="O4" s="4130"/>
      <c r="P4" s="4130"/>
      <c r="Q4" s="4130"/>
      <c r="R4" s="4130"/>
      <c r="S4" s="4130"/>
      <c r="T4" s="4130"/>
      <c r="U4" s="4130"/>
      <c r="V4" s="4130"/>
      <c r="W4" s="4130"/>
      <c r="X4" s="4130"/>
      <c r="Y4" s="4130"/>
      <c r="Z4" s="4130"/>
      <c r="AA4" s="4130"/>
      <c r="AB4" s="4131"/>
    </row>
    <row r="5" spans="1:58" x14ac:dyDescent="0.25">
      <c r="C5" s="1245"/>
      <c r="D5" s="1251"/>
      <c r="E5" s="1251"/>
      <c r="F5" s="1251"/>
      <c r="G5" s="1251"/>
      <c r="H5" s="1251"/>
      <c r="I5" s="1251"/>
      <c r="J5" s="1251"/>
      <c r="K5" s="1251"/>
      <c r="L5" s="1251"/>
      <c r="M5" s="1251"/>
      <c r="N5" s="1251"/>
      <c r="O5" s="1251"/>
      <c r="P5" s="1251"/>
      <c r="Q5" s="1251"/>
      <c r="R5" s="1251"/>
      <c r="S5" s="1251"/>
      <c r="T5" s="563"/>
      <c r="U5" s="563"/>
      <c r="V5" s="1252"/>
      <c r="W5" s="1252"/>
      <c r="AD5" s="3868"/>
      <c r="AE5" s="3868"/>
      <c r="AF5" s="3868"/>
      <c r="AG5" s="3868"/>
      <c r="AH5" s="3868"/>
      <c r="AI5" s="3868"/>
      <c r="AJ5" s="3868"/>
      <c r="AK5" s="3868"/>
      <c r="AL5" s="3868"/>
      <c r="AM5" s="3868"/>
      <c r="AN5" s="3868"/>
      <c r="AO5" s="3868"/>
      <c r="AP5" s="3868"/>
      <c r="AQ5" s="3868"/>
      <c r="AR5" s="3868"/>
      <c r="AS5" s="3868"/>
      <c r="AT5" s="3868"/>
      <c r="AU5" s="3868"/>
      <c r="AV5" s="3868"/>
      <c r="AW5" s="3868"/>
      <c r="AX5" s="3868"/>
      <c r="AY5" s="3868"/>
      <c r="AZ5" s="3868"/>
      <c r="BA5" s="3868"/>
      <c r="BB5" s="3868"/>
      <c r="BC5" s="3868"/>
      <c r="BD5" s="3868"/>
      <c r="BE5" s="3868"/>
      <c r="BF5" s="3868"/>
    </row>
    <row r="6" spans="1:58" x14ac:dyDescent="0.25">
      <c r="A6" s="1245">
        <v>4</v>
      </c>
      <c r="B6" s="1245" t="s">
        <v>5</v>
      </c>
      <c r="C6" s="1246"/>
      <c r="D6" s="601" t="s">
        <v>112</v>
      </c>
      <c r="E6" s="601"/>
      <c r="F6" s="601" t="s">
        <v>450</v>
      </c>
      <c r="G6" s="601"/>
      <c r="H6" s="601"/>
      <c r="I6" s="601"/>
      <c r="J6" s="601"/>
      <c r="K6" s="601"/>
      <c r="L6" s="601"/>
      <c r="M6" s="601"/>
      <c r="N6" s="1253"/>
      <c r="O6" s="1253"/>
      <c r="P6" s="1253"/>
      <c r="Q6" s="1253"/>
      <c r="R6" s="1253"/>
      <c r="S6" s="1253"/>
      <c r="T6" s="1253"/>
      <c r="U6" s="1253"/>
      <c r="V6" s="1253"/>
      <c r="W6" s="1253"/>
      <c r="AD6" s="3868"/>
      <c r="AE6" s="3868" t="s">
        <v>112</v>
      </c>
      <c r="AF6" s="3868"/>
      <c r="AG6" s="3868" t="s">
        <v>450</v>
      </c>
      <c r="AH6" s="3868"/>
      <c r="AI6" s="3868"/>
      <c r="AJ6" s="3868"/>
      <c r="AK6" s="3868"/>
      <c r="AL6" s="3868"/>
      <c r="AM6" s="3868"/>
      <c r="AN6" s="3868"/>
      <c r="AO6" s="3868"/>
      <c r="AP6" s="3868"/>
      <c r="AQ6" s="3868"/>
      <c r="AR6" s="3868"/>
      <c r="AS6" s="3868"/>
      <c r="AT6" s="3868"/>
      <c r="AU6" s="3868"/>
      <c r="AV6" s="3868"/>
      <c r="AW6" s="3868"/>
      <c r="AX6" s="3868"/>
      <c r="AY6" s="3868"/>
      <c r="AZ6" s="3868"/>
      <c r="BA6" s="3868"/>
      <c r="BB6" s="3868"/>
      <c r="BC6" s="3868"/>
      <c r="BD6" s="3868"/>
      <c r="BE6" s="3868"/>
      <c r="BF6" s="3868"/>
    </row>
    <row r="7" spans="1:58" x14ac:dyDescent="0.25">
      <c r="A7" s="1245"/>
      <c r="B7" s="1246"/>
      <c r="C7" s="1246"/>
      <c r="D7" s="1254"/>
      <c r="E7" s="1254"/>
      <c r="F7" s="1255">
        <v>1994</v>
      </c>
      <c r="G7" s="1255">
        <v>1995</v>
      </c>
      <c r="H7" s="1255">
        <v>1996</v>
      </c>
      <c r="I7" s="1255">
        <v>1997</v>
      </c>
      <c r="J7" s="1255">
        <v>1998</v>
      </c>
      <c r="K7" s="1255">
        <v>1999</v>
      </c>
      <c r="L7" s="1255">
        <v>2000</v>
      </c>
      <c r="M7" s="1255">
        <v>2001</v>
      </c>
      <c r="N7" s="1255">
        <v>2002</v>
      </c>
      <c r="O7" s="1255">
        <v>2003</v>
      </c>
      <c r="P7" s="1255">
        <v>2004</v>
      </c>
      <c r="Q7" s="1255">
        <v>2005</v>
      </c>
      <c r="R7" s="1255">
        <v>2006</v>
      </c>
      <c r="S7" s="1255">
        <v>2007</v>
      </c>
      <c r="T7" s="1255">
        <v>2008</v>
      </c>
      <c r="U7" s="1255">
        <v>2009</v>
      </c>
      <c r="V7" s="1255">
        <v>2010</v>
      </c>
      <c r="W7" s="1255">
        <v>2011</v>
      </c>
      <c r="X7" s="1255">
        <v>2012</v>
      </c>
      <c r="Y7" s="1255">
        <v>2013</v>
      </c>
      <c r="Z7" s="1256">
        <v>2014</v>
      </c>
      <c r="AA7" s="1192">
        <v>2015</v>
      </c>
      <c r="AB7" s="1192">
        <v>2016</v>
      </c>
      <c r="AC7" s="560"/>
      <c r="AD7" s="3868"/>
      <c r="AE7" s="3868"/>
      <c r="AF7" s="3868"/>
      <c r="AG7" s="3868"/>
      <c r="AH7" s="3868">
        <v>1994</v>
      </c>
      <c r="AI7" s="3868">
        <v>1995</v>
      </c>
      <c r="AJ7" s="3868">
        <v>1996</v>
      </c>
      <c r="AK7" s="3868">
        <v>1997</v>
      </c>
      <c r="AL7" s="3868">
        <v>1998</v>
      </c>
      <c r="AM7" s="3868">
        <v>1999</v>
      </c>
      <c r="AN7" s="3868">
        <v>2000</v>
      </c>
      <c r="AO7" s="3868">
        <v>2001</v>
      </c>
      <c r="AP7" s="3868">
        <v>2002</v>
      </c>
      <c r="AQ7" s="3868">
        <v>2003</v>
      </c>
      <c r="AR7" s="3868">
        <v>2004</v>
      </c>
      <c r="AS7" s="3868">
        <v>2005</v>
      </c>
      <c r="AT7" s="3868">
        <v>2006</v>
      </c>
      <c r="AU7" s="3868">
        <v>2007</v>
      </c>
      <c r="AV7" s="3868">
        <v>2008</v>
      </c>
      <c r="AW7" s="3868">
        <v>2009</v>
      </c>
      <c r="AX7" s="3868">
        <v>2010</v>
      </c>
      <c r="AY7" s="3868">
        <v>2011</v>
      </c>
      <c r="AZ7" s="3868">
        <v>2012</v>
      </c>
      <c r="BA7" s="3868">
        <v>2013</v>
      </c>
      <c r="BB7" s="3868">
        <v>2014</v>
      </c>
      <c r="BC7" s="3868">
        <v>2015</v>
      </c>
      <c r="BD7" s="3868">
        <v>2016</v>
      </c>
      <c r="BE7" s="3868">
        <v>2017</v>
      </c>
      <c r="BF7" s="3868"/>
    </row>
    <row r="8" spans="1:58" x14ac:dyDescent="0.25">
      <c r="A8" s="1245"/>
      <c r="B8" s="1246"/>
      <c r="C8" s="1257">
        <v>1</v>
      </c>
      <c r="D8" s="1258" t="s">
        <v>508</v>
      </c>
      <c r="E8" s="1259"/>
      <c r="F8" s="1260">
        <v>495356</v>
      </c>
      <c r="G8" s="1260">
        <v>557383</v>
      </c>
      <c r="H8" s="1260">
        <v>574771</v>
      </c>
      <c r="I8" s="1260">
        <v>569814</v>
      </c>
      <c r="J8" s="1260">
        <v>559309</v>
      </c>
      <c r="K8" s="1260">
        <v>553800</v>
      </c>
      <c r="L8" s="1260">
        <v>578134</v>
      </c>
      <c r="M8" s="1260">
        <v>627277</v>
      </c>
      <c r="N8" s="1260">
        <v>667182</v>
      </c>
      <c r="O8" s="1260">
        <v>705255</v>
      </c>
      <c r="P8" s="1260">
        <v>744478</v>
      </c>
      <c r="Q8" s="1260">
        <v>735073</v>
      </c>
      <c r="R8" s="1260">
        <v>741380</v>
      </c>
      <c r="S8" s="1260" t="s">
        <v>509</v>
      </c>
      <c r="T8" s="1260">
        <v>799490</v>
      </c>
      <c r="U8" s="1260">
        <v>837776</v>
      </c>
      <c r="V8" s="1260">
        <v>892936</v>
      </c>
      <c r="W8" s="1260">
        <v>938200</v>
      </c>
      <c r="X8" s="1260">
        <v>953373</v>
      </c>
      <c r="Y8" s="1260">
        <v>983698</v>
      </c>
      <c r="Z8" s="1261">
        <v>969154</v>
      </c>
      <c r="AA8" s="1262">
        <v>985212.00000000023</v>
      </c>
      <c r="AB8" s="1262">
        <v>975836.99999999965</v>
      </c>
      <c r="AC8" s="1263"/>
      <c r="AD8" s="3868"/>
      <c r="AE8" s="3868"/>
      <c r="AF8" s="3868" t="s">
        <v>508</v>
      </c>
      <c r="AG8" s="3868"/>
      <c r="AH8" s="4007">
        <v>495356</v>
      </c>
      <c r="AI8" s="4007">
        <v>557383</v>
      </c>
      <c r="AJ8" s="4007">
        <v>574771</v>
      </c>
      <c r="AK8" s="4007">
        <v>569814</v>
      </c>
      <c r="AL8" s="4007">
        <v>559309</v>
      </c>
      <c r="AM8" s="4007">
        <v>553800</v>
      </c>
      <c r="AN8" s="4007">
        <v>578134</v>
      </c>
      <c r="AO8" s="4007">
        <v>627277</v>
      </c>
      <c r="AP8" s="4007">
        <v>667182</v>
      </c>
      <c r="AQ8" s="4007">
        <v>705255</v>
      </c>
      <c r="AR8" s="4007">
        <v>744478</v>
      </c>
      <c r="AS8" s="4007">
        <v>735073</v>
      </c>
      <c r="AT8" s="4007">
        <v>741380</v>
      </c>
      <c r="AU8" s="4007">
        <v>760889</v>
      </c>
      <c r="AV8" s="4007">
        <v>799490</v>
      </c>
      <c r="AW8" s="4007">
        <v>837779</v>
      </c>
      <c r="AX8" s="4007">
        <v>892936</v>
      </c>
      <c r="AY8" s="4007">
        <v>937454</v>
      </c>
      <c r="AZ8" s="4007">
        <v>953373</v>
      </c>
      <c r="BA8" s="4007">
        <v>983698</v>
      </c>
      <c r="BB8" s="4007">
        <v>969154</v>
      </c>
      <c r="BC8" s="4007"/>
      <c r="BD8" s="4007"/>
      <c r="BE8" s="4007"/>
      <c r="BF8" s="3868"/>
    </row>
    <row r="9" spans="1:58" x14ac:dyDescent="0.25">
      <c r="A9" s="1245"/>
      <c r="B9" s="1246"/>
      <c r="C9" s="1257"/>
      <c r="D9" s="1264" t="s">
        <v>468</v>
      </c>
      <c r="E9" s="1265"/>
      <c r="F9" s="1266">
        <v>224230</v>
      </c>
      <c r="G9" s="1266">
        <v>256349</v>
      </c>
      <c r="H9" s="1266">
        <v>274610</v>
      </c>
      <c r="I9" s="1266">
        <v>282147</v>
      </c>
      <c r="J9" s="1266">
        <v>284693</v>
      </c>
      <c r="K9" s="1266">
        <v>282332</v>
      </c>
      <c r="L9" s="1266">
        <v>303794</v>
      </c>
      <c r="M9" s="1266">
        <v>336541</v>
      </c>
      <c r="N9" s="1266">
        <v>359250</v>
      </c>
      <c r="O9" s="1266">
        <v>378960</v>
      </c>
      <c r="P9" s="1266">
        <v>403454</v>
      </c>
      <c r="Q9" s="1266">
        <v>401042</v>
      </c>
      <c r="R9" s="1267">
        <v>408718</v>
      </c>
      <c r="S9" s="1267" t="s">
        <v>510</v>
      </c>
      <c r="T9" s="1267">
        <v>450651</v>
      </c>
      <c r="U9" s="1267">
        <v>478175</v>
      </c>
      <c r="V9" s="1267">
        <v>512573</v>
      </c>
      <c r="W9" s="1267">
        <v>542704</v>
      </c>
      <c r="X9" s="1267">
        <v>554840</v>
      </c>
      <c r="Y9" s="1267">
        <v>573698</v>
      </c>
      <c r="Z9" s="1268">
        <v>564784</v>
      </c>
      <c r="AA9" s="1269">
        <v>574677.00000000035</v>
      </c>
      <c r="AB9" s="1269">
        <v>567118.99999999977</v>
      </c>
      <c r="AC9" s="1270"/>
      <c r="AD9" s="3868"/>
      <c r="AE9" s="3868"/>
      <c r="AF9" s="3868" t="s">
        <v>511</v>
      </c>
      <c r="AG9" s="3868"/>
      <c r="AH9" s="4007">
        <v>74137</v>
      </c>
      <c r="AI9" s="4007">
        <v>81684</v>
      </c>
      <c r="AJ9" s="4007">
        <v>86215</v>
      </c>
      <c r="AK9" s="4007">
        <v>88221</v>
      </c>
      <c r="AL9" s="4007">
        <v>86625</v>
      </c>
      <c r="AM9" s="4007">
        <v>92499</v>
      </c>
      <c r="AN9" s="4007">
        <v>92819</v>
      </c>
      <c r="AO9" s="4007">
        <v>95940</v>
      </c>
      <c r="AP9" s="4007">
        <v>101047</v>
      </c>
      <c r="AQ9" s="4007">
        <v>108263</v>
      </c>
      <c r="AR9" s="4007">
        <v>117240</v>
      </c>
      <c r="AS9" s="4007">
        <v>120385</v>
      </c>
      <c r="AT9" s="4007">
        <v>124676</v>
      </c>
      <c r="AU9" s="4007">
        <v>126618</v>
      </c>
      <c r="AV9" s="4007">
        <v>133241</v>
      </c>
      <c r="AW9" s="4007">
        <v>144852</v>
      </c>
      <c r="AX9" s="4007">
        <v>153325</v>
      </c>
      <c r="AY9" s="4007">
        <v>160300</v>
      </c>
      <c r="AZ9" s="4007">
        <v>165995</v>
      </c>
      <c r="BA9" s="4007">
        <v>180823</v>
      </c>
      <c r="BB9" s="4007">
        <v>185375</v>
      </c>
      <c r="BC9" s="4007"/>
      <c r="BD9" s="4007"/>
      <c r="BE9" s="4007"/>
      <c r="BF9" s="3868"/>
    </row>
    <row r="10" spans="1:58" x14ac:dyDescent="0.25">
      <c r="A10" s="1245"/>
      <c r="B10" s="1246"/>
      <c r="C10" s="1257"/>
      <c r="D10" s="1271" t="s">
        <v>467</v>
      </c>
      <c r="E10" s="1272"/>
      <c r="F10" s="1266">
        <v>271126</v>
      </c>
      <c r="G10" s="1266">
        <v>301034</v>
      </c>
      <c r="H10" s="1266">
        <v>300161</v>
      </c>
      <c r="I10" s="1266">
        <v>287667</v>
      </c>
      <c r="J10" s="1266">
        <v>274616</v>
      </c>
      <c r="K10" s="1266">
        <v>266460</v>
      </c>
      <c r="L10" s="1266">
        <v>274159</v>
      </c>
      <c r="M10" s="1266">
        <v>290539</v>
      </c>
      <c r="N10" s="1266">
        <v>307922</v>
      </c>
      <c r="O10" s="1266">
        <v>326294</v>
      </c>
      <c r="P10" s="1266">
        <v>341019</v>
      </c>
      <c r="Q10" s="1266">
        <v>334030</v>
      </c>
      <c r="R10" s="1266">
        <v>332662</v>
      </c>
      <c r="S10" s="1266" t="s">
        <v>512</v>
      </c>
      <c r="T10" s="1266">
        <v>348814</v>
      </c>
      <c r="U10" s="1266">
        <v>359580</v>
      </c>
      <c r="V10" s="1266">
        <v>380350</v>
      </c>
      <c r="W10" s="1266">
        <v>394664</v>
      </c>
      <c r="X10" s="1266">
        <v>398368</v>
      </c>
      <c r="Y10" s="1266">
        <v>409988</v>
      </c>
      <c r="Z10" s="1273">
        <v>404365</v>
      </c>
      <c r="AA10" s="1274">
        <v>410522.99999999988</v>
      </c>
      <c r="AB10" s="1274">
        <v>408696.99999999988</v>
      </c>
      <c r="AC10" s="1270"/>
      <c r="AD10" s="3868"/>
      <c r="AE10" s="3868"/>
      <c r="AF10" s="3868" t="s">
        <v>513</v>
      </c>
      <c r="AG10" s="3868"/>
      <c r="AH10" s="4007">
        <v>20598</v>
      </c>
      <c r="AI10" s="4007">
        <v>20456</v>
      </c>
      <c r="AJ10" s="4007">
        <v>21682</v>
      </c>
      <c r="AK10" s="4007">
        <v>22904</v>
      </c>
      <c r="AL10" s="4007">
        <v>22506</v>
      </c>
      <c r="AM10" s="4007">
        <v>23269</v>
      </c>
      <c r="AN10" s="4007">
        <v>23679</v>
      </c>
      <c r="AO10" s="4007">
        <v>24907</v>
      </c>
      <c r="AP10" s="4007">
        <v>27240</v>
      </c>
      <c r="AQ10" s="4007">
        <v>29495</v>
      </c>
      <c r="AR10" s="4007">
        <v>31436</v>
      </c>
      <c r="AS10" s="4007">
        <v>33506</v>
      </c>
      <c r="AT10" s="4007">
        <v>35562</v>
      </c>
      <c r="AU10" s="4007">
        <v>36429</v>
      </c>
      <c r="AV10" s="4007">
        <v>38819</v>
      </c>
      <c r="AW10" s="4007">
        <v>40973</v>
      </c>
      <c r="AX10" s="4007">
        <v>42759.582999999999</v>
      </c>
      <c r="AY10" s="4007">
        <v>45841</v>
      </c>
      <c r="AZ10" s="4007">
        <v>48848.75</v>
      </c>
      <c r="BA10" s="4007">
        <v>53176</v>
      </c>
      <c r="BB10" s="4007">
        <v>55574</v>
      </c>
      <c r="BC10" s="4007"/>
      <c r="BD10" s="4007"/>
      <c r="BE10" s="4007"/>
      <c r="BF10" s="3868"/>
    </row>
    <row r="11" spans="1:58" x14ac:dyDescent="0.25">
      <c r="A11" s="1245"/>
      <c r="B11" s="1246"/>
      <c r="C11" s="1257"/>
      <c r="D11" s="1275" t="s">
        <v>514</v>
      </c>
      <c r="E11" s="1276"/>
      <c r="F11" s="1277" t="s">
        <v>515</v>
      </c>
      <c r="G11" s="1277" t="s">
        <v>515</v>
      </c>
      <c r="H11" s="1277" t="s">
        <v>515</v>
      </c>
      <c r="I11" s="1277" t="s">
        <v>515</v>
      </c>
      <c r="J11" s="1277" t="s">
        <v>515</v>
      </c>
      <c r="K11" s="1277">
        <v>5008</v>
      </c>
      <c r="L11" s="1277">
        <v>181</v>
      </c>
      <c r="M11" s="1277">
        <v>197</v>
      </c>
      <c r="N11" s="1277">
        <v>10</v>
      </c>
      <c r="O11" s="1277">
        <v>1</v>
      </c>
      <c r="P11" s="1277">
        <v>5</v>
      </c>
      <c r="Q11" s="1277">
        <v>1</v>
      </c>
      <c r="R11" s="1277"/>
      <c r="S11" s="1277" t="s">
        <v>516</v>
      </c>
      <c r="T11" s="1277">
        <v>25</v>
      </c>
      <c r="U11" s="1277">
        <v>24</v>
      </c>
      <c r="V11" s="1277">
        <v>13</v>
      </c>
      <c r="W11" s="1277">
        <v>87</v>
      </c>
      <c r="X11" s="1277">
        <v>165</v>
      </c>
      <c r="Y11" s="1277">
        <v>12</v>
      </c>
      <c r="Z11" s="1278">
        <v>5</v>
      </c>
      <c r="AA11" s="1279">
        <v>12</v>
      </c>
      <c r="AB11" s="1279">
        <v>21</v>
      </c>
      <c r="AC11" s="1280"/>
      <c r="AD11" s="3868"/>
      <c r="AE11" s="3868"/>
      <c r="AF11" s="3868" t="s">
        <v>517</v>
      </c>
      <c r="AG11" s="3868"/>
      <c r="AH11" s="3868">
        <v>27.8</v>
      </c>
      <c r="AI11" s="3868">
        <v>25</v>
      </c>
      <c r="AJ11" s="3868">
        <v>25.2</v>
      </c>
      <c r="AK11" s="3868">
        <v>26</v>
      </c>
      <c r="AL11" s="3868">
        <v>26</v>
      </c>
      <c r="AM11" s="3868">
        <v>25.2</v>
      </c>
      <c r="AN11" s="3868">
        <v>25.5</v>
      </c>
      <c r="AO11" s="3868">
        <v>26</v>
      </c>
      <c r="AP11" s="3868">
        <v>27</v>
      </c>
      <c r="AQ11" s="3868">
        <v>27.2</v>
      </c>
      <c r="AR11" s="3868">
        <v>26.8</v>
      </c>
      <c r="AS11" s="3868">
        <v>27.8</v>
      </c>
      <c r="AT11" s="3868">
        <v>28.5</v>
      </c>
      <c r="AU11" s="3868">
        <v>28.8</v>
      </c>
      <c r="AV11" s="3868">
        <v>29.1</v>
      </c>
      <c r="AW11" s="3868">
        <v>28.3</v>
      </c>
      <c r="AX11" s="3868">
        <v>27.9</v>
      </c>
      <c r="AY11" s="3868">
        <v>28.597005614472863</v>
      </c>
      <c r="AZ11" s="3868">
        <v>29.427844212175064</v>
      </c>
      <c r="BA11" s="3868">
        <v>29.407763392931209</v>
      </c>
      <c r="BB11" s="3868">
        <v>29.979231287929871</v>
      </c>
      <c r="BC11" s="3868"/>
      <c r="BD11" s="3868"/>
      <c r="BE11" s="3868"/>
      <c r="BF11" s="3868"/>
    </row>
    <row r="12" spans="1:58" x14ac:dyDescent="0.25">
      <c r="A12" s="1245"/>
      <c r="B12" s="1246"/>
      <c r="C12" s="1257">
        <v>2</v>
      </c>
      <c r="D12" s="718" t="s">
        <v>511</v>
      </c>
      <c r="E12" s="1281"/>
      <c r="F12" s="1282">
        <v>74137</v>
      </c>
      <c r="G12" s="1282">
        <v>81684</v>
      </c>
      <c r="H12" s="1282">
        <v>86215</v>
      </c>
      <c r="I12" s="1282">
        <v>88221</v>
      </c>
      <c r="J12" s="1282">
        <v>86625</v>
      </c>
      <c r="K12" s="1282">
        <v>92499</v>
      </c>
      <c r="L12" s="1282">
        <v>92819</v>
      </c>
      <c r="M12" s="1282">
        <v>95940</v>
      </c>
      <c r="N12" s="1282">
        <v>101047</v>
      </c>
      <c r="O12" s="1282">
        <v>108263</v>
      </c>
      <c r="P12" s="1282">
        <v>117240</v>
      </c>
      <c r="Q12" s="1282">
        <v>120385</v>
      </c>
      <c r="R12" s="1282">
        <v>124615</v>
      </c>
      <c r="S12" s="1282">
        <v>126617</v>
      </c>
      <c r="T12" s="1282">
        <v>133757</v>
      </c>
      <c r="U12" s="1282">
        <v>145426</v>
      </c>
      <c r="V12" s="1282">
        <v>153325</v>
      </c>
      <c r="W12" s="1282">
        <v>160300</v>
      </c>
      <c r="X12" s="1282">
        <v>165995</v>
      </c>
      <c r="Y12" s="1282">
        <v>180822</v>
      </c>
      <c r="Z12" s="1283">
        <v>185375</v>
      </c>
      <c r="AA12" s="1284">
        <v>191523.99999999994</v>
      </c>
      <c r="AB12" s="1284">
        <v>203076</v>
      </c>
      <c r="AC12" s="1263"/>
      <c r="AD12" s="3868"/>
      <c r="AE12" s="3868"/>
      <c r="AF12" s="3868"/>
      <c r="AG12" s="3868"/>
      <c r="AH12" s="3868"/>
      <c r="AI12" s="3868"/>
      <c r="AJ12" s="3868"/>
      <c r="AK12" s="3868"/>
      <c r="AL12" s="3868"/>
      <c r="AM12" s="3868"/>
      <c r="AN12" s="3868"/>
      <c r="AO12" s="3868"/>
      <c r="AP12" s="3868"/>
      <c r="AQ12" s="3868"/>
      <c r="AR12" s="3868"/>
      <c r="AS12" s="3868"/>
      <c r="AT12" s="3868"/>
      <c r="AU12" s="3868"/>
      <c r="AV12" s="3868"/>
      <c r="AW12" s="3868"/>
      <c r="AX12" s="3868"/>
      <c r="AY12" s="3868"/>
      <c r="AZ12" s="3868"/>
      <c r="BA12" s="3868"/>
      <c r="BB12" s="3868"/>
      <c r="BC12" s="3868"/>
      <c r="BD12" s="3868"/>
      <c r="BE12" s="3868"/>
      <c r="BF12" s="3868"/>
    </row>
    <row r="13" spans="1:58" x14ac:dyDescent="0.25">
      <c r="A13" s="1245"/>
      <c r="B13" s="1246"/>
      <c r="C13" s="1257"/>
      <c r="D13" s="1264" t="s">
        <v>468</v>
      </c>
      <c r="E13" s="1265"/>
      <c r="F13" s="1266">
        <v>36195</v>
      </c>
      <c r="G13" s="1266">
        <v>41194</v>
      </c>
      <c r="H13" s="1266">
        <v>44721</v>
      </c>
      <c r="I13" s="1266">
        <v>46395</v>
      </c>
      <c r="J13" s="1266">
        <v>47390</v>
      </c>
      <c r="K13" s="1266">
        <v>49653</v>
      </c>
      <c r="L13" s="1266">
        <v>52389</v>
      </c>
      <c r="M13" s="1266">
        <v>54978</v>
      </c>
      <c r="N13" s="1266">
        <v>58561</v>
      </c>
      <c r="O13" s="1266">
        <v>62397</v>
      </c>
      <c r="P13" s="1266">
        <v>68157</v>
      </c>
      <c r="Q13" s="1266">
        <v>70845</v>
      </c>
      <c r="R13" s="1266">
        <v>73959</v>
      </c>
      <c r="S13" s="1266" t="s">
        <v>518</v>
      </c>
      <c r="T13" s="1266">
        <v>79320</v>
      </c>
      <c r="U13" s="1266">
        <v>88073</v>
      </c>
      <c r="V13" s="1266">
        <v>93062</v>
      </c>
      <c r="W13" s="1266">
        <v>96816</v>
      </c>
      <c r="X13" s="1266">
        <v>99945</v>
      </c>
      <c r="Y13" s="1266">
        <v>109979</v>
      </c>
      <c r="Z13" s="1273">
        <v>112629</v>
      </c>
      <c r="AA13" s="1274">
        <v>116404.99999999996</v>
      </c>
      <c r="AB13" s="1274">
        <v>124302</v>
      </c>
      <c r="AC13" s="1270"/>
      <c r="AD13" s="3868"/>
      <c r="AE13" s="3868"/>
      <c r="AF13" s="3868"/>
      <c r="AG13" s="3868"/>
      <c r="AH13" s="3868"/>
      <c r="AI13" s="3868"/>
      <c r="AJ13" s="3868"/>
      <c r="AK13" s="3868"/>
      <c r="AL13" s="3868"/>
      <c r="AM13" s="3868"/>
      <c r="AN13" s="3868"/>
      <c r="AO13" s="3868"/>
      <c r="AP13" s="3868"/>
      <c r="AQ13" s="3868"/>
      <c r="AR13" s="3868"/>
      <c r="AS13" s="3868"/>
      <c r="AT13" s="3868"/>
      <c r="AU13" s="3868"/>
      <c r="AV13" s="3868"/>
      <c r="AW13" s="3868"/>
      <c r="AX13" s="3868"/>
      <c r="AY13" s="3868"/>
      <c r="AZ13" s="3868"/>
      <c r="BA13" s="3868"/>
      <c r="BB13" s="3868"/>
      <c r="BC13" s="3868"/>
      <c r="BD13" s="3868"/>
      <c r="BE13" s="3868"/>
      <c r="BF13" s="3868"/>
    </row>
    <row r="14" spans="1:58" x14ac:dyDescent="0.25">
      <c r="A14" s="1245"/>
      <c r="B14" s="1246"/>
      <c r="C14" s="1257"/>
      <c r="D14" s="1271" t="s">
        <v>467</v>
      </c>
      <c r="E14" s="1272"/>
      <c r="F14" s="1266">
        <v>37942</v>
      </c>
      <c r="G14" s="1266">
        <v>40490</v>
      </c>
      <c r="H14" s="1266">
        <v>41493</v>
      </c>
      <c r="I14" s="1266">
        <v>41827</v>
      </c>
      <c r="J14" s="1266">
        <v>39235</v>
      </c>
      <c r="K14" s="1266">
        <v>39913</v>
      </c>
      <c r="L14" s="1266">
        <v>40296</v>
      </c>
      <c r="M14" s="1266">
        <v>40955</v>
      </c>
      <c r="N14" s="1266">
        <v>42485</v>
      </c>
      <c r="O14" s="1266">
        <v>45866</v>
      </c>
      <c r="P14" s="1266">
        <v>49083</v>
      </c>
      <c r="Q14" s="1266">
        <v>49540</v>
      </c>
      <c r="R14" s="1266">
        <v>50717</v>
      </c>
      <c r="S14" s="1266" t="s">
        <v>519</v>
      </c>
      <c r="T14" s="1266">
        <v>53921</v>
      </c>
      <c r="U14" s="1266">
        <v>56778</v>
      </c>
      <c r="V14" s="1266">
        <v>60260</v>
      </c>
      <c r="W14" s="1266">
        <v>63478</v>
      </c>
      <c r="X14" s="1266">
        <v>66042</v>
      </c>
      <c r="Y14" s="1266">
        <v>70844</v>
      </c>
      <c r="Z14" s="1273">
        <v>72746</v>
      </c>
      <c r="AA14" s="1274">
        <v>75116.999999999985</v>
      </c>
      <c r="AB14" s="1274">
        <v>78763.999999999985</v>
      </c>
      <c r="AC14" s="1270"/>
      <c r="AD14" s="3868"/>
      <c r="AE14" s="3868"/>
      <c r="AF14" s="3868"/>
      <c r="AG14" s="3868"/>
      <c r="AH14" s="3868"/>
      <c r="AI14" s="3868"/>
      <c r="AJ14" s="3868"/>
      <c r="AK14" s="3868"/>
      <c r="AL14" s="3868"/>
      <c r="AM14" s="3868"/>
      <c r="AN14" s="3868"/>
      <c r="AO14" s="3868"/>
      <c r="AP14" s="3868"/>
      <c r="AQ14" s="3868"/>
      <c r="AR14" s="3868"/>
      <c r="AS14" s="3868"/>
      <c r="AT14" s="3868"/>
      <c r="AU14" s="3868"/>
      <c r="AV14" s="3868"/>
      <c r="AW14" s="3868"/>
      <c r="AX14" s="3868"/>
      <c r="AY14" s="3868"/>
      <c r="AZ14" s="3868"/>
      <c r="BA14" s="3868"/>
      <c r="BB14" s="3868"/>
      <c r="BC14" s="3868"/>
      <c r="BD14" s="3868"/>
      <c r="BE14" s="3868"/>
      <c r="BF14" s="3868"/>
    </row>
    <row r="15" spans="1:58" x14ac:dyDescent="0.25">
      <c r="A15" s="1245"/>
      <c r="B15" s="1246"/>
      <c r="C15" s="1257"/>
      <c r="D15" s="1275" t="s">
        <v>514</v>
      </c>
      <c r="E15" s="1276"/>
      <c r="F15" s="1277"/>
      <c r="G15" s="1277"/>
      <c r="H15" s="1277"/>
      <c r="I15" s="1277"/>
      <c r="J15" s="1277"/>
      <c r="K15" s="1277">
        <v>2933</v>
      </c>
      <c r="L15" s="1277">
        <v>134</v>
      </c>
      <c r="M15" s="1277">
        <v>7</v>
      </c>
      <c r="N15" s="1277">
        <v>1</v>
      </c>
      <c r="O15" s="1277"/>
      <c r="P15" s="1277"/>
      <c r="Q15" s="1277"/>
      <c r="R15" s="1277"/>
      <c r="S15" s="1277"/>
      <c r="T15" s="1277"/>
      <c r="U15" s="1277">
        <v>1</v>
      </c>
      <c r="V15" s="1277"/>
      <c r="W15" s="1277">
        <v>6</v>
      </c>
      <c r="X15" s="1277">
        <v>8</v>
      </c>
      <c r="Y15" s="1277">
        <v>0</v>
      </c>
      <c r="Z15" s="1285">
        <v>0</v>
      </c>
      <c r="AA15" s="1286">
        <v>2</v>
      </c>
      <c r="AB15" s="1286">
        <v>10</v>
      </c>
      <c r="AC15" s="1270"/>
      <c r="AD15" s="3868"/>
      <c r="AE15" s="3868"/>
      <c r="AF15" s="3868"/>
      <c r="AG15" s="3868"/>
      <c r="AH15" s="3868"/>
      <c r="AI15" s="3868"/>
      <c r="AJ15" s="3868"/>
      <c r="AK15" s="3868"/>
      <c r="AL15" s="3868"/>
      <c r="AM15" s="3868"/>
      <c r="AN15" s="3868"/>
      <c r="AO15" s="3868"/>
      <c r="AP15" s="3868"/>
      <c r="AQ15" s="3868"/>
      <c r="AR15" s="3868"/>
      <c r="AS15" s="3868"/>
      <c r="AT15" s="3868"/>
      <c r="AU15" s="4008" t="s">
        <v>520</v>
      </c>
      <c r="AV15" s="3868"/>
      <c r="AW15" s="3868"/>
      <c r="AX15" s="3868"/>
      <c r="AY15" s="3868"/>
      <c r="AZ15" s="3868"/>
      <c r="BA15" s="3868"/>
      <c r="BB15" s="3868"/>
      <c r="BC15" s="3868"/>
      <c r="BD15" s="3868"/>
      <c r="BE15" s="3868"/>
      <c r="BF15" s="3868"/>
    </row>
    <row r="16" spans="1:58" x14ac:dyDescent="0.25">
      <c r="A16" s="1245"/>
      <c r="B16" s="1246"/>
      <c r="C16" s="1257">
        <v>3</v>
      </c>
      <c r="D16" s="1287" t="s">
        <v>513</v>
      </c>
      <c r="E16" s="1288"/>
      <c r="F16" s="1289">
        <v>20598</v>
      </c>
      <c r="G16" s="1289">
        <v>20456</v>
      </c>
      <c r="H16" s="1289">
        <v>21682</v>
      </c>
      <c r="I16" s="1289">
        <v>22904</v>
      </c>
      <c r="J16" s="1289">
        <v>22506</v>
      </c>
      <c r="K16" s="1289">
        <v>23269</v>
      </c>
      <c r="L16" s="1289">
        <v>24235</v>
      </c>
      <c r="M16" s="1289">
        <v>25087</v>
      </c>
      <c r="N16" s="1289">
        <v>27014</v>
      </c>
      <c r="O16" s="1289">
        <v>29695</v>
      </c>
      <c r="P16" s="1289">
        <v>31483</v>
      </c>
      <c r="Q16" s="1289">
        <v>33506</v>
      </c>
      <c r="R16" s="1289">
        <v>35542</v>
      </c>
      <c r="S16" s="1289">
        <v>36429</v>
      </c>
      <c r="T16" s="1289">
        <v>39306</v>
      </c>
      <c r="U16" s="1289">
        <v>41509</v>
      </c>
      <c r="V16" s="1290">
        <v>42759.582999999999</v>
      </c>
      <c r="W16" s="1290">
        <v>46101</v>
      </c>
      <c r="X16" s="1290">
        <v>48848.75</v>
      </c>
      <c r="Y16" s="1290">
        <v>53176</v>
      </c>
      <c r="Z16" s="1283">
        <v>55574</v>
      </c>
      <c r="AA16" s="1284">
        <v>58090</v>
      </c>
      <c r="AB16" s="1284">
        <v>59125</v>
      </c>
      <c r="AC16" s="1263"/>
      <c r="AD16" s="3868"/>
      <c r="AE16" s="3868"/>
      <c r="AF16" s="3868"/>
      <c r="AG16" s="3868"/>
      <c r="AH16" s="3868"/>
      <c r="AI16" s="3868"/>
      <c r="AJ16" s="3868"/>
      <c r="AK16" s="3868"/>
      <c r="AL16" s="3868"/>
      <c r="AM16" s="3868"/>
      <c r="AN16" s="3868"/>
      <c r="AO16" s="3868"/>
      <c r="AP16" s="3868"/>
      <c r="AQ16" s="3868"/>
      <c r="AR16" s="3868"/>
      <c r="AS16" s="3868"/>
      <c r="AT16" s="3868"/>
      <c r="AU16" s="4008" t="s">
        <v>521</v>
      </c>
      <c r="AV16" s="3868"/>
      <c r="AW16" s="3868"/>
      <c r="AX16" s="3868"/>
      <c r="AY16" s="3868"/>
      <c r="AZ16" s="3868"/>
      <c r="BA16" s="3868"/>
      <c r="BB16" s="3868"/>
      <c r="BC16" s="3868"/>
      <c r="BD16" s="3868"/>
      <c r="BE16" s="3868"/>
      <c r="BF16" s="3868"/>
    </row>
    <row r="17" spans="1:58" x14ac:dyDescent="0.25">
      <c r="A17" s="1245"/>
      <c r="B17" s="1291"/>
      <c r="C17" s="1257">
        <v>4</v>
      </c>
      <c r="D17" s="1292" t="s">
        <v>522</v>
      </c>
      <c r="E17" s="1293"/>
      <c r="F17" s="1294"/>
      <c r="G17" s="1294"/>
      <c r="H17" s="1294"/>
      <c r="I17" s="1294"/>
      <c r="J17" s="1294"/>
      <c r="K17" s="1294"/>
      <c r="L17" s="1294"/>
      <c r="M17" s="1294"/>
      <c r="N17" s="1294"/>
      <c r="O17" s="1294"/>
      <c r="P17" s="1294"/>
      <c r="Q17" s="1294"/>
      <c r="R17" s="1294"/>
      <c r="S17" s="1294"/>
      <c r="T17" s="1295"/>
      <c r="U17" s="1296">
        <v>8424</v>
      </c>
      <c r="V17" s="1296">
        <v>8792</v>
      </c>
      <c r="W17" s="1296">
        <v>9193</v>
      </c>
      <c r="X17" s="1296">
        <v>9974</v>
      </c>
      <c r="Y17" s="1296">
        <v>11441</v>
      </c>
      <c r="Z17" s="1297">
        <v>12058</v>
      </c>
      <c r="AA17" s="1298">
        <v>12470</v>
      </c>
      <c r="AB17" s="1298">
        <v>12386</v>
      </c>
      <c r="AC17" s="1299"/>
      <c r="AD17" s="3868"/>
      <c r="AE17" s="3868"/>
      <c r="AF17" s="3868"/>
      <c r="AG17" s="3868"/>
      <c r="AH17" s="3868"/>
      <c r="AI17" s="3868"/>
      <c r="AJ17" s="3868"/>
      <c r="AK17" s="3868"/>
      <c r="AL17" s="3868"/>
      <c r="AM17" s="3868"/>
      <c r="AN17" s="3868"/>
      <c r="AO17" s="3868"/>
      <c r="AP17" s="3868"/>
      <c r="AQ17" s="3868"/>
      <c r="AR17" s="3868"/>
      <c r="AS17" s="3868"/>
      <c r="AT17" s="3868"/>
      <c r="AU17" s="4008">
        <v>36429</v>
      </c>
      <c r="AV17" s="3868"/>
      <c r="AW17" s="3868"/>
      <c r="AX17" s="3868"/>
      <c r="AY17" s="3868"/>
      <c r="AZ17" s="3868"/>
      <c r="BA17" s="3868"/>
      <c r="BB17" s="3868"/>
      <c r="BC17" s="3868"/>
      <c r="BD17" s="3868"/>
      <c r="BE17" s="3868"/>
      <c r="BF17" s="3868"/>
    </row>
    <row r="18" spans="1:58" x14ac:dyDescent="0.25">
      <c r="A18" s="921"/>
      <c r="B18" s="921"/>
      <c r="C18" s="1257">
        <v>5</v>
      </c>
      <c r="D18" s="1300"/>
      <c r="E18" s="1300" t="s">
        <v>523</v>
      </c>
      <c r="F18" s="1301"/>
      <c r="G18" s="1301"/>
      <c r="H18" s="1301"/>
      <c r="I18" s="1301"/>
      <c r="J18" s="1301"/>
      <c r="K18" s="1301"/>
      <c r="L18" s="1301"/>
      <c r="M18" s="1301"/>
      <c r="N18" s="1301"/>
      <c r="O18" s="1301"/>
      <c r="P18" s="1301"/>
      <c r="Q18" s="1301"/>
      <c r="R18" s="1301"/>
      <c r="S18" s="1301"/>
      <c r="T18" s="1302"/>
      <c r="U18" s="1303"/>
      <c r="V18" s="1303">
        <v>9773</v>
      </c>
      <c r="W18" s="1303">
        <v>10877</v>
      </c>
      <c r="X18" s="1303">
        <v>9387</v>
      </c>
      <c r="Y18" s="1303">
        <v>10000</v>
      </c>
      <c r="Z18" s="1304">
        <v>10100</v>
      </c>
      <c r="AA18" s="1305"/>
      <c r="AB18" s="1305"/>
      <c r="AC18" s="1299"/>
    </row>
    <row r="19" spans="1:58" ht="12.75" customHeight="1" x14ac:dyDescent="0.25">
      <c r="A19" s="1245"/>
      <c r="B19" s="1246"/>
      <c r="C19" s="1257">
        <v>6</v>
      </c>
      <c r="D19" s="1306" t="s">
        <v>517</v>
      </c>
      <c r="E19" s="1307"/>
      <c r="F19" s="1308">
        <v>27.8</v>
      </c>
      <c r="G19" s="1308">
        <v>25</v>
      </c>
      <c r="H19" s="1308">
        <v>25.2</v>
      </c>
      <c r="I19" s="1308">
        <v>26</v>
      </c>
      <c r="J19" s="1308">
        <v>26</v>
      </c>
      <c r="K19" s="1308">
        <v>25.2</v>
      </c>
      <c r="L19" s="1308">
        <v>25.5</v>
      </c>
      <c r="M19" s="1308">
        <v>26</v>
      </c>
      <c r="N19" s="1308">
        <v>27</v>
      </c>
      <c r="O19" s="1308">
        <v>27.2</v>
      </c>
      <c r="P19" s="1308">
        <v>26.8</v>
      </c>
      <c r="Q19" s="1308">
        <v>27.8</v>
      </c>
      <c r="R19" s="1308">
        <v>28.5</v>
      </c>
      <c r="S19" s="1308">
        <v>28.8</v>
      </c>
      <c r="T19" s="1308">
        <v>29.1</v>
      </c>
      <c r="U19" s="1308">
        <v>28.3</v>
      </c>
      <c r="V19" s="1308">
        <v>27.9</v>
      </c>
      <c r="W19" s="1308">
        <v>28.597005614472863</v>
      </c>
      <c r="X19" s="1308">
        <f>X16/X12*100</f>
        <v>29.427844212175064</v>
      </c>
      <c r="Y19" s="1308">
        <f>Y16/Y12*100</f>
        <v>29.407926026700292</v>
      </c>
      <c r="Z19" s="1309">
        <f>Z16/Z12*100</f>
        <v>29.979231287929871</v>
      </c>
      <c r="AA19" s="1310">
        <f t="shared" ref="AA19:AB19" si="0">AA16/AA12*100</f>
        <v>30.330402456089061</v>
      </c>
      <c r="AB19" s="1310">
        <f t="shared" si="0"/>
        <v>29.11471567295003</v>
      </c>
      <c r="AC19" s="1311"/>
    </row>
    <row r="20" spans="1:58" x14ac:dyDescent="0.25">
      <c r="A20" s="1245"/>
      <c r="B20" s="1245"/>
      <c r="C20" s="1245"/>
      <c r="D20" s="1312"/>
      <c r="E20" s="1312"/>
      <c r="F20" s="1313"/>
      <c r="G20" s="1313"/>
      <c r="H20" s="1313"/>
      <c r="I20" s="1313"/>
      <c r="J20" s="1313"/>
      <c r="K20" s="1313"/>
      <c r="L20" s="1313"/>
      <c r="M20" s="1313"/>
      <c r="N20" s="1313"/>
      <c r="O20" s="1313"/>
      <c r="P20" s="1313"/>
      <c r="Q20" s="1313"/>
      <c r="R20" s="1313"/>
      <c r="S20" s="1313"/>
      <c r="T20" s="604"/>
      <c r="U20" s="1299"/>
      <c r="V20" s="1299"/>
      <c r="W20" s="1299"/>
    </row>
    <row r="21" spans="1:58" x14ac:dyDescent="0.25">
      <c r="A21" s="1245"/>
      <c r="B21" s="1245"/>
      <c r="C21" s="1245"/>
      <c r="D21" s="1312"/>
      <c r="E21" s="1312"/>
      <c r="F21" s="1313"/>
      <c r="G21" s="1313"/>
      <c r="H21" s="1313"/>
      <c r="I21" s="1313"/>
      <c r="J21" s="1313"/>
      <c r="K21" s="1313"/>
      <c r="L21" s="1313"/>
      <c r="M21" s="1313"/>
      <c r="N21" s="1313"/>
      <c r="O21" s="1313"/>
      <c r="P21" s="1313"/>
      <c r="Q21" s="1313"/>
      <c r="R21" s="1313"/>
      <c r="S21" s="1313"/>
      <c r="T21" s="604"/>
      <c r="U21" s="1299"/>
      <c r="V21" s="1299"/>
      <c r="W21" s="1299"/>
    </row>
    <row r="22" spans="1:58" x14ac:dyDescent="0.25">
      <c r="A22" s="1245"/>
      <c r="B22" s="1245"/>
      <c r="C22" s="1245"/>
      <c r="D22" s="1312"/>
      <c r="E22" s="1312"/>
      <c r="F22" s="1313"/>
      <c r="G22" s="1313"/>
      <c r="H22" s="1313"/>
      <c r="I22" s="1313"/>
      <c r="J22" s="1313"/>
      <c r="K22" s="1313"/>
      <c r="L22" s="1313"/>
      <c r="M22" s="1313"/>
      <c r="N22" s="1313"/>
      <c r="O22" s="1313"/>
      <c r="P22" s="1313"/>
      <c r="Q22" s="1313"/>
      <c r="R22" s="1313"/>
      <c r="S22" s="1313"/>
      <c r="T22" s="604"/>
      <c r="U22" s="1299"/>
      <c r="V22" s="1299"/>
      <c r="W22" s="1299"/>
    </row>
    <row r="23" spans="1:58" x14ac:dyDescent="0.25">
      <c r="A23" s="1245">
        <v>5</v>
      </c>
      <c r="B23" s="1245" t="s">
        <v>90</v>
      </c>
      <c r="C23" s="1246"/>
      <c r="D23" s="1247"/>
      <c r="E23" s="1247"/>
      <c r="F23" s="640"/>
      <c r="G23" s="640"/>
      <c r="H23" s="640"/>
      <c r="I23" s="640"/>
      <c r="J23" s="640"/>
      <c r="K23" s="640"/>
      <c r="L23" s="640"/>
      <c r="M23" s="640"/>
      <c r="N23" s="640"/>
      <c r="O23" s="640"/>
      <c r="P23" s="640"/>
      <c r="Q23" s="640"/>
      <c r="R23" s="640"/>
      <c r="S23" s="640"/>
      <c r="T23" s="640"/>
      <c r="U23" s="640"/>
      <c r="V23" s="604"/>
      <c r="W23" s="604"/>
      <c r="AA23" s="1314"/>
    </row>
    <row r="24" spans="1:58" x14ac:dyDescent="0.25">
      <c r="A24" s="1245"/>
      <c r="B24" s="1246"/>
      <c r="C24" s="1246"/>
      <c r="D24" s="1247"/>
      <c r="E24" s="1247"/>
      <c r="F24" s="640"/>
      <c r="G24" s="640"/>
      <c r="H24" s="640"/>
      <c r="I24" s="640"/>
      <c r="J24" s="640"/>
      <c r="K24" s="640"/>
      <c r="L24" s="640"/>
      <c r="M24" s="640"/>
      <c r="N24" s="640"/>
      <c r="O24" s="640"/>
      <c r="P24" s="640"/>
      <c r="Q24" s="640"/>
      <c r="R24" s="640"/>
      <c r="S24" s="640"/>
      <c r="T24" s="640"/>
      <c r="U24" s="640"/>
      <c r="V24" s="604"/>
      <c r="W24" s="604"/>
    </row>
    <row r="25" spans="1:58" x14ac:dyDescent="0.25">
      <c r="A25" s="1245"/>
      <c r="B25" s="1246"/>
      <c r="C25" s="1246"/>
      <c r="D25" s="1247"/>
      <c r="E25" s="1247"/>
      <c r="F25" s="640"/>
      <c r="G25" s="640"/>
      <c r="H25" s="640"/>
      <c r="I25" s="640"/>
      <c r="J25" s="640"/>
      <c r="K25" s="640"/>
      <c r="L25" s="640"/>
      <c r="M25" s="640"/>
      <c r="N25" s="640"/>
      <c r="O25" s="640"/>
      <c r="P25" s="640"/>
      <c r="Q25" s="640"/>
      <c r="R25" s="640"/>
      <c r="S25" s="640"/>
      <c r="T25" s="1247"/>
      <c r="U25" s="1247"/>
      <c r="V25" s="1248"/>
      <c r="W25" s="1248"/>
    </row>
    <row r="26" spans="1:58" x14ac:dyDescent="0.25">
      <c r="A26" s="1245"/>
      <c r="B26" s="1246"/>
      <c r="C26" s="1246"/>
      <c r="D26" s="1247"/>
      <c r="E26" s="1247"/>
      <c r="F26" s="640"/>
      <c r="G26" s="640"/>
      <c r="H26" s="640"/>
      <c r="I26" s="640"/>
      <c r="J26" s="640"/>
      <c r="K26" s="640"/>
      <c r="L26" s="640"/>
      <c r="M26" s="640"/>
      <c r="N26" s="1247"/>
      <c r="O26" s="1315"/>
      <c r="P26" s="1316"/>
      <c r="Q26" s="1316"/>
      <c r="R26" s="1316"/>
      <c r="S26" s="1316"/>
      <c r="T26" s="1247"/>
      <c r="U26" s="1247"/>
      <c r="V26" s="1248"/>
      <c r="W26" s="1248"/>
    </row>
    <row r="27" spans="1:58" x14ac:dyDescent="0.25">
      <c r="A27" s="1245"/>
      <c r="B27" s="1246"/>
      <c r="C27" s="1246"/>
      <c r="D27" s="1247"/>
      <c r="E27" s="1247"/>
      <c r="F27" s="640"/>
      <c r="G27" s="640"/>
      <c r="H27" s="640"/>
      <c r="I27" s="640"/>
      <c r="J27" s="640"/>
      <c r="K27" s="640"/>
      <c r="L27" s="640"/>
      <c r="M27" s="640"/>
      <c r="N27" s="1247"/>
      <c r="O27" s="1316"/>
      <c r="P27" s="1316"/>
      <c r="Q27" s="1316"/>
      <c r="R27" s="1316"/>
      <c r="S27" s="1316"/>
      <c r="T27" s="640"/>
      <c r="U27" s="640"/>
      <c r="V27" s="604"/>
      <c r="W27" s="604"/>
    </row>
    <row r="28" spans="1:58" x14ac:dyDescent="0.25">
      <c r="A28" s="1245"/>
      <c r="B28" s="1246"/>
      <c r="C28" s="1246"/>
      <c r="D28" s="1247"/>
      <c r="E28" s="1247"/>
      <c r="F28" s="640"/>
      <c r="G28" s="640"/>
      <c r="H28" s="640"/>
      <c r="I28" s="640"/>
      <c r="J28" s="640"/>
      <c r="K28" s="640"/>
      <c r="L28" s="640"/>
      <c r="M28" s="640"/>
      <c r="N28" s="1316"/>
      <c r="O28" s="1316"/>
      <c r="P28" s="1316"/>
      <c r="Q28" s="1316"/>
      <c r="R28" s="1316"/>
      <c r="S28" s="1316"/>
      <c r="T28" s="640"/>
      <c r="U28" s="640"/>
      <c r="V28" s="604"/>
      <c r="W28" s="604"/>
    </row>
    <row r="29" spans="1:58" x14ac:dyDescent="0.25">
      <c r="A29" s="1245"/>
      <c r="B29" s="1246"/>
      <c r="C29" s="1246"/>
      <c r="D29" s="1247"/>
      <c r="E29" s="1247"/>
      <c r="F29" s="640"/>
      <c r="G29" s="640"/>
      <c r="H29" s="640"/>
      <c r="I29" s="640"/>
      <c r="J29" s="640"/>
      <c r="K29" s="640"/>
      <c r="L29" s="640"/>
      <c r="M29" s="640"/>
      <c r="N29" s="640"/>
      <c r="O29" s="640"/>
      <c r="P29" s="640"/>
      <c r="Q29" s="640"/>
      <c r="R29" s="640"/>
      <c r="S29" s="640"/>
      <c r="T29" s="640"/>
      <c r="U29" s="640"/>
      <c r="V29" s="604"/>
      <c r="W29" s="604"/>
    </row>
    <row r="30" spans="1:58" x14ac:dyDescent="0.25">
      <c r="A30" s="1245"/>
      <c r="B30" s="1246"/>
      <c r="C30" s="1246"/>
      <c r="D30" s="1247"/>
      <c r="E30" s="1247"/>
      <c r="F30" s="640"/>
      <c r="G30" s="640"/>
      <c r="H30" s="640"/>
      <c r="I30" s="640"/>
      <c r="J30" s="640"/>
      <c r="K30" s="640"/>
      <c r="L30" s="640"/>
      <c r="M30" s="640"/>
      <c r="N30" s="640"/>
      <c r="O30" s="640"/>
      <c r="P30" s="640"/>
      <c r="Q30" s="640"/>
      <c r="R30" s="640"/>
      <c r="S30" s="640"/>
      <c r="T30" s="640"/>
      <c r="U30" s="640"/>
      <c r="V30" s="604"/>
      <c r="W30" s="604"/>
    </row>
    <row r="31" spans="1:58" x14ac:dyDescent="0.25">
      <c r="A31" s="1245"/>
      <c r="B31" s="1246"/>
      <c r="C31" s="1246"/>
      <c r="D31" s="1247"/>
      <c r="E31" s="1247"/>
      <c r="F31" s="640"/>
      <c r="G31" s="640"/>
      <c r="H31" s="640"/>
      <c r="I31" s="640"/>
      <c r="J31" s="640"/>
      <c r="K31" s="640"/>
      <c r="L31" s="640"/>
      <c r="M31" s="640"/>
      <c r="N31" s="640"/>
      <c r="O31" s="640"/>
      <c r="P31" s="640"/>
      <c r="Q31" s="640"/>
      <c r="R31" s="640"/>
      <c r="S31" s="640"/>
      <c r="T31" s="640"/>
      <c r="U31" s="640"/>
      <c r="V31" s="604"/>
      <c r="W31" s="604"/>
    </row>
    <row r="32" spans="1:58" x14ac:dyDescent="0.25">
      <c r="A32" s="1245"/>
      <c r="B32" s="1246"/>
      <c r="C32" s="1246"/>
      <c r="D32" s="1247"/>
      <c r="E32" s="1247"/>
      <c r="F32" s="1247"/>
      <c r="G32" s="1247"/>
      <c r="H32" s="1247"/>
      <c r="I32" s="1247"/>
      <c r="J32" s="1247"/>
      <c r="K32" s="1247"/>
      <c r="L32" s="1247"/>
      <c r="M32" s="1247"/>
      <c r="N32" s="1247"/>
      <c r="O32" s="1247"/>
      <c r="P32" s="1247"/>
      <c r="Q32" s="1247"/>
      <c r="R32" s="1247"/>
      <c r="S32" s="1247"/>
      <c r="T32" s="1247"/>
      <c r="U32" s="1247"/>
      <c r="V32" s="1248"/>
      <c r="W32" s="1248"/>
    </row>
    <row r="33" spans="1:39" x14ac:dyDescent="0.25">
      <c r="A33" s="1245"/>
      <c r="B33" s="1246"/>
      <c r="C33" s="1246"/>
      <c r="D33" s="1247"/>
      <c r="E33" s="1247"/>
      <c r="F33" s="1247"/>
      <c r="G33" s="1247"/>
      <c r="H33" s="1247"/>
      <c r="I33" s="1247"/>
      <c r="J33" s="1247"/>
      <c r="K33" s="1247"/>
      <c r="L33" s="1247"/>
      <c r="M33" s="1247"/>
      <c r="N33" s="1247"/>
      <c r="O33" s="1247"/>
      <c r="P33" s="1247"/>
      <c r="Q33" s="1247"/>
      <c r="R33" s="1247"/>
      <c r="S33" s="1247"/>
      <c r="T33" s="1247"/>
      <c r="U33" s="1247"/>
      <c r="V33" s="1248"/>
      <c r="W33" s="1248"/>
    </row>
    <row r="34" spans="1:39" x14ac:dyDescent="0.25">
      <c r="A34" s="1245"/>
      <c r="B34" s="1246"/>
      <c r="C34" s="1246"/>
      <c r="D34" s="1247"/>
      <c r="E34" s="1247"/>
      <c r="F34" s="1247"/>
      <c r="G34" s="1247"/>
      <c r="H34" s="1247"/>
      <c r="I34" s="1247"/>
      <c r="J34" s="1247"/>
      <c r="K34" s="1247"/>
      <c r="L34" s="1247"/>
      <c r="M34" s="1247"/>
      <c r="N34" s="1247"/>
      <c r="O34" s="1247"/>
      <c r="P34" s="1247"/>
      <c r="Q34" s="1247"/>
      <c r="R34" s="1247"/>
      <c r="S34" s="1247"/>
      <c r="T34" s="1247"/>
      <c r="U34" s="1247"/>
      <c r="V34" s="1248"/>
      <c r="W34" s="1248"/>
    </row>
    <row r="35" spans="1:39" x14ac:dyDescent="0.25">
      <c r="A35" s="1245"/>
      <c r="B35" s="1246"/>
      <c r="C35" s="1246"/>
      <c r="D35" s="1247"/>
      <c r="E35" s="1247"/>
      <c r="F35" s="1247"/>
      <c r="G35" s="1247"/>
      <c r="H35" s="1247"/>
      <c r="I35" s="1247"/>
      <c r="J35" s="1247"/>
      <c r="K35" s="1247"/>
      <c r="L35" s="1247"/>
      <c r="M35" s="1247"/>
      <c r="N35" s="1247"/>
      <c r="O35" s="1247"/>
      <c r="P35" s="1247"/>
      <c r="Q35" s="1247"/>
      <c r="R35" s="1247"/>
      <c r="S35" s="1247"/>
      <c r="T35" s="1247"/>
      <c r="U35" s="1247"/>
      <c r="V35" s="1248"/>
      <c r="W35" s="1248"/>
      <c r="AM35" s="921" t="s">
        <v>524</v>
      </c>
    </row>
    <row r="36" spans="1:39" x14ac:dyDescent="0.25">
      <c r="A36" s="1245"/>
      <c r="B36" s="1246"/>
      <c r="C36" s="1246"/>
      <c r="D36" s="1247"/>
      <c r="E36" s="1247"/>
      <c r="F36" s="1247"/>
      <c r="G36" s="1247"/>
      <c r="H36" s="1247"/>
      <c r="I36" s="1247"/>
      <c r="J36" s="1247"/>
      <c r="K36" s="1247"/>
      <c r="L36" s="1247"/>
      <c r="M36" s="1247"/>
      <c r="N36" s="1247"/>
      <c r="O36" s="1247"/>
      <c r="P36" s="1247"/>
      <c r="Q36" s="1247"/>
      <c r="R36" s="1247"/>
      <c r="S36" s="1247"/>
      <c r="T36" s="1247"/>
      <c r="U36" s="1247"/>
      <c r="V36" s="1248"/>
      <c r="W36" s="1248"/>
    </row>
    <row r="37" spans="1:39" x14ac:dyDescent="0.25">
      <c r="A37" s="1245"/>
      <c r="B37" s="1246"/>
      <c r="C37" s="1246"/>
      <c r="D37" s="1247"/>
      <c r="E37" s="1247"/>
      <c r="F37" s="1247"/>
      <c r="G37" s="1247"/>
      <c r="H37" s="1247"/>
      <c r="I37" s="1247"/>
      <c r="J37" s="1247"/>
      <c r="K37" s="1247"/>
      <c r="L37" s="1247"/>
      <c r="M37" s="1247"/>
      <c r="N37" s="1247"/>
      <c r="O37" s="1247"/>
      <c r="P37" s="1247"/>
      <c r="Q37" s="1247"/>
      <c r="R37" s="1247"/>
      <c r="S37" s="1247"/>
      <c r="T37" s="1247"/>
      <c r="U37" s="1247"/>
      <c r="V37" s="1248"/>
      <c r="W37" s="1248"/>
    </row>
    <row r="38" spans="1:39" x14ac:dyDescent="0.25">
      <c r="A38" s="1245"/>
      <c r="B38" s="1246"/>
      <c r="C38" s="1246"/>
      <c r="D38" s="1247"/>
      <c r="E38" s="1247"/>
      <c r="F38" s="1247"/>
      <c r="G38" s="1247"/>
      <c r="H38" s="1247"/>
      <c r="I38" s="1247"/>
      <c r="J38" s="1247"/>
      <c r="K38" s="1247"/>
      <c r="L38" s="1247"/>
      <c r="M38" s="1247"/>
      <c r="N38" s="1247"/>
      <c r="O38" s="1247"/>
      <c r="P38" s="1247"/>
      <c r="Q38" s="1247"/>
      <c r="R38" s="1247"/>
      <c r="S38" s="1247"/>
      <c r="T38" s="1247"/>
      <c r="U38" s="1247"/>
      <c r="V38" s="1248"/>
      <c r="W38" s="1248"/>
    </row>
    <row r="39" spans="1:39" x14ac:dyDescent="0.25">
      <c r="A39" s="1245"/>
      <c r="B39" s="1246"/>
      <c r="C39" s="1246"/>
      <c r="D39" s="1247"/>
      <c r="E39" s="1247"/>
      <c r="F39" s="1247"/>
      <c r="G39" s="1247"/>
      <c r="H39" s="1247"/>
      <c r="I39" s="1247"/>
      <c r="J39" s="1247"/>
      <c r="K39" s="1247"/>
      <c r="L39" s="1247"/>
      <c r="M39" s="1247"/>
      <c r="N39" s="1247"/>
      <c r="O39" s="1247"/>
      <c r="P39" s="1247"/>
      <c r="Q39" s="1247"/>
      <c r="R39" s="1247"/>
      <c r="S39" s="1247"/>
      <c r="T39" s="1247"/>
      <c r="U39" s="1247"/>
      <c r="V39" s="1248"/>
      <c r="W39" s="1248"/>
    </row>
    <row r="40" spans="1:39" x14ac:dyDescent="0.25">
      <c r="A40" s="1245"/>
      <c r="B40" s="1246"/>
      <c r="C40" s="1246"/>
      <c r="D40" s="1247"/>
      <c r="E40" s="1247"/>
      <c r="F40" s="1247"/>
      <c r="G40" s="1247"/>
      <c r="H40" s="1247"/>
      <c r="I40" s="1247"/>
      <c r="J40" s="1247"/>
      <c r="K40" s="1247"/>
      <c r="L40" s="1247"/>
      <c r="M40" s="1247"/>
      <c r="N40" s="1247"/>
      <c r="O40" s="1247"/>
      <c r="P40" s="1247"/>
      <c r="Q40" s="1247"/>
      <c r="R40" s="1247"/>
      <c r="S40" s="1247"/>
      <c r="T40" s="1247"/>
      <c r="U40" s="1247"/>
      <c r="V40" s="1248"/>
      <c r="W40" s="1248"/>
    </row>
    <row r="41" spans="1:39" x14ac:dyDescent="0.25">
      <c r="A41" s="1245">
        <v>6</v>
      </c>
      <c r="B41" s="1245" t="s">
        <v>29</v>
      </c>
      <c r="C41" s="1245"/>
      <c r="D41" s="4129" t="s">
        <v>525</v>
      </c>
      <c r="E41" s="4130"/>
      <c r="F41" s="4130"/>
      <c r="G41" s="4130"/>
      <c r="H41" s="4130"/>
      <c r="I41" s="4130"/>
      <c r="J41" s="4130"/>
      <c r="K41" s="4130"/>
      <c r="L41" s="4130"/>
      <c r="M41" s="4130"/>
      <c r="N41" s="4130"/>
      <c r="O41" s="4130"/>
      <c r="P41" s="4130"/>
      <c r="Q41" s="4130"/>
      <c r="R41" s="4130"/>
      <c r="S41" s="4130"/>
      <c r="T41" s="4130"/>
      <c r="U41" s="4130"/>
      <c r="V41" s="4130"/>
      <c r="W41" s="4130"/>
      <c r="X41" s="4130"/>
      <c r="Y41" s="4130"/>
      <c r="Z41" s="4131"/>
      <c r="AA41" s="270"/>
      <c r="AB41" s="270"/>
    </row>
    <row r="42" spans="1:39" ht="14.25" customHeight="1" x14ac:dyDescent="0.25">
      <c r="A42" s="1317">
        <v>7</v>
      </c>
      <c r="B42" s="1317" t="s">
        <v>32</v>
      </c>
      <c r="C42" s="1317"/>
      <c r="D42" s="4289" t="s">
        <v>526</v>
      </c>
      <c r="E42" s="4290"/>
      <c r="F42" s="4290"/>
      <c r="G42" s="4290"/>
      <c r="H42" s="4290"/>
      <c r="I42" s="4290"/>
      <c r="J42" s="4290"/>
      <c r="K42" s="4290"/>
      <c r="L42" s="4290"/>
      <c r="M42" s="4290"/>
      <c r="N42" s="4290"/>
      <c r="O42" s="4290"/>
      <c r="P42" s="4290"/>
      <c r="Q42" s="4290"/>
      <c r="R42" s="4290"/>
      <c r="S42" s="4290"/>
      <c r="T42" s="4290"/>
      <c r="U42" s="4290"/>
      <c r="V42" s="4290"/>
      <c r="W42" s="4290"/>
      <c r="X42" s="4290"/>
      <c r="Y42" s="4290"/>
      <c r="Z42" s="4291"/>
      <c r="AA42" s="1318"/>
      <c r="AB42" s="1318"/>
    </row>
    <row r="43" spans="1:39" ht="15" customHeight="1" x14ac:dyDescent="0.25">
      <c r="A43" s="1245">
        <v>8</v>
      </c>
      <c r="B43" s="1245" t="s">
        <v>31</v>
      </c>
      <c r="C43" s="1245"/>
      <c r="D43" s="4286" t="s">
        <v>527</v>
      </c>
      <c r="E43" s="4287"/>
      <c r="F43" s="4287"/>
      <c r="G43" s="4287"/>
      <c r="H43" s="4287"/>
      <c r="I43" s="4287"/>
      <c r="J43" s="4287"/>
      <c r="K43" s="4287"/>
      <c r="L43" s="4287"/>
      <c r="M43" s="4287"/>
      <c r="N43" s="4287"/>
      <c r="O43" s="4287"/>
      <c r="P43" s="4287"/>
      <c r="Q43" s="4287"/>
      <c r="R43" s="4287"/>
      <c r="S43" s="4287"/>
      <c r="T43" s="4287"/>
      <c r="U43" s="4287"/>
      <c r="V43" s="4287"/>
      <c r="W43" s="4287"/>
      <c r="X43" s="4287"/>
      <c r="Y43" s="4287"/>
      <c r="Z43" s="4288"/>
      <c r="AA43" s="1319"/>
      <c r="AB43" s="1319"/>
    </row>
    <row r="44" spans="1:39" ht="15" customHeight="1" x14ac:dyDescent="0.25">
      <c r="A44" s="1245">
        <v>9</v>
      </c>
      <c r="B44" s="1245" t="s">
        <v>157</v>
      </c>
      <c r="C44" s="1320"/>
      <c r="D44" s="4129" t="s">
        <v>485</v>
      </c>
      <c r="E44" s="4130"/>
      <c r="F44" s="4130"/>
      <c r="G44" s="4130"/>
      <c r="H44" s="4130"/>
      <c r="I44" s="4130"/>
      <c r="J44" s="4130"/>
      <c r="K44" s="4130"/>
      <c r="L44" s="4130"/>
      <c r="M44" s="4130"/>
      <c r="N44" s="4130"/>
      <c r="O44" s="4130"/>
      <c r="P44" s="4130"/>
      <c r="Q44" s="4130"/>
      <c r="R44" s="4130"/>
      <c r="S44" s="4130"/>
      <c r="T44" s="4130"/>
      <c r="U44" s="4130"/>
      <c r="V44" s="4130"/>
      <c r="W44" s="4130"/>
      <c r="X44" s="4130"/>
      <c r="Y44" s="4130"/>
      <c r="Z44" s="4131"/>
      <c r="AA44" s="270"/>
      <c r="AB44" s="270"/>
    </row>
  </sheetData>
  <mergeCells count="7">
    <mergeCell ref="D43:Z43"/>
    <mergeCell ref="D44:Z44"/>
    <mergeCell ref="D2:AB2"/>
    <mergeCell ref="D3:AB3"/>
    <mergeCell ref="D4:AB4"/>
    <mergeCell ref="D41:Z41"/>
    <mergeCell ref="D42:Z42"/>
  </mergeCells>
  <pageMargins left="0.74803149606299202" right="0.74803149606299202" top="0.98425196850393704" bottom="0.98425196850393704" header="0.511811023622047" footer="0.511811023622047"/>
  <pageSetup paperSize="9" scale="5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86"/>
  <sheetViews>
    <sheetView showGridLines="0" view="pageBreakPreview" zoomScaleNormal="100" zoomScaleSheetLayoutView="100" workbookViewId="0">
      <selection activeCell="P17" sqref="P17"/>
    </sheetView>
  </sheetViews>
  <sheetFormatPr defaultRowHeight="12.75" x14ac:dyDescent="0.2"/>
  <cols>
    <col min="1" max="1" width="3" style="1321" bestFit="1" customWidth="1"/>
    <col min="2" max="2" width="14.28515625" style="1321" bestFit="1" customWidth="1"/>
    <col min="3" max="3" width="3" style="1321" bestFit="1" customWidth="1"/>
    <col min="4" max="4" width="12.140625" style="1321" customWidth="1"/>
    <col min="5" max="25" width="9.7109375" style="1321" customWidth="1"/>
    <col min="26" max="26" width="9.140625" style="1321"/>
    <col min="27" max="27" width="9.140625" style="1321" customWidth="1"/>
    <col min="28" max="260" width="9.140625" style="1321"/>
    <col min="261" max="261" width="3" style="1321" bestFit="1" customWidth="1"/>
    <col min="262" max="262" width="14.28515625" style="1321" bestFit="1" customWidth="1"/>
    <col min="263" max="263" width="3" style="1321" bestFit="1" customWidth="1"/>
    <col min="264" max="264" width="12.140625" style="1321" customWidth="1"/>
    <col min="265" max="272" width="7.28515625" style="1321" customWidth="1"/>
    <col min="273" max="274" width="12.140625" style="1321" customWidth="1"/>
    <col min="275" max="275" width="7.28515625" style="1321" customWidth="1"/>
    <col min="276" max="276" width="9.7109375" style="1321" customWidth="1"/>
    <col min="277" max="516" width="9.140625" style="1321"/>
    <col min="517" max="517" width="3" style="1321" bestFit="1" customWidth="1"/>
    <col min="518" max="518" width="14.28515625" style="1321" bestFit="1" customWidth="1"/>
    <col min="519" max="519" width="3" style="1321" bestFit="1" customWidth="1"/>
    <col min="520" max="520" width="12.140625" style="1321" customWidth="1"/>
    <col min="521" max="528" width="7.28515625" style="1321" customWidth="1"/>
    <col min="529" max="530" width="12.140625" style="1321" customWidth="1"/>
    <col min="531" max="531" width="7.28515625" style="1321" customWidth="1"/>
    <col min="532" max="532" width="9.7109375" style="1321" customWidth="1"/>
    <col min="533" max="772" width="9.140625" style="1321"/>
    <col min="773" max="773" width="3" style="1321" bestFit="1" customWidth="1"/>
    <col min="774" max="774" width="14.28515625" style="1321" bestFit="1" customWidth="1"/>
    <col min="775" max="775" width="3" style="1321" bestFit="1" customWidth="1"/>
    <col min="776" max="776" width="12.140625" style="1321" customWidth="1"/>
    <col min="777" max="784" width="7.28515625" style="1321" customWidth="1"/>
    <col min="785" max="786" width="12.140625" style="1321" customWidth="1"/>
    <col min="787" max="787" width="7.28515625" style="1321" customWidth="1"/>
    <col min="788" max="788" width="9.7109375" style="1321" customWidth="1"/>
    <col min="789" max="1028" width="9.140625" style="1321"/>
    <col min="1029" max="1029" width="3" style="1321" bestFit="1" customWidth="1"/>
    <col min="1030" max="1030" width="14.28515625" style="1321" bestFit="1" customWidth="1"/>
    <col min="1031" max="1031" width="3" style="1321" bestFit="1" customWidth="1"/>
    <col min="1032" max="1032" width="12.140625" style="1321" customWidth="1"/>
    <col min="1033" max="1040" width="7.28515625" style="1321" customWidth="1"/>
    <col min="1041" max="1042" width="12.140625" style="1321" customWidth="1"/>
    <col min="1043" max="1043" width="7.28515625" style="1321" customWidth="1"/>
    <col min="1044" max="1044" width="9.7109375" style="1321" customWidth="1"/>
    <col min="1045" max="1284" width="9.140625" style="1321"/>
    <col min="1285" max="1285" width="3" style="1321" bestFit="1" customWidth="1"/>
    <col min="1286" max="1286" width="14.28515625" style="1321" bestFit="1" customWidth="1"/>
    <col min="1287" max="1287" width="3" style="1321" bestFit="1" customWidth="1"/>
    <col min="1288" max="1288" width="12.140625" style="1321" customWidth="1"/>
    <col min="1289" max="1296" width="7.28515625" style="1321" customWidth="1"/>
    <col min="1297" max="1298" width="12.140625" style="1321" customWidth="1"/>
    <col min="1299" max="1299" width="7.28515625" style="1321" customWidth="1"/>
    <col min="1300" max="1300" width="9.7109375" style="1321" customWidth="1"/>
    <col min="1301" max="1540" width="9.140625" style="1321"/>
    <col min="1541" max="1541" width="3" style="1321" bestFit="1" customWidth="1"/>
    <col min="1542" max="1542" width="14.28515625" style="1321" bestFit="1" customWidth="1"/>
    <col min="1543" max="1543" width="3" style="1321" bestFit="1" customWidth="1"/>
    <col min="1544" max="1544" width="12.140625" style="1321" customWidth="1"/>
    <col min="1545" max="1552" width="7.28515625" style="1321" customWidth="1"/>
    <col min="1553" max="1554" width="12.140625" style="1321" customWidth="1"/>
    <col min="1555" max="1555" width="7.28515625" style="1321" customWidth="1"/>
    <col min="1556" max="1556" width="9.7109375" style="1321" customWidth="1"/>
    <col min="1557" max="1796" width="9.140625" style="1321"/>
    <col min="1797" max="1797" width="3" style="1321" bestFit="1" customWidth="1"/>
    <col min="1798" max="1798" width="14.28515625" style="1321" bestFit="1" customWidth="1"/>
    <col min="1799" max="1799" width="3" style="1321" bestFit="1" customWidth="1"/>
    <col min="1800" max="1800" width="12.140625" style="1321" customWidth="1"/>
    <col min="1801" max="1808" width="7.28515625" style="1321" customWidth="1"/>
    <col min="1809" max="1810" width="12.140625" style="1321" customWidth="1"/>
    <col min="1811" max="1811" width="7.28515625" style="1321" customWidth="1"/>
    <col min="1812" max="1812" width="9.7109375" style="1321" customWidth="1"/>
    <col min="1813" max="2052" width="9.140625" style="1321"/>
    <col min="2053" max="2053" width="3" style="1321" bestFit="1" customWidth="1"/>
    <col min="2054" max="2054" width="14.28515625" style="1321" bestFit="1" customWidth="1"/>
    <col min="2055" max="2055" width="3" style="1321" bestFit="1" customWidth="1"/>
    <col min="2056" max="2056" width="12.140625" style="1321" customWidth="1"/>
    <col min="2057" max="2064" width="7.28515625" style="1321" customWidth="1"/>
    <col min="2065" max="2066" width="12.140625" style="1321" customWidth="1"/>
    <col min="2067" max="2067" width="7.28515625" style="1321" customWidth="1"/>
    <col min="2068" max="2068" width="9.7109375" style="1321" customWidth="1"/>
    <col min="2069" max="2308" width="9.140625" style="1321"/>
    <col min="2309" max="2309" width="3" style="1321" bestFit="1" customWidth="1"/>
    <col min="2310" max="2310" width="14.28515625" style="1321" bestFit="1" customWidth="1"/>
    <col min="2311" max="2311" width="3" style="1321" bestFit="1" customWidth="1"/>
    <col min="2312" max="2312" width="12.140625" style="1321" customWidth="1"/>
    <col min="2313" max="2320" width="7.28515625" style="1321" customWidth="1"/>
    <col min="2321" max="2322" width="12.140625" style="1321" customWidth="1"/>
    <col min="2323" max="2323" width="7.28515625" style="1321" customWidth="1"/>
    <col min="2324" max="2324" width="9.7109375" style="1321" customWidth="1"/>
    <col min="2325" max="2564" width="9.140625" style="1321"/>
    <col min="2565" max="2565" width="3" style="1321" bestFit="1" customWidth="1"/>
    <col min="2566" max="2566" width="14.28515625" style="1321" bestFit="1" customWidth="1"/>
    <col min="2567" max="2567" width="3" style="1321" bestFit="1" customWidth="1"/>
    <col min="2568" max="2568" width="12.140625" style="1321" customWidth="1"/>
    <col min="2569" max="2576" width="7.28515625" style="1321" customWidth="1"/>
    <col min="2577" max="2578" width="12.140625" style="1321" customWidth="1"/>
    <col min="2579" max="2579" width="7.28515625" style="1321" customWidth="1"/>
    <col min="2580" max="2580" width="9.7109375" style="1321" customWidth="1"/>
    <col min="2581" max="2820" width="9.140625" style="1321"/>
    <col min="2821" max="2821" width="3" style="1321" bestFit="1" customWidth="1"/>
    <col min="2822" max="2822" width="14.28515625" style="1321" bestFit="1" customWidth="1"/>
    <col min="2823" max="2823" width="3" style="1321" bestFit="1" customWidth="1"/>
    <col min="2824" max="2824" width="12.140625" style="1321" customWidth="1"/>
    <col min="2825" max="2832" width="7.28515625" style="1321" customWidth="1"/>
    <col min="2833" max="2834" width="12.140625" style="1321" customWidth="1"/>
    <col min="2835" max="2835" width="7.28515625" style="1321" customWidth="1"/>
    <col min="2836" max="2836" width="9.7109375" style="1321" customWidth="1"/>
    <col min="2837" max="3076" width="9.140625" style="1321"/>
    <col min="3077" max="3077" width="3" style="1321" bestFit="1" customWidth="1"/>
    <col min="3078" max="3078" width="14.28515625" style="1321" bestFit="1" customWidth="1"/>
    <col min="3079" max="3079" width="3" style="1321" bestFit="1" customWidth="1"/>
    <col min="3080" max="3080" width="12.140625" style="1321" customWidth="1"/>
    <col min="3081" max="3088" width="7.28515625" style="1321" customWidth="1"/>
    <col min="3089" max="3090" width="12.140625" style="1321" customWidth="1"/>
    <col min="3091" max="3091" width="7.28515625" style="1321" customWidth="1"/>
    <col min="3092" max="3092" width="9.7109375" style="1321" customWidth="1"/>
    <col min="3093" max="3332" width="9.140625" style="1321"/>
    <col min="3333" max="3333" width="3" style="1321" bestFit="1" customWidth="1"/>
    <col min="3334" max="3334" width="14.28515625" style="1321" bestFit="1" customWidth="1"/>
    <col min="3335" max="3335" width="3" style="1321" bestFit="1" customWidth="1"/>
    <col min="3336" max="3336" width="12.140625" style="1321" customWidth="1"/>
    <col min="3337" max="3344" width="7.28515625" style="1321" customWidth="1"/>
    <col min="3345" max="3346" width="12.140625" style="1321" customWidth="1"/>
    <col min="3347" max="3347" width="7.28515625" style="1321" customWidth="1"/>
    <col min="3348" max="3348" width="9.7109375" style="1321" customWidth="1"/>
    <col min="3349" max="3588" width="9.140625" style="1321"/>
    <col min="3589" max="3589" width="3" style="1321" bestFit="1" customWidth="1"/>
    <col min="3590" max="3590" width="14.28515625" style="1321" bestFit="1" customWidth="1"/>
    <col min="3591" max="3591" width="3" style="1321" bestFit="1" customWidth="1"/>
    <col min="3592" max="3592" width="12.140625" style="1321" customWidth="1"/>
    <col min="3593" max="3600" width="7.28515625" style="1321" customWidth="1"/>
    <col min="3601" max="3602" width="12.140625" style="1321" customWidth="1"/>
    <col min="3603" max="3603" width="7.28515625" style="1321" customWidth="1"/>
    <col min="3604" max="3604" width="9.7109375" style="1321" customWidth="1"/>
    <col min="3605" max="3844" width="9.140625" style="1321"/>
    <col min="3845" max="3845" width="3" style="1321" bestFit="1" customWidth="1"/>
    <col min="3846" max="3846" width="14.28515625" style="1321" bestFit="1" customWidth="1"/>
    <col min="3847" max="3847" width="3" style="1321" bestFit="1" customWidth="1"/>
    <col min="3848" max="3848" width="12.140625" style="1321" customWidth="1"/>
    <col min="3849" max="3856" width="7.28515625" style="1321" customWidth="1"/>
    <col min="3857" max="3858" width="12.140625" style="1321" customWidth="1"/>
    <col min="3859" max="3859" width="7.28515625" style="1321" customWidth="1"/>
    <col min="3860" max="3860" width="9.7109375" style="1321" customWidth="1"/>
    <col min="3861" max="4100" width="9.140625" style="1321"/>
    <col min="4101" max="4101" width="3" style="1321" bestFit="1" customWidth="1"/>
    <col min="4102" max="4102" width="14.28515625" style="1321" bestFit="1" customWidth="1"/>
    <col min="4103" max="4103" width="3" style="1321" bestFit="1" customWidth="1"/>
    <col min="4104" max="4104" width="12.140625" style="1321" customWidth="1"/>
    <col min="4105" max="4112" width="7.28515625" style="1321" customWidth="1"/>
    <col min="4113" max="4114" width="12.140625" style="1321" customWidth="1"/>
    <col min="4115" max="4115" width="7.28515625" style="1321" customWidth="1"/>
    <col min="4116" max="4116" width="9.7109375" style="1321" customWidth="1"/>
    <col min="4117" max="4356" width="9.140625" style="1321"/>
    <col min="4357" max="4357" width="3" style="1321" bestFit="1" customWidth="1"/>
    <col min="4358" max="4358" width="14.28515625" style="1321" bestFit="1" customWidth="1"/>
    <col min="4359" max="4359" width="3" style="1321" bestFit="1" customWidth="1"/>
    <col min="4360" max="4360" width="12.140625" style="1321" customWidth="1"/>
    <col min="4361" max="4368" width="7.28515625" style="1321" customWidth="1"/>
    <col min="4369" max="4370" width="12.140625" style="1321" customWidth="1"/>
    <col min="4371" max="4371" width="7.28515625" style="1321" customWidth="1"/>
    <col min="4372" max="4372" width="9.7109375" style="1321" customWidth="1"/>
    <col min="4373" max="4612" width="9.140625" style="1321"/>
    <col min="4613" max="4613" width="3" style="1321" bestFit="1" customWidth="1"/>
    <col min="4614" max="4614" width="14.28515625" style="1321" bestFit="1" customWidth="1"/>
    <col min="4615" max="4615" width="3" style="1321" bestFit="1" customWidth="1"/>
    <col min="4616" max="4616" width="12.140625" style="1321" customWidth="1"/>
    <col min="4617" max="4624" width="7.28515625" style="1321" customWidth="1"/>
    <col min="4625" max="4626" width="12.140625" style="1321" customWidth="1"/>
    <col min="4627" max="4627" width="7.28515625" style="1321" customWidth="1"/>
    <col min="4628" max="4628" width="9.7109375" style="1321" customWidth="1"/>
    <col min="4629" max="4868" width="9.140625" style="1321"/>
    <col min="4869" max="4869" width="3" style="1321" bestFit="1" customWidth="1"/>
    <col min="4870" max="4870" width="14.28515625" style="1321" bestFit="1" customWidth="1"/>
    <col min="4871" max="4871" width="3" style="1321" bestFit="1" customWidth="1"/>
    <col min="4872" max="4872" width="12.140625" style="1321" customWidth="1"/>
    <col min="4873" max="4880" width="7.28515625" style="1321" customWidth="1"/>
    <col min="4881" max="4882" width="12.140625" style="1321" customWidth="1"/>
    <col min="4883" max="4883" width="7.28515625" style="1321" customWidth="1"/>
    <col min="4884" max="4884" width="9.7109375" style="1321" customWidth="1"/>
    <col min="4885" max="5124" width="9.140625" style="1321"/>
    <col min="5125" max="5125" width="3" style="1321" bestFit="1" customWidth="1"/>
    <col min="5126" max="5126" width="14.28515625" style="1321" bestFit="1" customWidth="1"/>
    <col min="5127" max="5127" width="3" style="1321" bestFit="1" customWidth="1"/>
    <col min="5128" max="5128" width="12.140625" style="1321" customWidth="1"/>
    <col min="5129" max="5136" width="7.28515625" style="1321" customWidth="1"/>
    <col min="5137" max="5138" width="12.140625" style="1321" customWidth="1"/>
    <col min="5139" max="5139" width="7.28515625" style="1321" customWidth="1"/>
    <col min="5140" max="5140" width="9.7109375" style="1321" customWidth="1"/>
    <col min="5141" max="5380" width="9.140625" style="1321"/>
    <col min="5381" max="5381" width="3" style="1321" bestFit="1" customWidth="1"/>
    <col min="5382" max="5382" width="14.28515625" style="1321" bestFit="1" customWidth="1"/>
    <col min="5383" max="5383" width="3" style="1321" bestFit="1" customWidth="1"/>
    <col min="5384" max="5384" width="12.140625" style="1321" customWidth="1"/>
    <col min="5385" max="5392" width="7.28515625" style="1321" customWidth="1"/>
    <col min="5393" max="5394" width="12.140625" style="1321" customWidth="1"/>
    <col min="5395" max="5395" width="7.28515625" style="1321" customWidth="1"/>
    <col min="5396" max="5396" width="9.7109375" style="1321" customWidth="1"/>
    <col min="5397" max="5636" width="9.140625" style="1321"/>
    <col min="5637" max="5637" width="3" style="1321" bestFit="1" customWidth="1"/>
    <col min="5638" max="5638" width="14.28515625" style="1321" bestFit="1" customWidth="1"/>
    <col min="5639" max="5639" width="3" style="1321" bestFit="1" customWidth="1"/>
    <col min="5640" max="5640" width="12.140625" style="1321" customWidth="1"/>
    <col min="5641" max="5648" width="7.28515625" style="1321" customWidth="1"/>
    <col min="5649" max="5650" width="12.140625" style="1321" customWidth="1"/>
    <col min="5651" max="5651" width="7.28515625" style="1321" customWidth="1"/>
    <col min="5652" max="5652" width="9.7109375" style="1321" customWidth="1"/>
    <col min="5653" max="5892" width="9.140625" style="1321"/>
    <col min="5893" max="5893" width="3" style="1321" bestFit="1" customWidth="1"/>
    <col min="5894" max="5894" width="14.28515625" style="1321" bestFit="1" customWidth="1"/>
    <col min="5895" max="5895" width="3" style="1321" bestFit="1" customWidth="1"/>
    <col min="5896" max="5896" width="12.140625" style="1321" customWidth="1"/>
    <col min="5897" max="5904" width="7.28515625" style="1321" customWidth="1"/>
    <col min="5905" max="5906" width="12.140625" style="1321" customWidth="1"/>
    <col min="5907" max="5907" width="7.28515625" style="1321" customWidth="1"/>
    <col min="5908" max="5908" width="9.7109375" style="1321" customWidth="1"/>
    <col min="5909" max="6148" width="9.140625" style="1321"/>
    <col min="6149" max="6149" width="3" style="1321" bestFit="1" customWidth="1"/>
    <col min="6150" max="6150" width="14.28515625" style="1321" bestFit="1" customWidth="1"/>
    <col min="6151" max="6151" width="3" style="1321" bestFit="1" customWidth="1"/>
    <col min="6152" max="6152" width="12.140625" style="1321" customWidth="1"/>
    <col min="6153" max="6160" width="7.28515625" style="1321" customWidth="1"/>
    <col min="6161" max="6162" width="12.140625" style="1321" customWidth="1"/>
    <col min="6163" max="6163" width="7.28515625" style="1321" customWidth="1"/>
    <col min="6164" max="6164" width="9.7109375" style="1321" customWidth="1"/>
    <col min="6165" max="6404" width="9.140625" style="1321"/>
    <col min="6405" max="6405" width="3" style="1321" bestFit="1" customWidth="1"/>
    <col min="6406" max="6406" width="14.28515625" style="1321" bestFit="1" customWidth="1"/>
    <col min="6407" max="6407" width="3" style="1321" bestFit="1" customWidth="1"/>
    <col min="6408" max="6408" width="12.140625" style="1321" customWidth="1"/>
    <col min="6409" max="6416" width="7.28515625" style="1321" customWidth="1"/>
    <col min="6417" max="6418" width="12.140625" style="1321" customWidth="1"/>
    <col min="6419" max="6419" width="7.28515625" style="1321" customWidth="1"/>
    <col min="6420" max="6420" width="9.7109375" style="1321" customWidth="1"/>
    <col min="6421" max="6660" width="9.140625" style="1321"/>
    <col min="6661" max="6661" width="3" style="1321" bestFit="1" customWidth="1"/>
    <col min="6662" max="6662" width="14.28515625" style="1321" bestFit="1" customWidth="1"/>
    <col min="6663" max="6663" width="3" style="1321" bestFit="1" customWidth="1"/>
    <col min="6664" max="6664" width="12.140625" style="1321" customWidth="1"/>
    <col min="6665" max="6672" width="7.28515625" style="1321" customWidth="1"/>
    <col min="6673" max="6674" width="12.140625" style="1321" customWidth="1"/>
    <col min="6675" max="6675" width="7.28515625" style="1321" customWidth="1"/>
    <col min="6676" max="6676" width="9.7109375" style="1321" customWidth="1"/>
    <col min="6677" max="6916" width="9.140625" style="1321"/>
    <col min="6917" max="6917" width="3" style="1321" bestFit="1" customWidth="1"/>
    <col min="6918" max="6918" width="14.28515625" style="1321" bestFit="1" customWidth="1"/>
    <col min="6919" max="6919" width="3" style="1321" bestFit="1" customWidth="1"/>
    <col min="6920" max="6920" width="12.140625" style="1321" customWidth="1"/>
    <col min="6921" max="6928" width="7.28515625" style="1321" customWidth="1"/>
    <col min="6929" max="6930" width="12.140625" style="1321" customWidth="1"/>
    <col min="6931" max="6931" width="7.28515625" style="1321" customWidth="1"/>
    <col min="6932" max="6932" width="9.7109375" style="1321" customWidth="1"/>
    <col min="6933" max="7172" width="9.140625" style="1321"/>
    <col min="7173" max="7173" width="3" style="1321" bestFit="1" customWidth="1"/>
    <col min="7174" max="7174" width="14.28515625" style="1321" bestFit="1" customWidth="1"/>
    <col min="7175" max="7175" width="3" style="1321" bestFit="1" customWidth="1"/>
    <col min="7176" max="7176" width="12.140625" style="1321" customWidth="1"/>
    <col min="7177" max="7184" width="7.28515625" style="1321" customWidth="1"/>
    <col min="7185" max="7186" width="12.140625" style="1321" customWidth="1"/>
    <col min="7187" max="7187" width="7.28515625" style="1321" customWidth="1"/>
    <col min="7188" max="7188" width="9.7109375" style="1321" customWidth="1"/>
    <col min="7189" max="7428" width="9.140625" style="1321"/>
    <col min="7429" max="7429" width="3" style="1321" bestFit="1" customWidth="1"/>
    <col min="7430" max="7430" width="14.28515625" style="1321" bestFit="1" customWidth="1"/>
    <col min="7431" max="7431" width="3" style="1321" bestFit="1" customWidth="1"/>
    <col min="7432" max="7432" width="12.140625" style="1321" customWidth="1"/>
    <col min="7433" max="7440" width="7.28515625" style="1321" customWidth="1"/>
    <col min="7441" max="7442" width="12.140625" style="1321" customWidth="1"/>
    <col min="7443" max="7443" width="7.28515625" style="1321" customWidth="1"/>
    <col min="7444" max="7444" width="9.7109375" style="1321" customWidth="1"/>
    <col min="7445" max="7684" width="9.140625" style="1321"/>
    <col min="7685" max="7685" width="3" style="1321" bestFit="1" customWidth="1"/>
    <col min="7686" max="7686" width="14.28515625" style="1321" bestFit="1" customWidth="1"/>
    <col min="7687" max="7687" width="3" style="1321" bestFit="1" customWidth="1"/>
    <col min="7688" max="7688" width="12.140625" style="1321" customWidth="1"/>
    <col min="7689" max="7696" width="7.28515625" style="1321" customWidth="1"/>
    <col min="7697" max="7698" width="12.140625" style="1321" customWidth="1"/>
    <col min="7699" max="7699" width="7.28515625" style="1321" customWidth="1"/>
    <col min="7700" max="7700" width="9.7109375" style="1321" customWidth="1"/>
    <col min="7701" max="7940" width="9.140625" style="1321"/>
    <col min="7941" max="7941" width="3" style="1321" bestFit="1" customWidth="1"/>
    <col min="7942" max="7942" width="14.28515625" style="1321" bestFit="1" customWidth="1"/>
    <col min="7943" max="7943" width="3" style="1321" bestFit="1" customWidth="1"/>
    <col min="7944" max="7944" width="12.140625" style="1321" customWidth="1"/>
    <col min="7945" max="7952" width="7.28515625" style="1321" customWidth="1"/>
    <col min="7953" max="7954" width="12.140625" style="1321" customWidth="1"/>
    <col min="7955" max="7955" width="7.28515625" style="1321" customWidth="1"/>
    <col min="7956" max="7956" width="9.7109375" style="1321" customWidth="1"/>
    <col min="7957" max="8196" width="9.140625" style="1321"/>
    <col min="8197" max="8197" width="3" style="1321" bestFit="1" customWidth="1"/>
    <col min="8198" max="8198" width="14.28515625" style="1321" bestFit="1" customWidth="1"/>
    <col min="8199" max="8199" width="3" style="1321" bestFit="1" customWidth="1"/>
    <col min="8200" max="8200" width="12.140625" style="1321" customWidth="1"/>
    <col min="8201" max="8208" width="7.28515625" style="1321" customWidth="1"/>
    <col min="8209" max="8210" width="12.140625" style="1321" customWidth="1"/>
    <col min="8211" max="8211" width="7.28515625" style="1321" customWidth="1"/>
    <col min="8212" max="8212" width="9.7109375" style="1321" customWidth="1"/>
    <col min="8213" max="8452" width="9.140625" style="1321"/>
    <col min="8453" max="8453" width="3" style="1321" bestFit="1" customWidth="1"/>
    <col min="8454" max="8454" width="14.28515625" style="1321" bestFit="1" customWidth="1"/>
    <col min="8455" max="8455" width="3" style="1321" bestFit="1" customWidth="1"/>
    <col min="8456" max="8456" width="12.140625" style="1321" customWidth="1"/>
    <col min="8457" max="8464" width="7.28515625" style="1321" customWidth="1"/>
    <col min="8465" max="8466" width="12.140625" style="1321" customWidth="1"/>
    <col min="8467" max="8467" width="7.28515625" style="1321" customWidth="1"/>
    <col min="8468" max="8468" width="9.7109375" style="1321" customWidth="1"/>
    <col min="8469" max="8708" width="9.140625" style="1321"/>
    <col min="8709" max="8709" width="3" style="1321" bestFit="1" customWidth="1"/>
    <col min="8710" max="8710" width="14.28515625" style="1321" bestFit="1" customWidth="1"/>
    <col min="8711" max="8711" width="3" style="1321" bestFit="1" customWidth="1"/>
    <col min="8712" max="8712" width="12.140625" style="1321" customWidth="1"/>
    <col min="8713" max="8720" width="7.28515625" style="1321" customWidth="1"/>
    <col min="8721" max="8722" width="12.140625" style="1321" customWidth="1"/>
    <col min="8723" max="8723" width="7.28515625" style="1321" customWidth="1"/>
    <col min="8724" max="8724" width="9.7109375" style="1321" customWidth="1"/>
    <col min="8725" max="8964" width="9.140625" style="1321"/>
    <col min="8965" max="8965" width="3" style="1321" bestFit="1" customWidth="1"/>
    <col min="8966" max="8966" width="14.28515625" style="1321" bestFit="1" customWidth="1"/>
    <col min="8967" max="8967" width="3" style="1321" bestFit="1" customWidth="1"/>
    <col min="8968" max="8968" width="12.140625" style="1321" customWidth="1"/>
    <col min="8969" max="8976" width="7.28515625" style="1321" customWidth="1"/>
    <col min="8977" max="8978" width="12.140625" style="1321" customWidth="1"/>
    <col min="8979" max="8979" width="7.28515625" style="1321" customWidth="1"/>
    <col min="8980" max="8980" width="9.7109375" style="1321" customWidth="1"/>
    <col min="8981" max="9220" width="9.140625" style="1321"/>
    <col min="9221" max="9221" width="3" style="1321" bestFit="1" customWidth="1"/>
    <col min="9222" max="9222" width="14.28515625" style="1321" bestFit="1" customWidth="1"/>
    <col min="9223" max="9223" width="3" style="1321" bestFit="1" customWidth="1"/>
    <col min="9224" max="9224" width="12.140625" style="1321" customWidth="1"/>
    <col min="9225" max="9232" width="7.28515625" style="1321" customWidth="1"/>
    <col min="9233" max="9234" width="12.140625" style="1321" customWidth="1"/>
    <col min="9235" max="9235" width="7.28515625" style="1321" customWidth="1"/>
    <col min="9236" max="9236" width="9.7109375" style="1321" customWidth="1"/>
    <col min="9237" max="9476" width="9.140625" style="1321"/>
    <col min="9477" max="9477" width="3" style="1321" bestFit="1" customWidth="1"/>
    <col min="9478" max="9478" width="14.28515625" style="1321" bestFit="1" customWidth="1"/>
    <col min="9479" max="9479" width="3" style="1321" bestFit="1" customWidth="1"/>
    <col min="9480" max="9480" width="12.140625" style="1321" customWidth="1"/>
    <col min="9481" max="9488" width="7.28515625" style="1321" customWidth="1"/>
    <col min="9489" max="9490" width="12.140625" style="1321" customWidth="1"/>
    <col min="9491" max="9491" width="7.28515625" style="1321" customWidth="1"/>
    <col min="9492" max="9492" width="9.7109375" style="1321" customWidth="1"/>
    <col min="9493" max="9732" width="9.140625" style="1321"/>
    <col min="9733" max="9733" width="3" style="1321" bestFit="1" customWidth="1"/>
    <col min="9734" max="9734" width="14.28515625" style="1321" bestFit="1" customWidth="1"/>
    <col min="9735" max="9735" width="3" style="1321" bestFit="1" customWidth="1"/>
    <col min="9736" max="9736" width="12.140625" style="1321" customWidth="1"/>
    <col min="9737" max="9744" width="7.28515625" style="1321" customWidth="1"/>
    <col min="9745" max="9746" width="12.140625" style="1321" customWidth="1"/>
    <col min="9747" max="9747" width="7.28515625" style="1321" customWidth="1"/>
    <col min="9748" max="9748" width="9.7109375" style="1321" customWidth="1"/>
    <col min="9749" max="9988" width="9.140625" style="1321"/>
    <col min="9989" max="9989" width="3" style="1321" bestFit="1" customWidth="1"/>
    <col min="9990" max="9990" width="14.28515625" style="1321" bestFit="1" customWidth="1"/>
    <col min="9991" max="9991" width="3" style="1321" bestFit="1" customWidth="1"/>
    <col min="9992" max="9992" width="12.140625" style="1321" customWidth="1"/>
    <col min="9993" max="10000" width="7.28515625" style="1321" customWidth="1"/>
    <col min="10001" max="10002" width="12.140625" style="1321" customWidth="1"/>
    <col min="10003" max="10003" width="7.28515625" style="1321" customWidth="1"/>
    <col min="10004" max="10004" width="9.7109375" style="1321" customWidth="1"/>
    <col min="10005" max="10244" width="9.140625" style="1321"/>
    <col min="10245" max="10245" width="3" style="1321" bestFit="1" customWidth="1"/>
    <col min="10246" max="10246" width="14.28515625" style="1321" bestFit="1" customWidth="1"/>
    <col min="10247" max="10247" width="3" style="1321" bestFit="1" customWidth="1"/>
    <col min="10248" max="10248" width="12.140625" style="1321" customWidth="1"/>
    <col min="10249" max="10256" width="7.28515625" style="1321" customWidth="1"/>
    <col min="10257" max="10258" width="12.140625" style="1321" customWidth="1"/>
    <col min="10259" max="10259" width="7.28515625" style="1321" customWidth="1"/>
    <col min="10260" max="10260" width="9.7109375" style="1321" customWidth="1"/>
    <col min="10261" max="10500" width="9.140625" style="1321"/>
    <col min="10501" max="10501" width="3" style="1321" bestFit="1" customWidth="1"/>
    <col min="10502" max="10502" width="14.28515625" style="1321" bestFit="1" customWidth="1"/>
    <col min="10503" max="10503" width="3" style="1321" bestFit="1" customWidth="1"/>
    <col min="10504" max="10504" width="12.140625" style="1321" customWidth="1"/>
    <col min="10505" max="10512" width="7.28515625" style="1321" customWidth="1"/>
    <col min="10513" max="10514" width="12.140625" style="1321" customWidth="1"/>
    <col min="10515" max="10515" width="7.28515625" style="1321" customWidth="1"/>
    <col min="10516" max="10516" width="9.7109375" style="1321" customWidth="1"/>
    <col min="10517" max="10756" width="9.140625" style="1321"/>
    <col min="10757" max="10757" width="3" style="1321" bestFit="1" customWidth="1"/>
    <col min="10758" max="10758" width="14.28515625" style="1321" bestFit="1" customWidth="1"/>
    <col min="10759" max="10759" width="3" style="1321" bestFit="1" customWidth="1"/>
    <col min="10760" max="10760" width="12.140625" style="1321" customWidth="1"/>
    <col min="10761" max="10768" width="7.28515625" style="1321" customWidth="1"/>
    <col min="10769" max="10770" width="12.140625" style="1321" customWidth="1"/>
    <col min="10771" max="10771" width="7.28515625" style="1321" customWidth="1"/>
    <col min="10772" max="10772" width="9.7109375" style="1321" customWidth="1"/>
    <col min="10773" max="11012" width="9.140625" style="1321"/>
    <col min="11013" max="11013" width="3" style="1321" bestFit="1" customWidth="1"/>
    <col min="11014" max="11014" width="14.28515625" style="1321" bestFit="1" customWidth="1"/>
    <col min="11015" max="11015" width="3" style="1321" bestFit="1" customWidth="1"/>
    <col min="11016" max="11016" width="12.140625" style="1321" customWidth="1"/>
    <col min="11017" max="11024" width="7.28515625" style="1321" customWidth="1"/>
    <col min="11025" max="11026" width="12.140625" style="1321" customWidth="1"/>
    <col min="11027" max="11027" width="7.28515625" style="1321" customWidth="1"/>
    <col min="11028" max="11028" width="9.7109375" style="1321" customWidth="1"/>
    <col min="11029" max="11268" width="9.140625" style="1321"/>
    <col min="11269" max="11269" width="3" style="1321" bestFit="1" customWidth="1"/>
    <col min="11270" max="11270" width="14.28515625" style="1321" bestFit="1" customWidth="1"/>
    <col min="11271" max="11271" width="3" style="1321" bestFit="1" customWidth="1"/>
    <col min="11272" max="11272" width="12.140625" style="1321" customWidth="1"/>
    <col min="11273" max="11280" width="7.28515625" style="1321" customWidth="1"/>
    <col min="11281" max="11282" width="12.140625" style="1321" customWidth="1"/>
    <col min="11283" max="11283" width="7.28515625" style="1321" customWidth="1"/>
    <col min="11284" max="11284" width="9.7109375" style="1321" customWidth="1"/>
    <col min="11285" max="11524" width="9.140625" style="1321"/>
    <col min="11525" max="11525" width="3" style="1321" bestFit="1" customWidth="1"/>
    <col min="11526" max="11526" width="14.28515625" style="1321" bestFit="1" customWidth="1"/>
    <col min="11527" max="11527" width="3" style="1321" bestFit="1" customWidth="1"/>
    <col min="11528" max="11528" width="12.140625" style="1321" customWidth="1"/>
    <col min="11529" max="11536" width="7.28515625" style="1321" customWidth="1"/>
    <col min="11537" max="11538" width="12.140625" style="1321" customWidth="1"/>
    <col min="11539" max="11539" width="7.28515625" style="1321" customWidth="1"/>
    <col min="11540" max="11540" width="9.7109375" style="1321" customWidth="1"/>
    <col min="11541" max="11780" width="9.140625" style="1321"/>
    <col min="11781" max="11781" width="3" style="1321" bestFit="1" customWidth="1"/>
    <col min="11782" max="11782" width="14.28515625" style="1321" bestFit="1" customWidth="1"/>
    <col min="11783" max="11783" width="3" style="1321" bestFit="1" customWidth="1"/>
    <col min="11784" max="11784" width="12.140625" style="1321" customWidth="1"/>
    <col min="11785" max="11792" width="7.28515625" style="1321" customWidth="1"/>
    <col min="11793" max="11794" width="12.140625" style="1321" customWidth="1"/>
    <col min="11795" max="11795" width="7.28515625" style="1321" customWidth="1"/>
    <col min="11796" max="11796" width="9.7109375" style="1321" customWidth="1"/>
    <col min="11797" max="12036" width="9.140625" style="1321"/>
    <col min="12037" max="12037" width="3" style="1321" bestFit="1" customWidth="1"/>
    <col min="12038" max="12038" width="14.28515625" style="1321" bestFit="1" customWidth="1"/>
    <col min="12039" max="12039" width="3" style="1321" bestFit="1" customWidth="1"/>
    <col min="12040" max="12040" width="12.140625" style="1321" customWidth="1"/>
    <col min="12041" max="12048" width="7.28515625" style="1321" customWidth="1"/>
    <col min="12049" max="12050" width="12.140625" style="1321" customWidth="1"/>
    <col min="12051" max="12051" width="7.28515625" style="1321" customWidth="1"/>
    <col min="12052" max="12052" width="9.7109375" style="1321" customWidth="1"/>
    <col min="12053" max="12292" width="9.140625" style="1321"/>
    <col min="12293" max="12293" width="3" style="1321" bestFit="1" customWidth="1"/>
    <col min="12294" max="12294" width="14.28515625" style="1321" bestFit="1" customWidth="1"/>
    <col min="12295" max="12295" width="3" style="1321" bestFit="1" customWidth="1"/>
    <col min="12296" max="12296" width="12.140625" style="1321" customWidth="1"/>
    <col min="12297" max="12304" width="7.28515625" style="1321" customWidth="1"/>
    <col min="12305" max="12306" width="12.140625" style="1321" customWidth="1"/>
    <col min="12307" max="12307" width="7.28515625" style="1321" customWidth="1"/>
    <col min="12308" max="12308" width="9.7109375" style="1321" customWidth="1"/>
    <col min="12309" max="12548" width="9.140625" style="1321"/>
    <col min="12549" max="12549" width="3" style="1321" bestFit="1" customWidth="1"/>
    <col min="12550" max="12550" width="14.28515625" style="1321" bestFit="1" customWidth="1"/>
    <col min="12551" max="12551" width="3" style="1321" bestFit="1" customWidth="1"/>
    <col min="12552" max="12552" width="12.140625" style="1321" customWidth="1"/>
    <col min="12553" max="12560" width="7.28515625" style="1321" customWidth="1"/>
    <col min="12561" max="12562" width="12.140625" style="1321" customWidth="1"/>
    <col min="12563" max="12563" width="7.28515625" style="1321" customWidth="1"/>
    <col min="12564" max="12564" width="9.7109375" style="1321" customWidth="1"/>
    <col min="12565" max="12804" width="9.140625" style="1321"/>
    <col min="12805" max="12805" width="3" style="1321" bestFit="1" customWidth="1"/>
    <col min="12806" max="12806" width="14.28515625" style="1321" bestFit="1" customWidth="1"/>
    <col min="12807" max="12807" width="3" style="1321" bestFit="1" customWidth="1"/>
    <col min="12808" max="12808" width="12.140625" style="1321" customWidth="1"/>
    <col min="12809" max="12816" width="7.28515625" style="1321" customWidth="1"/>
    <col min="12817" max="12818" width="12.140625" style="1321" customWidth="1"/>
    <col min="12819" max="12819" width="7.28515625" style="1321" customWidth="1"/>
    <col min="12820" max="12820" width="9.7109375" style="1321" customWidth="1"/>
    <col min="12821" max="13060" width="9.140625" style="1321"/>
    <col min="13061" max="13061" width="3" style="1321" bestFit="1" customWidth="1"/>
    <col min="13062" max="13062" width="14.28515625" style="1321" bestFit="1" customWidth="1"/>
    <col min="13063" max="13063" width="3" style="1321" bestFit="1" customWidth="1"/>
    <col min="13064" max="13064" width="12.140625" style="1321" customWidth="1"/>
    <col min="13065" max="13072" width="7.28515625" style="1321" customWidth="1"/>
    <col min="13073" max="13074" width="12.140625" style="1321" customWidth="1"/>
    <col min="13075" max="13075" width="7.28515625" style="1321" customWidth="1"/>
    <col min="13076" max="13076" width="9.7109375" style="1321" customWidth="1"/>
    <col min="13077" max="13316" width="9.140625" style="1321"/>
    <col min="13317" max="13317" width="3" style="1321" bestFit="1" customWidth="1"/>
    <col min="13318" max="13318" width="14.28515625" style="1321" bestFit="1" customWidth="1"/>
    <col min="13319" max="13319" width="3" style="1321" bestFit="1" customWidth="1"/>
    <col min="13320" max="13320" width="12.140625" style="1321" customWidth="1"/>
    <col min="13321" max="13328" width="7.28515625" style="1321" customWidth="1"/>
    <col min="13329" max="13330" width="12.140625" style="1321" customWidth="1"/>
    <col min="13331" max="13331" width="7.28515625" style="1321" customWidth="1"/>
    <col min="13332" max="13332" width="9.7109375" style="1321" customWidth="1"/>
    <col min="13333" max="13572" width="9.140625" style="1321"/>
    <col min="13573" max="13573" width="3" style="1321" bestFit="1" customWidth="1"/>
    <col min="13574" max="13574" width="14.28515625" style="1321" bestFit="1" customWidth="1"/>
    <col min="13575" max="13575" width="3" style="1321" bestFit="1" customWidth="1"/>
    <col min="13576" max="13576" width="12.140625" style="1321" customWidth="1"/>
    <col min="13577" max="13584" width="7.28515625" style="1321" customWidth="1"/>
    <col min="13585" max="13586" width="12.140625" style="1321" customWidth="1"/>
    <col min="13587" max="13587" width="7.28515625" style="1321" customWidth="1"/>
    <col min="13588" max="13588" width="9.7109375" style="1321" customWidth="1"/>
    <col min="13589" max="13828" width="9.140625" style="1321"/>
    <col min="13829" max="13829" width="3" style="1321" bestFit="1" customWidth="1"/>
    <col min="13830" max="13830" width="14.28515625" style="1321" bestFit="1" customWidth="1"/>
    <col min="13831" max="13831" width="3" style="1321" bestFit="1" customWidth="1"/>
    <col min="13832" max="13832" width="12.140625" style="1321" customWidth="1"/>
    <col min="13833" max="13840" width="7.28515625" style="1321" customWidth="1"/>
    <col min="13841" max="13842" width="12.140625" style="1321" customWidth="1"/>
    <col min="13843" max="13843" width="7.28515625" style="1321" customWidth="1"/>
    <col min="13844" max="13844" width="9.7109375" style="1321" customWidth="1"/>
    <col min="13845" max="14084" width="9.140625" style="1321"/>
    <col min="14085" max="14085" width="3" style="1321" bestFit="1" customWidth="1"/>
    <col min="14086" max="14086" width="14.28515625" style="1321" bestFit="1" customWidth="1"/>
    <col min="14087" max="14087" width="3" style="1321" bestFit="1" customWidth="1"/>
    <col min="14088" max="14088" width="12.140625" style="1321" customWidth="1"/>
    <col min="14089" max="14096" width="7.28515625" style="1321" customWidth="1"/>
    <col min="14097" max="14098" width="12.140625" style="1321" customWidth="1"/>
    <col min="14099" max="14099" width="7.28515625" style="1321" customWidth="1"/>
    <col min="14100" max="14100" width="9.7109375" style="1321" customWidth="1"/>
    <col min="14101" max="14340" width="9.140625" style="1321"/>
    <col min="14341" max="14341" width="3" style="1321" bestFit="1" customWidth="1"/>
    <col min="14342" max="14342" width="14.28515625" style="1321" bestFit="1" customWidth="1"/>
    <col min="14343" max="14343" width="3" style="1321" bestFit="1" customWidth="1"/>
    <col min="14344" max="14344" width="12.140625" style="1321" customWidth="1"/>
    <col min="14345" max="14352" width="7.28515625" style="1321" customWidth="1"/>
    <col min="14353" max="14354" width="12.140625" style="1321" customWidth="1"/>
    <col min="14355" max="14355" width="7.28515625" style="1321" customWidth="1"/>
    <col min="14356" max="14356" width="9.7109375" style="1321" customWidth="1"/>
    <col min="14357" max="14596" width="9.140625" style="1321"/>
    <col min="14597" max="14597" width="3" style="1321" bestFit="1" customWidth="1"/>
    <col min="14598" max="14598" width="14.28515625" style="1321" bestFit="1" customWidth="1"/>
    <col min="14599" max="14599" width="3" style="1321" bestFit="1" customWidth="1"/>
    <col min="14600" max="14600" width="12.140625" style="1321" customWidth="1"/>
    <col min="14601" max="14608" width="7.28515625" style="1321" customWidth="1"/>
    <col min="14609" max="14610" width="12.140625" style="1321" customWidth="1"/>
    <col min="14611" max="14611" width="7.28515625" style="1321" customWidth="1"/>
    <col min="14612" max="14612" width="9.7109375" style="1321" customWidth="1"/>
    <col min="14613" max="14852" width="9.140625" style="1321"/>
    <col min="14853" max="14853" width="3" style="1321" bestFit="1" customWidth="1"/>
    <col min="14854" max="14854" width="14.28515625" style="1321" bestFit="1" customWidth="1"/>
    <col min="14855" max="14855" width="3" style="1321" bestFit="1" customWidth="1"/>
    <col min="14856" max="14856" width="12.140625" style="1321" customWidth="1"/>
    <col min="14857" max="14864" width="7.28515625" style="1321" customWidth="1"/>
    <col min="14865" max="14866" width="12.140625" style="1321" customWidth="1"/>
    <col min="14867" max="14867" width="7.28515625" style="1321" customWidth="1"/>
    <col min="14868" max="14868" width="9.7109375" style="1321" customWidth="1"/>
    <col min="14869" max="15108" width="9.140625" style="1321"/>
    <col min="15109" max="15109" width="3" style="1321" bestFit="1" customWidth="1"/>
    <col min="15110" max="15110" width="14.28515625" style="1321" bestFit="1" customWidth="1"/>
    <col min="15111" max="15111" width="3" style="1321" bestFit="1" customWidth="1"/>
    <col min="15112" max="15112" width="12.140625" style="1321" customWidth="1"/>
    <col min="15113" max="15120" width="7.28515625" style="1321" customWidth="1"/>
    <col min="15121" max="15122" width="12.140625" style="1321" customWidth="1"/>
    <col min="15123" max="15123" width="7.28515625" style="1321" customWidth="1"/>
    <col min="15124" max="15124" width="9.7109375" style="1321" customWidth="1"/>
    <col min="15125" max="15364" width="9.140625" style="1321"/>
    <col min="15365" max="15365" width="3" style="1321" bestFit="1" customWidth="1"/>
    <col min="15366" max="15366" width="14.28515625" style="1321" bestFit="1" customWidth="1"/>
    <col min="15367" max="15367" width="3" style="1321" bestFit="1" customWidth="1"/>
    <col min="15368" max="15368" width="12.140625" style="1321" customWidth="1"/>
    <col min="15369" max="15376" width="7.28515625" style="1321" customWidth="1"/>
    <col min="15377" max="15378" width="12.140625" style="1321" customWidth="1"/>
    <col min="15379" max="15379" width="7.28515625" style="1321" customWidth="1"/>
    <col min="15380" max="15380" width="9.7109375" style="1321" customWidth="1"/>
    <col min="15381" max="15620" width="9.140625" style="1321"/>
    <col min="15621" max="15621" width="3" style="1321" bestFit="1" customWidth="1"/>
    <col min="15622" max="15622" width="14.28515625" style="1321" bestFit="1" customWidth="1"/>
    <col min="15623" max="15623" width="3" style="1321" bestFit="1" customWidth="1"/>
    <col min="15624" max="15624" width="12.140625" style="1321" customWidth="1"/>
    <col min="15625" max="15632" width="7.28515625" style="1321" customWidth="1"/>
    <col min="15633" max="15634" width="12.140625" style="1321" customWidth="1"/>
    <col min="15635" max="15635" width="7.28515625" style="1321" customWidth="1"/>
    <col min="15636" max="15636" width="9.7109375" style="1321" customWidth="1"/>
    <col min="15637" max="15876" width="9.140625" style="1321"/>
    <col min="15877" max="15877" width="3" style="1321" bestFit="1" customWidth="1"/>
    <col min="15878" max="15878" width="14.28515625" style="1321" bestFit="1" customWidth="1"/>
    <col min="15879" max="15879" width="3" style="1321" bestFit="1" customWidth="1"/>
    <col min="15880" max="15880" width="12.140625" style="1321" customWidth="1"/>
    <col min="15881" max="15888" width="7.28515625" style="1321" customWidth="1"/>
    <col min="15889" max="15890" width="12.140625" style="1321" customWidth="1"/>
    <col min="15891" max="15891" width="7.28515625" style="1321" customWidth="1"/>
    <col min="15892" max="15892" width="9.7109375" style="1321" customWidth="1"/>
    <col min="15893" max="16132" width="9.140625" style="1321"/>
    <col min="16133" max="16133" width="3" style="1321" bestFit="1" customWidth="1"/>
    <col min="16134" max="16134" width="14.28515625" style="1321" bestFit="1" customWidth="1"/>
    <col min="16135" max="16135" width="3" style="1321" bestFit="1" customWidth="1"/>
    <col min="16136" max="16136" width="12.140625" style="1321" customWidth="1"/>
    <col min="16137" max="16144" width="7.28515625" style="1321" customWidth="1"/>
    <col min="16145" max="16146" width="12.140625" style="1321" customWidth="1"/>
    <col min="16147" max="16147" width="7.28515625" style="1321" customWidth="1"/>
    <col min="16148" max="16148" width="9.7109375" style="1321" customWidth="1"/>
    <col min="16149" max="16384" width="9.140625" style="1321"/>
  </cols>
  <sheetData>
    <row r="1" spans="1:29" ht="15" x14ac:dyDescent="0.25">
      <c r="A1" s="782"/>
      <c r="B1" s="899"/>
      <c r="C1" s="899"/>
      <c r="D1" s="900"/>
      <c r="E1" s="900"/>
      <c r="F1" s="900"/>
      <c r="G1" s="900"/>
      <c r="H1" s="900"/>
      <c r="I1" s="900"/>
      <c r="J1" s="900"/>
      <c r="K1" s="900"/>
      <c r="L1" s="900"/>
      <c r="M1" s="900"/>
      <c r="N1" s="900"/>
      <c r="O1" s="900"/>
      <c r="P1" s="900"/>
      <c r="Q1" s="900"/>
      <c r="R1" s="900"/>
      <c r="S1" s="900"/>
      <c r="T1" s="900"/>
      <c r="U1" s="267"/>
      <c r="V1" s="267"/>
      <c r="W1" s="267"/>
      <c r="X1" s="267"/>
      <c r="Y1" s="267"/>
    </row>
    <row r="2" spans="1:29" ht="14.45" customHeight="1" x14ac:dyDescent="0.25">
      <c r="A2" s="782">
        <v>1</v>
      </c>
      <c r="B2" s="782" t="s">
        <v>0</v>
      </c>
      <c r="C2" s="782">
        <f>1+'SET Uni'!C2</f>
        <v>48</v>
      </c>
      <c r="D2" s="4097" t="s">
        <v>528</v>
      </c>
      <c r="E2" s="4098"/>
      <c r="F2" s="4098"/>
      <c r="G2" s="4098"/>
      <c r="H2" s="4098"/>
      <c r="I2" s="4098"/>
      <c r="J2" s="4098"/>
      <c r="K2" s="4098"/>
      <c r="L2" s="4098"/>
      <c r="M2" s="4098"/>
      <c r="N2" s="4098"/>
      <c r="O2" s="4098"/>
      <c r="P2" s="4098"/>
      <c r="Q2" s="4098"/>
      <c r="R2" s="4098"/>
      <c r="S2" s="4098"/>
      <c r="T2" s="4099"/>
      <c r="U2" s="901"/>
      <c r="V2" s="901"/>
      <c r="W2" s="901"/>
      <c r="X2" s="267"/>
      <c r="Y2" s="267"/>
    </row>
    <row r="3" spans="1:29" ht="15" x14ac:dyDescent="0.25">
      <c r="A3" s="782">
        <v>2</v>
      </c>
      <c r="B3" s="782" t="s">
        <v>2</v>
      </c>
      <c r="C3" s="782"/>
      <c r="D3" s="4097" t="s">
        <v>402</v>
      </c>
      <c r="E3" s="4098"/>
      <c r="F3" s="4098"/>
      <c r="G3" s="4098"/>
      <c r="H3" s="4098"/>
      <c r="I3" s="4098"/>
      <c r="J3" s="4098"/>
      <c r="K3" s="4098"/>
      <c r="L3" s="4098"/>
      <c r="M3" s="4098"/>
      <c r="N3" s="4098"/>
      <c r="O3" s="4098"/>
      <c r="P3" s="4098"/>
      <c r="Q3" s="4098"/>
      <c r="R3" s="4098"/>
      <c r="S3" s="4098"/>
      <c r="T3" s="4099"/>
      <c r="U3" s="267"/>
      <c r="V3" s="267"/>
      <c r="W3" s="267"/>
      <c r="X3" s="267"/>
      <c r="Y3" s="267"/>
    </row>
    <row r="4" spans="1:29" ht="13.5" customHeight="1" x14ac:dyDescent="0.2">
      <c r="A4" s="782">
        <v>3</v>
      </c>
      <c r="B4" s="782" t="s">
        <v>4</v>
      </c>
      <c r="C4" s="782"/>
      <c r="D4" s="4097" t="s">
        <v>529</v>
      </c>
      <c r="E4" s="4098"/>
      <c r="F4" s="4098"/>
      <c r="G4" s="4098"/>
      <c r="H4" s="4098"/>
      <c r="I4" s="4098"/>
      <c r="J4" s="4098"/>
      <c r="K4" s="4098"/>
      <c r="L4" s="4098"/>
      <c r="M4" s="4098"/>
      <c r="N4" s="4098"/>
      <c r="O4" s="4098"/>
      <c r="P4" s="4098"/>
      <c r="Q4" s="4098"/>
      <c r="R4" s="4098"/>
      <c r="S4" s="4098"/>
      <c r="T4" s="4099"/>
      <c r="U4" s="229"/>
      <c r="V4" s="229"/>
      <c r="W4" s="229"/>
      <c r="X4" s="229"/>
      <c r="Y4" s="229"/>
      <c r="Z4" s="229"/>
      <c r="AA4" s="229"/>
    </row>
    <row r="5" spans="1:29" ht="22.5" customHeight="1" x14ac:dyDescent="0.25">
      <c r="A5" s="782"/>
      <c r="B5" s="267"/>
      <c r="C5" s="267"/>
      <c r="D5" s="325"/>
      <c r="E5" s="325"/>
      <c r="F5" s="325"/>
      <c r="G5" s="325"/>
      <c r="H5" s="325"/>
      <c r="I5" s="325"/>
      <c r="J5" s="325"/>
      <c r="K5" s="325"/>
      <c r="L5" s="325"/>
      <c r="M5" s="325"/>
      <c r="N5" s="325"/>
      <c r="O5" s="325"/>
      <c r="P5" s="325"/>
      <c r="Q5" s="325"/>
      <c r="R5" s="325"/>
      <c r="S5" s="325"/>
      <c r="T5" s="325"/>
      <c r="U5" s="229"/>
      <c r="V5" s="229"/>
      <c r="W5" s="229"/>
      <c r="X5" s="229"/>
      <c r="Y5" s="229"/>
      <c r="Z5" s="229"/>
      <c r="AA5" s="229"/>
    </row>
    <row r="6" spans="1:29" ht="15" x14ac:dyDescent="0.25">
      <c r="A6" s="782">
        <v>5</v>
      </c>
      <c r="B6" s="782" t="s">
        <v>5</v>
      </c>
      <c r="C6" s="782"/>
      <c r="D6" s="903"/>
      <c r="E6" s="903"/>
      <c r="F6" s="903"/>
      <c r="G6" s="903"/>
      <c r="H6" s="903"/>
      <c r="I6" s="903"/>
      <c r="J6" s="903"/>
      <c r="K6" s="903"/>
      <c r="L6" s="903"/>
      <c r="M6" s="903"/>
      <c r="N6" s="903"/>
      <c r="O6" s="903"/>
      <c r="P6" s="1322"/>
      <c r="Q6" s="903"/>
      <c r="R6" s="903"/>
      <c r="S6" s="903"/>
      <c r="T6" s="903"/>
      <c r="U6" s="4292"/>
      <c r="V6" s="4292"/>
      <c r="W6" s="4292"/>
      <c r="X6" s="4292"/>
      <c r="Y6" s="4292"/>
      <c r="Z6" s="4292"/>
    </row>
    <row r="7" spans="1:29" ht="15" x14ac:dyDescent="0.25">
      <c r="A7" s="782"/>
      <c r="B7" s="899"/>
      <c r="C7" s="899"/>
      <c r="D7" s="1323" t="s">
        <v>530</v>
      </c>
      <c r="E7" s="1323"/>
      <c r="F7" s="1323"/>
      <c r="G7" s="1323"/>
      <c r="H7" s="1323"/>
      <c r="I7" s="1324"/>
      <c r="Q7" s="945"/>
      <c r="R7" s="903"/>
      <c r="S7" s="267"/>
      <c r="T7" s="267"/>
      <c r="U7" s="267"/>
      <c r="V7" s="267"/>
      <c r="W7" s="267"/>
      <c r="X7" s="267"/>
      <c r="Y7" s="267"/>
      <c r="Z7" s="267"/>
      <c r="AA7" s="267"/>
      <c r="AB7" s="267"/>
      <c r="AC7" s="267"/>
    </row>
    <row r="8" spans="1:29" ht="20.45" customHeight="1" x14ac:dyDescent="0.25">
      <c r="A8" s="782"/>
      <c r="B8" s="899"/>
      <c r="C8" s="899"/>
      <c r="D8" s="1325"/>
      <c r="E8" s="4293" t="s">
        <v>531</v>
      </c>
      <c r="F8" s="4293"/>
      <c r="G8" s="4293"/>
      <c r="H8" s="4294"/>
      <c r="I8" s="4293" t="s">
        <v>532</v>
      </c>
      <c r="J8" s="4293"/>
      <c r="K8" s="4293"/>
      <c r="L8" s="4294"/>
      <c r="M8" s="4293" t="s">
        <v>533</v>
      </c>
      <c r="N8" s="4293"/>
      <c r="O8" s="4293"/>
      <c r="P8" s="4294"/>
      <c r="Q8" s="325"/>
      <c r="R8" s="325"/>
      <c r="S8" s="325"/>
      <c r="T8" s="325"/>
      <c r="U8" s="267"/>
      <c r="V8" s="267"/>
      <c r="W8" s="267"/>
      <c r="X8" s="267"/>
      <c r="Y8" s="267"/>
      <c r="Z8" s="267"/>
      <c r="AA8" s="267"/>
      <c r="AB8" s="267"/>
      <c r="AC8" s="267"/>
    </row>
    <row r="9" spans="1:29" ht="15" x14ac:dyDescent="0.25">
      <c r="A9" s="782"/>
      <c r="B9" s="899"/>
      <c r="C9" s="899"/>
      <c r="D9" s="1326" t="s">
        <v>480</v>
      </c>
      <c r="E9" s="1327" t="s">
        <v>534</v>
      </c>
      <c r="F9" s="1328"/>
      <c r="G9" s="1329" t="s">
        <v>535</v>
      </c>
      <c r="H9" s="1330"/>
      <c r="I9" s="1331" t="s">
        <v>534</v>
      </c>
      <c r="J9" s="1328"/>
      <c r="K9" s="1329" t="s">
        <v>535</v>
      </c>
      <c r="L9" s="1330"/>
      <c r="M9" s="1331" t="s">
        <v>534</v>
      </c>
      <c r="N9" s="1328"/>
      <c r="O9" s="1329" t="s">
        <v>535</v>
      </c>
      <c r="P9" s="1330"/>
      <c r="Q9" s="325"/>
      <c r="R9" s="325"/>
      <c r="S9" s="325"/>
      <c r="T9" s="325"/>
      <c r="U9" s="267"/>
      <c r="V9" s="267"/>
      <c r="W9" s="267"/>
      <c r="X9" s="267"/>
      <c r="Y9" s="267"/>
      <c r="Z9" s="267"/>
      <c r="AA9" s="267"/>
      <c r="AB9" s="267"/>
      <c r="AC9" s="267"/>
    </row>
    <row r="10" spans="1:29" ht="15" x14ac:dyDescent="0.25">
      <c r="A10" s="782"/>
      <c r="B10" s="899"/>
      <c r="C10" s="899"/>
      <c r="D10" s="1326"/>
      <c r="E10" s="1332" t="s">
        <v>536</v>
      </c>
      <c r="F10" s="1333" t="s">
        <v>537</v>
      </c>
      <c r="G10" s="1333" t="s">
        <v>536</v>
      </c>
      <c r="H10" s="1334" t="s">
        <v>537</v>
      </c>
      <c r="I10" s="1335" t="s">
        <v>536</v>
      </c>
      <c r="J10" s="1333" t="s">
        <v>537</v>
      </c>
      <c r="K10" s="1333" t="s">
        <v>536</v>
      </c>
      <c r="L10" s="1334" t="s">
        <v>537</v>
      </c>
      <c r="M10" s="1335" t="s">
        <v>536</v>
      </c>
      <c r="N10" s="1333" t="s">
        <v>537</v>
      </c>
      <c r="O10" s="1333" t="s">
        <v>536</v>
      </c>
      <c r="P10" s="1334" t="s">
        <v>537</v>
      </c>
      <c r="Q10" s="325"/>
      <c r="R10" s="325"/>
      <c r="S10" s="325"/>
      <c r="T10" s="325"/>
      <c r="U10" s="267"/>
      <c r="V10" s="267"/>
      <c r="W10" s="267"/>
      <c r="X10" s="267"/>
      <c r="Y10" s="267"/>
      <c r="Z10" s="267"/>
      <c r="AA10" s="267"/>
      <c r="AB10" s="267"/>
      <c r="AC10" s="267"/>
    </row>
    <row r="11" spans="1:29" ht="15" x14ac:dyDescent="0.25">
      <c r="A11" s="782"/>
      <c r="B11" s="899"/>
      <c r="C11" s="899"/>
      <c r="D11" s="1326" t="s">
        <v>19</v>
      </c>
      <c r="E11" s="1336">
        <v>444.1</v>
      </c>
      <c r="F11" s="1006">
        <v>14.02</v>
      </c>
      <c r="G11" s="1337">
        <v>449.3</v>
      </c>
      <c r="H11" s="1338">
        <v>10.74</v>
      </c>
      <c r="I11" s="1336">
        <v>447.8</v>
      </c>
      <c r="J11" s="1006">
        <v>10.130000000000001</v>
      </c>
      <c r="K11" s="1337">
        <v>468.8</v>
      </c>
      <c r="L11" s="1338">
        <v>10.31</v>
      </c>
      <c r="M11" s="1336">
        <v>534.68723494833466</v>
      </c>
      <c r="N11" s="1006">
        <v>9.8711320323500882</v>
      </c>
      <c r="O11" s="1337">
        <v>570.1517759009364</v>
      </c>
      <c r="P11" s="1338">
        <v>8.589279018499834</v>
      </c>
      <c r="Q11" s="325"/>
      <c r="R11" s="325"/>
      <c r="S11" s="325"/>
      <c r="T11" s="325"/>
      <c r="U11" s="267"/>
      <c r="V11" s="267"/>
      <c r="W11" s="267"/>
      <c r="X11" s="267"/>
      <c r="Y11" s="267"/>
      <c r="Z11" s="267"/>
      <c r="AA11" s="267"/>
      <c r="AB11" s="267"/>
      <c r="AC11" s="267"/>
    </row>
    <row r="12" spans="1:29" ht="15" x14ac:dyDescent="0.25">
      <c r="A12" s="782"/>
      <c r="B12" s="899"/>
      <c r="C12" s="899"/>
      <c r="D12" s="1326" t="s">
        <v>20</v>
      </c>
      <c r="E12" s="1336">
        <v>446.2</v>
      </c>
      <c r="F12" s="1006">
        <v>12.46</v>
      </c>
      <c r="G12" s="1337">
        <v>447.5</v>
      </c>
      <c r="H12" s="1338">
        <v>6</v>
      </c>
      <c r="I12" s="1336">
        <v>491.1</v>
      </c>
      <c r="J12" s="1006">
        <v>12.48</v>
      </c>
      <c r="K12" s="1337">
        <v>491.6</v>
      </c>
      <c r="L12" s="1338">
        <v>10.08</v>
      </c>
      <c r="M12" s="1336">
        <v>562.79913115725174</v>
      </c>
      <c r="N12" s="1006">
        <v>8.2333151683005621</v>
      </c>
      <c r="O12" s="1337">
        <v>584.27423054594976</v>
      </c>
      <c r="P12" s="1338">
        <v>8.234744094632676</v>
      </c>
      <c r="Q12" s="325"/>
      <c r="R12" s="325"/>
      <c r="S12" s="325"/>
      <c r="T12" s="325"/>
      <c r="U12" s="267"/>
      <c r="V12" s="267"/>
      <c r="W12" s="267"/>
      <c r="X12" s="267"/>
      <c r="Y12" s="267"/>
      <c r="Z12" s="267"/>
      <c r="AA12" s="267"/>
      <c r="AB12" s="267"/>
      <c r="AC12" s="267"/>
    </row>
    <row r="13" spans="1:29" ht="15" x14ac:dyDescent="0.25">
      <c r="A13" s="782"/>
      <c r="B13" s="899"/>
      <c r="C13" s="899"/>
      <c r="D13" s="1326" t="s">
        <v>21</v>
      </c>
      <c r="E13" s="1336">
        <v>576.4</v>
      </c>
      <c r="F13" s="1006">
        <v>35.229999999999997</v>
      </c>
      <c r="G13" s="1337">
        <v>552.4</v>
      </c>
      <c r="H13" s="1338">
        <v>26.02</v>
      </c>
      <c r="I13" s="1336">
        <v>573.1</v>
      </c>
      <c r="J13" s="1006">
        <v>14.39</v>
      </c>
      <c r="K13" s="1337">
        <v>454</v>
      </c>
      <c r="L13" s="1338">
        <v>11.99</v>
      </c>
      <c r="M13" s="1336">
        <v>599.47376506451326</v>
      </c>
      <c r="N13" s="1006">
        <v>8.9268241345634181</v>
      </c>
      <c r="O13" s="1337">
        <v>614.62592115785981</v>
      </c>
      <c r="P13" s="1338">
        <v>10.525863813950815</v>
      </c>
      <c r="Q13" s="325"/>
      <c r="R13" s="325"/>
      <c r="S13" s="325"/>
      <c r="T13" s="325"/>
      <c r="U13" s="267"/>
      <c r="V13" s="267"/>
      <c r="W13" s="267"/>
      <c r="X13" s="267"/>
      <c r="Y13" s="267"/>
      <c r="Z13" s="267"/>
      <c r="AA13" s="267"/>
      <c r="AB13" s="267"/>
      <c r="AC13" s="267"/>
    </row>
    <row r="14" spans="1:29" ht="15" x14ac:dyDescent="0.25">
      <c r="A14" s="782"/>
      <c r="B14" s="899"/>
      <c r="C14" s="899"/>
      <c r="D14" s="1326" t="s">
        <v>22</v>
      </c>
      <c r="E14" s="1336">
        <v>517.5</v>
      </c>
      <c r="F14" s="1006">
        <v>21.63</v>
      </c>
      <c r="G14" s="1337">
        <v>510.3</v>
      </c>
      <c r="H14" s="1338">
        <v>17.48</v>
      </c>
      <c r="I14" s="1336">
        <v>485.6</v>
      </c>
      <c r="J14" s="1006">
        <v>10.56</v>
      </c>
      <c r="K14" s="1337">
        <v>485.2</v>
      </c>
      <c r="L14" s="1338">
        <v>8.2200000000000006</v>
      </c>
      <c r="M14" s="1336">
        <v>551.62632539267133</v>
      </c>
      <c r="N14" s="1006">
        <v>8.3152640597113461</v>
      </c>
      <c r="O14" s="1337">
        <v>579.0983506438821</v>
      </c>
      <c r="P14" s="1338">
        <v>7.5788360553072103</v>
      </c>
      <c r="Q14" s="325"/>
      <c r="R14" s="325"/>
      <c r="S14" s="325"/>
      <c r="T14" s="325"/>
      <c r="U14" s="267"/>
      <c r="V14" s="267"/>
      <c r="W14" s="267"/>
      <c r="X14" s="267"/>
      <c r="Y14" s="267"/>
      <c r="Z14" s="267"/>
      <c r="AA14" s="267"/>
      <c r="AB14" s="267"/>
      <c r="AC14" s="267"/>
    </row>
    <row r="15" spans="1:29" ht="15" x14ac:dyDescent="0.25">
      <c r="A15" s="782"/>
      <c r="B15" s="899"/>
      <c r="C15" s="899"/>
      <c r="D15" s="1326" t="s">
        <v>23</v>
      </c>
      <c r="E15" s="1336">
        <v>428.1</v>
      </c>
      <c r="F15" s="1006">
        <v>17.54</v>
      </c>
      <c r="G15" s="1337">
        <v>433.4</v>
      </c>
      <c r="H15" s="1338">
        <v>10.82</v>
      </c>
      <c r="I15" s="1336">
        <v>425.3</v>
      </c>
      <c r="J15" s="1006">
        <v>7.68</v>
      </c>
      <c r="K15" s="1337">
        <v>446.7</v>
      </c>
      <c r="L15" s="1338">
        <v>5.25</v>
      </c>
      <c r="M15" s="1336">
        <v>519.03348696387752</v>
      </c>
      <c r="N15" s="1006">
        <v>7.8376997357182061</v>
      </c>
      <c r="O15" s="1337">
        <v>554.17525361291575</v>
      </c>
      <c r="P15" s="1338">
        <v>7.0078553761247973</v>
      </c>
      <c r="Q15" s="325"/>
      <c r="R15" s="325"/>
      <c r="S15" s="325"/>
      <c r="T15" s="325"/>
      <c r="U15" s="267"/>
      <c r="V15" s="267"/>
      <c r="W15" s="267"/>
      <c r="X15" s="267"/>
      <c r="Y15" s="267"/>
      <c r="Z15" s="267"/>
      <c r="AA15" s="267"/>
      <c r="AB15" s="267"/>
      <c r="AC15" s="267"/>
    </row>
    <row r="16" spans="1:29" ht="15" x14ac:dyDescent="0.25">
      <c r="A16" s="782"/>
      <c r="B16" s="899"/>
      <c r="C16" s="899"/>
      <c r="D16" s="1326" t="s">
        <v>24</v>
      </c>
      <c r="E16" s="1336">
        <v>470.3</v>
      </c>
      <c r="F16" s="1006">
        <v>13.37</v>
      </c>
      <c r="G16" s="1337">
        <v>460.9</v>
      </c>
      <c r="H16" s="1338">
        <v>8.24</v>
      </c>
      <c r="I16" s="1336">
        <v>473.6</v>
      </c>
      <c r="J16" s="1006">
        <v>11.13</v>
      </c>
      <c r="K16" s="1337">
        <v>476.1</v>
      </c>
      <c r="L16" s="1338">
        <v>8.19</v>
      </c>
      <c r="M16" s="1336">
        <v>552.52901134320621</v>
      </c>
      <c r="N16" s="1006">
        <v>7.4943157022607396</v>
      </c>
      <c r="O16" s="1337">
        <v>575.68431453960181</v>
      </c>
      <c r="P16" s="1338">
        <v>9.620714143568101</v>
      </c>
      <c r="Q16" s="325"/>
      <c r="R16" s="325"/>
      <c r="S16" s="325"/>
      <c r="T16" s="325"/>
      <c r="U16" s="267"/>
      <c r="V16" s="267"/>
      <c r="W16" s="267"/>
      <c r="X16" s="267" t="s">
        <v>325</v>
      </c>
      <c r="Y16" s="267"/>
      <c r="Z16" s="267"/>
      <c r="AA16" s="267"/>
      <c r="AB16" s="267"/>
      <c r="AC16" s="267"/>
    </row>
    <row r="17" spans="1:29" ht="15" x14ac:dyDescent="0.25">
      <c r="A17" s="782"/>
      <c r="B17" s="899"/>
      <c r="C17" s="899"/>
      <c r="D17" s="1326" t="s">
        <v>25</v>
      </c>
      <c r="E17" s="1336">
        <v>436.7</v>
      </c>
      <c r="F17" s="1006">
        <v>19.649999999999999</v>
      </c>
      <c r="G17" s="1337">
        <v>446</v>
      </c>
      <c r="H17" s="1338">
        <v>18.809999999999999</v>
      </c>
      <c r="I17" s="1336">
        <v>506.3</v>
      </c>
      <c r="J17" s="1006">
        <v>14.19</v>
      </c>
      <c r="K17" s="1337">
        <v>503.1</v>
      </c>
      <c r="L17" s="1338">
        <v>13.14</v>
      </c>
      <c r="M17" s="1336">
        <v>543.48279939074735</v>
      </c>
      <c r="N17" s="1006">
        <v>9.2018775902191834</v>
      </c>
      <c r="O17" s="1337">
        <v>573.8544808041604</v>
      </c>
      <c r="P17" s="1338">
        <v>9.8583655084850896</v>
      </c>
      <c r="Q17" s="325"/>
      <c r="R17" s="325"/>
      <c r="S17" s="325"/>
      <c r="T17" s="325"/>
      <c r="U17" s="267"/>
      <c r="V17" s="267"/>
      <c r="W17" s="267"/>
      <c r="X17" s="267"/>
      <c r="Y17" s="267"/>
      <c r="Z17" s="267"/>
      <c r="AA17" s="267"/>
      <c r="AB17" s="267"/>
      <c r="AC17" s="267"/>
    </row>
    <row r="18" spans="1:29" ht="15" x14ac:dyDescent="0.25">
      <c r="A18" s="782"/>
      <c r="B18" s="899"/>
      <c r="C18" s="899"/>
      <c r="D18" s="1326" t="s">
        <v>26</v>
      </c>
      <c r="E18" s="1336">
        <v>427.7</v>
      </c>
      <c r="F18" s="1006">
        <v>9.61</v>
      </c>
      <c r="G18" s="1337">
        <v>419.6</v>
      </c>
      <c r="H18" s="1338">
        <v>10.6</v>
      </c>
      <c r="I18" s="1336">
        <v>505.6</v>
      </c>
      <c r="J18" s="1006">
        <v>12.56</v>
      </c>
      <c r="K18" s="1337">
        <v>498.7</v>
      </c>
      <c r="L18" s="1338">
        <v>10.83</v>
      </c>
      <c r="M18" s="1336">
        <v>544.3147149452227</v>
      </c>
      <c r="N18" s="1006">
        <v>10.568633610266732</v>
      </c>
      <c r="O18" s="1337">
        <v>575.21079015976068</v>
      </c>
      <c r="P18" s="1338">
        <v>7.834705260177766</v>
      </c>
      <c r="Q18" s="325"/>
      <c r="R18" s="325"/>
      <c r="S18" s="325"/>
      <c r="T18" s="325"/>
      <c r="U18" s="267"/>
      <c r="V18" s="267"/>
      <c r="W18" s="267"/>
      <c r="X18" s="267"/>
      <c r="Y18" s="267"/>
      <c r="Z18" s="267"/>
      <c r="AA18" s="267"/>
      <c r="AB18" s="267"/>
      <c r="AC18" s="267"/>
    </row>
    <row r="19" spans="1:29" ht="15" x14ac:dyDescent="0.25">
      <c r="A19" s="782"/>
      <c r="B19" s="899"/>
      <c r="C19" s="899"/>
      <c r="D19" s="1326" t="s">
        <v>27</v>
      </c>
      <c r="E19" s="1339">
        <v>629.29999999999995</v>
      </c>
      <c r="F19" s="1340">
        <v>17.95</v>
      </c>
      <c r="G19" s="1340">
        <v>591.1</v>
      </c>
      <c r="H19" s="1341">
        <v>23.94</v>
      </c>
      <c r="I19" s="1339">
        <v>583.4</v>
      </c>
      <c r="J19" s="1340">
        <v>11.08</v>
      </c>
      <c r="K19" s="1340">
        <v>565.70000000000005</v>
      </c>
      <c r="L19" s="1341">
        <v>12.01</v>
      </c>
      <c r="M19" s="1339">
        <v>630.14704752846217</v>
      </c>
      <c r="N19" s="1340">
        <v>12.69394276709963</v>
      </c>
      <c r="O19" s="1340">
        <v>672.93697842067093</v>
      </c>
      <c r="P19" s="1341">
        <v>17.171808241333721</v>
      </c>
      <c r="Q19" s="325"/>
      <c r="R19" s="325"/>
      <c r="S19" s="325"/>
      <c r="T19" s="325"/>
      <c r="U19" s="267"/>
      <c r="V19" s="267"/>
    </row>
    <row r="20" spans="1:29" ht="15" x14ac:dyDescent="0.25">
      <c r="A20" s="782"/>
      <c r="B20" s="899"/>
      <c r="C20" s="899"/>
      <c r="D20" s="1342" t="s">
        <v>346</v>
      </c>
      <c r="E20" s="1343">
        <v>492.3</v>
      </c>
      <c r="F20" s="1343">
        <v>9</v>
      </c>
      <c r="G20" s="1344">
        <v>486.1</v>
      </c>
      <c r="H20" s="1345">
        <v>7.19</v>
      </c>
      <c r="I20" s="1343">
        <v>494.9</v>
      </c>
      <c r="J20" s="1343">
        <v>4.55</v>
      </c>
      <c r="K20" s="1344">
        <v>494.8</v>
      </c>
      <c r="L20" s="1345">
        <v>3.81</v>
      </c>
      <c r="M20" s="1343">
        <v>557.99465239399876</v>
      </c>
      <c r="N20" s="1343">
        <v>3.4807817910979524</v>
      </c>
      <c r="O20" s="1344">
        <v>587.17936436728598</v>
      </c>
      <c r="P20" s="1345">
        <v>3.4704566737163378</v>
      </c>
      <c r="Q20" s="325"/>
      <c r="R20" s="325"/>
      <c r="S20" s="325"/>
      <c r="T20" s="325"/>
      <c r="U20" s="267"/>
      <c r="V20" s="267"/>
    </row>
    <row r="21" spans="1:29" ht="15" x14ac:dyDescent="0.25">
      <c r="A21" s="782"/>
      <c r="B21" s="899"/>
      <c r="C21" s="899"/>
      <c r="D21" s="371"/>
      <c r="E21" s="185"/>
      <c r="F21" s="1346"/>
      <c r="G21" s="1347"/>
      <c r="H21" s="185"/>
      <c r="I21" s="72"/>
      <c r="Q21" s="903"/>
      <c r="R21" s="267"/>
      <c r="S21" s="267"/>
      <c r="T21" s="267"/>
      <c r="U21" s="267"/>
      <c r="V21" s="267"/>
    </row>
    <row r="22" spans="1:29" ht="15" x14ac:dyDescent="0.25">
      <c r="A22" s="782"/>
      <c r="B22" s="899"/>
      <c r="C22" s="899"/>
      <c r="I22" s="267"/>
      <c r="J22" s="1348"/>
      <c r="K22" s="1348"/>
      <c r="L22" s="1348"/>
      <c r="M22" s="1348"/>
      <c r="N22" s="1348"/>
      <c r="O22" s="1348"/>
      <c r="P22" s="1348"/>
      <c r="Q22" s="1349"/>
      <c r="R22" s="1350"/>
      <c r="S22" s="72"/>
      <c r="T22" s="72"/>
      <c r="U22" s="903"/>
      <c r="V22" s="267"/>
      <c r="W22" s="267"/>
      <c r="X22" s="267"/>
      <c r="Y22" s="267"/>
    </row>
    <row r="23" spans="1:29" ht="13.15" customHeight="1" x14ac:dyDescent="0.25">
      <c r="A23" s="782">
        <v>6</v>
      </c>
      <c r="B23" s="782" t="s">
        <v>29</v>
      </c>
      <c r="C23" s="782"/>
      <c r="D23" s="4048" t="s">
        <v>538</v>
      </c>
      <c r="E23" s="4049"/>
      <c r="F23" s="4049"/>
      <c r="G23" s="4049"/>
      <c r="H23" s="4049"/>
      <c r="I23" s="4049"/>
      <c r="J23" s="4049"/>
      <c r="K23" s="4049"/>
      <c r="L23" s="4049"/>
      <c r="M23" s="4049"/>
      <c r="N23" s="4049"/>
      <c r="O23" s="4049"/>
      <c r="P23" s="4049"/>
      <c r="Q23" s="4049"/>
      <c r="R23" s="4049"/>
      <c r="S23" s="4050"/>
      <c r="T23" s="142"/>
      <c r="U23" s="267"/>
      <c r="V23" s="267"/>
      <c r="W23" s="267"/>
      <c r="X23" s="267"/>
      <c r="Y23" s="267"/>
    </row>
    <row r="24" spans="1:29" ht="42.75" customHeight="1" x14ac:dyDescent="0.25">
      <c r="A24" s="782">
        <v>7</v>
      </c>
      <c r="B24" s="782" t="s">
        <v>95</v>
      </c>
      <c r="C24" s="782"/>
      <c r="D24" s="4048" t="s">
        <v>1800</v>
      </c>
      <c r="E24" s="4049"/>
      <c r="F24" s="4049"/>
      <c r="G24" s="4049"/>
      <c r="H24" s="4049"/>
      <c r="I24" s="4049"/>
      <c r="J24" s="4049"/>
      <c r="K24" s="4049"/>
      <c r="L24" s="4049"/>
      <c r="M24" s="4049"/>
      <c r="N24" s="4049"/>
      <c r="O24" s="4049"/>
      <c r="P24" s="4049"/>
      <c r="Q24" s="4049"/>
      <c r="R24" s="4049"/>
      <c r="S24" s="4050"/>
      <c r="T24" s="142"/>
      <c r="U24" s="267"/>
      <c r="V24" s="267"/>
      <c r="W24" s="267"/>
      <c r="X24" s="267"/>
      <c r="Y24" s="267"/>
    </row>
    <row r="25" spans="1:29" ht="20.25" customHeight="1" x14ac:dyDescent="0.25">
      <c r="A25" s="818">
        <v>8</v>
      </c>
      <c r="B25" s="818" t="s">
        <v>32</v>
      </c>
      <c r="C25" s="818"/>
      <c r="D25" s="4066" t="s">
        <v>539</v>
      </c>
      <c r="E25" s="4067"/>
      <c r="F25" s="4067"/>
      <c r="G25" s="4067"/>
      <c r="H25" s="4067"/>
      <c r="I25" s="4067"/>
      <c r="J25" s="4067"/>
      <c r="K25" s="4067"/>
      <c r="L25" s="4067"/>
      <c r="M25" s="4067"/>
      <c r="N25" s="4067"/>
      <c r="O25" s="4067"/>
      <c r="P25" s="4067"/>
      <c r="Q25" s="4067"/>
      <c r="R25" s="4067"/>
      <c r="S25" s="4068"/>
      <c r="T25" s="170"/>
      <c r="U25" s="267" t="s">
        <v>325</v>
      </c>
      <c r="V25" s="267"/>
      <c r="W25" s="267"/>
      <c r="X25" s="267"/>
      <c r="Y25" s="267"/>
    </row>
    <row r="26" spans="1:29" ht="16.5" customHeight="1" x14ac:dyDescent="0.25">
      <c r="A26" s="782">
        <v>9</v>
      </c>
      <c r="B26" s="782" t="s">
        <v>31</v>
      </c>
      <c r="C26" s="782"/>
      <c r="D26" s="4048" t="s">
        <v>540</v>
      </c>
      <c r="E26" s="4049"/>
      <c r="F26" s="4049"/>
      <c r="G26" s="4049"/>
      <c r="H26" s="4049"/>
      <c r="I26" s="4049"/>
      <c r="J26" s="4049"/>
      <c r="K26" s="4049"/>
      <c r="L26" s="4049"/>
      <c r="M26" s="4049"/>
      <c r="N26" s="4049"/>
      <c r="O26" s="4049"/>
      <c r="P26" s="4049"/>
      <c r="Q26" s="4049"/>
      <c r="R26" s="4049"/>
      <c r="S26" s="4050"/>
      <c r="T26" s="142"/>
      <c r="U26" s="267"/>
      <c r="V26" s="267"/>
      <c r="W26" s="267"/>
      <c r="X26" s="267"/>
      <c r="Y26" s="267"/>
    </row>
    <row r="27" spans="1:29" ht="15" x14ac:dyDescent="0.25">
      <c r="A27" s="1351"/>
      <c r="B27" s="1352"/>
      <c r="C27" s="1352"/>
      <c r="D27" s="267"/>
      <c r="E27" s="267"/>
      <c r="F27" s="267"/>
      <c r="G27" s="267"/>
      <c r="H27" s="267"/>
      <c r="I27" s="267"/>
      <c r="J27" s="267"/>
      <c r="K27" s="267"/>
      <c r="L27" s="267"/>
      <c r="M27" s="267"/>
      <c r="N27" s="267"/>
      <c r="O27" s="267"/>
      <c r="P27" s="267"/>
      <c r="Q27" s="267"/>
      <c r="R27" s="267"/>
      <c r="S27" s="267"/>
      <c r="T27" s="267"/>
      <c r="U27" s="267"/>
      <c r="V27" s="267"/>
      <c r="W27" s="267"/>
      <c r="X27" s="267"/>
      <c r="Y27" s="267"/>
    </row>
    <row r="28" spans="1:29" ht="15" hidden="1" x14ac:dyDescent="0.25">
      <c r="A28" s="1351"/>
      <c r="B28" s="1352"/>
      <c r="C28" s="1352"/>
      <c r="D28" s="267"/>
      <c r="E28" s="267"/>
      <c r="F28" s="267"/>
      <c r="G28" s="267"/>
      <c r="H28" s="267"/>
      <c r="I28" s="267"/>
      <c r="J28" s="267"/>
      <c r="K28" s="267"/>
      <c r="L28" s="267"/>
      <c r="M28" s="267"/>
      <c r="N28" s="267"/>
      <c r="O28" s="267"/>
      <c r="P28" s="267"/>
      <c r="Q28" s="267"/>
      <c r="R28" s="267"/>
      <c r="S28" s="267"/>
      <c r="T28" s="267"/>
      <c r="U28" s="267"/>
      <c r="V28" s="267"/>
      <c r="W28" s="267"/>
      <c r="X28" s="267"/>
      <c r="Y28" s="267"/>
    </row>
    <row r="29" spans="1:29" ht="15" hidden="1" x14ac:dyDescent="0.25">
      <c r="A29" s="1351"/>
      <c r="B29" s="1352"/>
      <c r="C29" s="1352"/>
      <c r="D29" s="267"/>
      <c r="E29" s="267"/>
      <c r="F29" s="267"/>
      <c r="G29" s="267"/>
      <c r="H29" s="267"/>
      <c r="I29" s="267"/>
      <c r="J29" s="267"/>
      <c r="K29" s="267"/>
      <c r="L29" s="267"/>
      <c r="M29" s="267"/>
      <c r="N29" s="267"/>
      <c r="O29" s="267"/>
      <c r="P29" s="267"/>
      <c r="Q29" s="267"/>
      <c r="R29" s="267"/>
      <c r="S29" s="267"/>
      <c r="T29" s="267"/>
      <c r="U29" s="267"/>
      <c r="V29" s="267"/>
      <c r="W29" s="267"/>
      <c r="X29" s="267"/>
      <c r="Y29" s="267"/>
    </row>
    <row r="30" spans="1:29" ht="15" hidden="1" x14ac:dyDescent="0.25">
      <c r="A30" s="1351"/>
      <c r="B30" s="1352"/>
      <c r="C30" s="1352"/>
      <c r="D30" s="267"/>
      <c r="E30" s="267"/>
      <c r="F30" s="267"/>
      <c r="G30" s="267"/>
      <c r="H30" s="267"/>
      <c r="I30" s="267"/>
      <c r="J30" s="267"/>
      <c r="K30" s="267"/>
      <c r="L30" s="267"/>
      <c r="M30" s="267"/>
      <c r="N30" s="267"/>
      <c r="O30" s="267"/>
      <c r="P30" s="267"/>
      <c r="Q30" s="267"/>
      <c r="R30" s="267"/>
      <c r="S30" s="267"/>
      <c r="T30" s="267"/>
      <c r="U30" s="267"/>
      <c r="V30" s="267"/>
      <c r="W30" s="267"/>
      <c r="X30" s="267"/>
      <c r="Y30" s="267"/>
    </row>
    <row r="31" spans="1:29" ht="15" hidden="1" x14ac:dyDescent="0.25">
      <c r="A31" s="1351"/>
      <c r="B31" s="1352"/>
      <c r="C31" s="1352"/>
      <c r="D31" s="267"/>
      <c r="E31" s="267"/>
      <c r="F31" s="267"/>
      <c r="G31" s="267"/>
      <c r="H31" s="267"/>
      <c r="I31" s="267"/>
      <c r="J31" s="267"/>
      <c r="K31" s="267"/>
      <c r="L31" s="267"/>
      <c r="M31" s="267"/>
      <c r="N31" s="267"/>
      <c r="O31" s="267"/>
      <c r="P31" s="267"/>
      <c r="Q31" s="267"/>
      <c r="R31" s="267"/>
      <c r="S31" s="267"/>
      <c r="T31" s="267"/>
      <c r="U31" s="267"/>
      <c r="V31" s="267"/>
      <c r="W31" s="267"/>
      <c r="X31" s="267"/>
      <c r="Y31" s="267"/>
    </row>
    <row r="32" spans="1:29" ht="15" hidden="1" x14ac:dyDescent="0.25">
      <c r="A32" s="1351"/>
      <c r="B32" s="1352"/>
      <c r="C32" s="1352"/>
      <c r="D32" s="267"/>
      <c r="E32" s="267"/>
      <c r="F32" s="267"/>
      <c r="G32" s="267"/>
      <c r="H32" s="267"/>
      <c r="I32" s="267"/>
      <c r="J32" s="267"/>
      <c r="K32" s="267"/>
      <c r="L32" s="267"/>
      <c r="M32" s="267"/>
      <c r="N32" s="267"/>
      <c r="O32" s="267"/>
      <c r="P32" s="267"/>
      <c r="Q32" s="267"/>
      <c r="R32" s="267"/>
      <c r="S32" s="267"/>
      <c r="T32" s="267"/>
      <c r="U32" s="267"/>
      <c r="V32" s="267"/>
      <c r="W32" s="267"/>
      <c r="X32" s="267"/>
      <c r="Y32" s="267"/>
    </row>
    <row r="33" spans="1:25" ht="15" hidden="1" x14ac:dyDescent="0.25">
      <c r="A33" s="1351"/>
      <c r="B33" s="1352"/>
      <c r="C33" s="1352"/>
      <c r="D33" s="267"/>
      <c r="E33" s="267"/>
      <c r="F33" s="267"/>
      <c r="G33" s="267"/>
      <c r="H33" s="267"/>
      <c r="I33" s="267"/>
      <c r="J33" s="267"/>
      <c r="K33" s="267"/>
      <c r="L33" s="267"/>
      <c r="M33" s="267"/>
      <c r="N33" s="267"/>
      <c r="O33" s="267"/>
      <c r="P33" s="267"/>
      <c r="Q33" s="267"/>
      <c r="R33" s="267"/>
      <c r="S33" s="267"/>
      <c r="T33" s="267"/>
      <c r="U33" s="267"/>
      <c r="V33" s="267"/>
      <c r="W33" s="267"/>
      <c r="X33" s="267"/>
      <c r="Y33" s="267"/>
    </row>
    <row r="34" spans="1:25" ht="15" hidden="1" x14ac:dyDescent="0.25">
      <c r="A34" s="1351"/>
      <c r="B34" s="1352"/>
      <c r="C34" s="1352"/>
      <c r="D34" s="267"/>
      <c r="E34" s="267"/>
      <c r="F34" s="267"/>
      <c r="G34" s="267"/>
      <c r="H34" s="267"/>
      <c r="I34" s="267"/>
      <c r="J34" s="267"/>
      <c r="K34" s="267"/>
      <c r="L34" s="267"/>
      <c r="M34" s="267"/>
      <c r="N34" s="267"/>
      <c r="O34" s="267"/>
      <c r="P34" s="267"/>
      <c r="Q34" s="1353"/>
      <c r="R34" s="267"/>
      <c r="S34" s="267"/>
      <c r="T34" s="267"/>
      <c r="U34" s="267"/>
      <c r="V34" s="267"/>
      <c r="W34" s="267"/>
      <c r="X34" s="267"/>
      <c r="Y34" s="267"/>
    </row>
    <row r="35" spans="1:25" ht="23.25" hidden="1" x14ac:dyDescent="0.25">
      <c r="A35" s="1351"/>
      <c r="B35" s="1352"/>
      <c r="C35" s="1352"/>
      <c r="D35" s="557"/>
      <c r="E35" s="557"/>
      <c r="F35" s="4279" t="s">
        <v>541</v>
      </c>
      <c r="G35" s="4279"/>
      <c r="H35" s="4279"/>
      <c r="I35" s="4279"/>
      <c r="J35" s="4280"/>
      <c r="K35" s="1353" t="s">
        <v>542</v>
      </c>
      <c r="L35" s="1353"/>
      <c r="M35" s="1353"/>
      <c r="N35" s="1353"/>
      <c r="O35" s="1353"/>
      <c r="P35" s="1353"/>
      <c r="Q35" s="193" t="s">
        <v>543</v>
      </c>
      <c r="R35" s="267"/>
      <c r="S35" s="267"/>
      <c r="T35" s="267"/>
      <c r="U35" s="267"/>
      <c r="V35" s="267"/>
      <c r="W35" s="267"/>
      <c r="X35" s="267"/>
      <c r="Y35" s="267"/>
    </row>
    <row r="36" spans="1:25" ht="23.25" hidden="1" x14ac:dyDescent="0.25">
      <c r="A36" s="1351"/>
      <c r="B36" s="1352"/>
      <c r="C36" s="1352"/>
      <c r="D36" s="371" t="s">
        <v>544</v>
      </c>
      <c r="E36" s="371"/>
      <c r="F36" s="193" t="s">
        <v>545</v>
      </c>
      <c r="G36" s="193" t="s">
        <v>546</v>
      </c>
      <c r="H36" s="193" t="s">
        <v>547</v>
      </c>
      <c r="I36" s="193"/>
      <c r="J36" s="1354" t="s">
        <v>543</v>
      </c>
      <c r="K36" s="193" t="s">
        <v>545</v>
      </c>
      <c r="L36" s="193"/>
      <c r="M36" s="193" t="s">
        <v>546</v>
      </c>
      <c r="N36" s="193"/>
      <c r="O36" s="193"/>
      <c r="P36" s="193" t="s">
        <v>547</v>
      </c>
      <c r="Q36" s="10">
        <v>87</v>
      </c>
      <c r="R36" s="267"/>
      <c r="S36" s="267"/>
      <c r="T36" s="267"/>
      <c r="U36" s="267"/>
      <c r="V36" s="267"/>
      <c r="W36" s="267"/>
      <c r="X36" s="267"/>
      <c r="Y36" s="267"/>
    </row>
    <row r="37" spans="1:25" ht="15" hidden="1" x14ac:dyDescent="0.25">
      <c r="A37" s="1351"/>
      <c r="B37" s="1352"/>
      <c r="C37" s="1352"/>
      <c r="D37" s="1355" t="s">
        <v>19</v>
      </c>
      <c r="E37" s="1355"/>
      <c r="F37" s="722">
        <v>5</v>
      </c>
      <c r="G37" s="1356">
        <v>10</v>
      </c>
      <c r="H37" s="193">
        <v>9</v>
      </c>
      <c r="I37" s="193"/>
      <c r="J37" s="1354">
        <v>76</v>
      </c>
      <c r="K37" s="138">
        <v>2</v>
      </c>
      <c r="L37" s="138"/>
      <c r="M37" s="138">
        <v>4</v>
      </c>
      <c r="N37" s="138"/>
      <c r="O37" s="138"/>
      <c r="P37" s="52">
        <v>6</v>
      </c>
      <c r="Q37" s="10">
        <v>75</v>
      </c>
      <c r="R37" s="267"/>
      <c r="S37" s="267"/>
      <c r="T37" s="267"/>
      <c r="U37" s="267"/>
      <c r="V37" s="267"/>
      <c r="W37" s="267"/>
      <c r="X37" s="267"/>
      <c r="Y37" s="267"/>
    </row>
    <row r="38" spans="1:25" ht="15" hidden="1" x14ac:dyDescent="0.25">
      <c r="A38" s="1351"/>
      <c r="B38" s="1352"/>
      <c r="C38" s="1352"/>
      <c r="D38" s="1355" t="s">
        <v>20</v>
      </c>
      <c r="E38" s="1355"/>
      <c r="F38" s="722">
        <v>16</v>
      </c>
      <c r="G38" s="1356">
        <v>10</v>
      </c>
      <c r="H38" s="193">
        <v>8</v>
      </c>
      <c r="I38" s="193"/>
      <c r="J38" s="1354">
        <v>66</v>
      </c>
      <c r="K38" s="138">
        <v>7</v>
      </c>
      <c r="L38" s="138"/>
      <c r="M38" s="138">
        <v>10</v>
      </c>
      <c r="N38" s="138"/>
      <c r="O38" s="138"/>
      <c r="P38" s="52">
        <v>8</v>
      </c>
      <c r="Q38" s="10">
        <v>68</v>
      </c>
      <c r="R38" s="267"/>
      <c r="S38" s="267"/>
      <c r="T38" s="267"/>
      <c r="U38" s="267"/>
      <c r="V38" s="267"/>
      <c r="W38" s="267"/>
      <c r="X38" s="267"/>
      <c r="Y38" s="267"/>
    </row>
    <row r="39" spans="1:25" ht="15" hidden="1" x14ac:dyDescent="0.25">
      <c r="A39" s="1351"/>
      <c r="B39" s="1352"/>
      <c r="C39" s="1352"/>
      <c r="D39" s="1355" t="s">
        <v>21</v>
      </c>
      <c r="E39" s="1355"/>
      <c r="F39" s="722">
        <v>27</v>
      </c>
      <c r="G39" s="1356">
        <v>23</v>
      </c>
      <c r="H39" s="193">
        <v>13</v>
      </c>
      <c r="I39" s="193"/>
      <c r="J39" s="1354">
        <v>36</v>
      </c>
      <c r="K39" s="138">
        <v>7</v>
      </c>
      <c r="L39" s="138"/>
      <c r="M39" s="138">
        <v>14</v>
      </c>
      <c r="N39" s="138"/>
      <c r="O39" s="138"/>
      <c r="P39" s="52">
        <v>11</v>
      </c>
      <c r="Q39" s="10">
        <v>82</v>
      </c>
      <c r="R39" s="267"/>
      <c r="S39" s="267"/>
      <c r="T39" s="267"/>
      <c r="U39" s="267"/>
      <c r="V39" s="267"/>
      <c r="W39" s="267"/>
      <c r="X39" s="267"/>
      <c r="Y39" s="267"/>
    </row>
    <row r="40" spans="1:25" ht="15" hidden="1" x14ac:dyDescent="0.25">
      <c r="A40" s="1351"/>
      <c r="B40" s="1352"/>
      <c r="C40" s="1352"/>
      <c r="D40" s="1355" t="s">
        <v>22</v>
      </c>
      <c r="E40" s="1355"/>
      <c r="F40" s="722">
        <v>15</v>
      </c>
      <c r="G40" s="1356">
        <v>10</v>
      </c>
      <c r="H40" s="193">
        <v>7</v>
      </c>
      <c r="I40" s="193"/>
      <c r="J40" s="1354">
        <v>68</v>
      </c>
      <c r="K40" s="138">
        <v>4</v>
      </c>
      <c r="L40" s="138"/>
      <c r="M40" s="138">
        <v>8</v>
      </c>
      <c r="N40" s="138"/>
      <c r="O40" s="138"/>
      <c r="P40" s="52">
        <v>7</v>
      </c>
      <c r="Q40" s="10">
        <v>95</v>
      </c>
      <c r="R40" s="267"/>
      <c r="S40" s="267"/>
      <c r="T40" s="267"/>
      <c r="U40" s="267"/>
      <c r="V40" s="267"/>
      <c r="W40" s="267"/>
      <c r="X40" s="267"/>
      <c r="Y40" s="267"/>
    </row>
    <row r="41" spans="1:25" ht="15" hidden="1" x14ac:dyDescent="0.25">
      <c r="A41" s="1351"/>
      <c r="B41" s="1352"/>
      <c r="C41" s="1352"/>
      <c r="D41" s="1355" t="s">
        <v>23</v>
      </c>
      <c r="E41" s="1355"/>
      <c r="F41" s="722">
        <v>3</v>
      </c>
      <c r="G41" s="1356">
        <v>6</v>
      </c>
      <c r="H41" s="193">
        <v>6</v>
      </c>
      <c r="I41" s="193"/>
      <c r="J41" s="1354">
        <v>86</v>
      </c>
      <c r="K41" s="138">
        <v>0</v>
      </c>
      <c r="L41" s="138"/>
      <c r="M41" s="138">
        <v>2</v>
      </c>
      <c r="N41" s="138"/>
      <c r="O41" s="138"/>
      <c r="P41" s="52">
        <v>3</v>
      </c>
      <c r="Q41" s="10">
        <v>86</v>
      </c>
      <c r="R41" s="267"/>
      <c r="S41" s="267"/>
      <c r="T41" s="267"/>
      <c r="U41" s="267"/>
      <c r="V41" s="267"/>
      <c r="W41" s="267"/>
      <c r="X41" s="267"/>
      <c r="Y41" s="267"/>
    </row>
    <row r="42" spans="1:25" ht="15" hidden="1" x14ac:dyDescent="0.25">
      <c r="A42" s="1351"/>
      <c r="B42" s="1352"/>
      <c r="C42" s="1352"/>
      <c r="D42" s="1355" t="s">
        <v>24</v>
      </c>
      <c r="E42" s="1355"/>
      <c r="F42" s="722">
        <v>9</v>
      </c>
      <c r="G42" s="1356">
        <v>13</v>
      </c>
      <c r="H42" s="193">
        <v>11</v>
      </c>
      <c r="I42" s="193"/>
      <c r="J42" s="1354">
        <v>67</v>
      </c>
      <c r="K42" s="138">
        <v>2</v>
      </c>
      <c r="L42" s="138"/>
      <c r="M42" s="138">
        <v>6</v>
      </c>
      <c r="N42" s="138"/>
      <c r="O42" s="138"/>
      <c r="P42" s="52">
        <v>7</v>
      </c>
      <c r="Q42" s="10">
        <v>88</v>
      </c>
      <c r="R42" s="267"/>
      <c r="S42" s="267"/>
      <c r="T42" s="267"/>
      <c r="U42" s="267"/>
      <c r="V42" s="267"/>
      <c r="W42" s="267"/>
      <c r="X42" s="267"/>
      <c r="Y42" s="267"/>
    </row>
    <row r="43" spans="1:25" ht="15" hidden="1" x14ac:dyDescent="0.25">
      <c r="A43" s="1351"/>
      <c r="B43" s="1352"/>
      <c r="C43" s="1352"/>
      <c r="D43" s="1355" t="s">
        <v>25</v>
      </c>
      <c r="E43" s="1355"/>
      <c r="F43" s="722">
        <v>7</v>
      </c>
      <c r="G43" s="1356">
        <v>14</v>
      </c>
      <c r="H43" s="193">
        <v>11</v>
      </c>
      <c r="I43" s="193"/>
      <c r="J43" s="1354">
        <v>67</v>
      </c>
      <c r="K43" s="138">
        <v>1</v>
      </c>
      <c r="L43" s="138"/>
      <c r="M43" s="138">
        <v>5</v>
      </c>
      <c r="N43" s="138"/>
      <c r="O43" s="138"/>
      <c r="P43" s="52">
        <v>6</v>
      </c>
      <c r="Q43" s="10">
        <v>70</v>
      </c>
      <c r="R43" s="267"/>
      <c r="S43" s="267"/>
      <c r="T43" s="267"/>
      <c r="U43" s="267"/>
      <c r="V43" s="267"/>
      <c r="W43" s="267"/>
      <c r="X43" s="267"/>
      <c r="Y43" s="267"/>
    </row>
    <row r="44" spans="1:25" ht="15" hidden="1" x14ac:dyDescent="0.25">
      <c r="A44" s="1351"/>
      <c r="B44" s="1352"/>
      <c r="C44" s="1352"/>
      <c r="D44" s="1355" t="s">
        <v>26</v>
      </c>
      <c r="E44" s="1355"/>
      <c r="F44" s="722">
        <v>29</v>
      </c>
      <c r="G44" s="1356">
        <v>27</v>
      </c>
      <c r="H44" s="193">
        <v>11</v>
      </c>
      <c r="I44" s="193"/>
      <c r="J44" s="1354">
        <v>33</v>
      </c>
      <c r="K44" s="138">
        <v>7</v>
      </c>
      <c r="L44" s="138"/>
      <c r="M44" s="138">
        <v>12</v>
      </c>
      <c r="N44" s="138"/>
      <c r="O44" s="138"/>
      <c r="P44" s="52">
        <v>10</v>
      </c>
      <c r="Q44" s="1357">
        <v>55</v>
      </c>
      <c r="R44" s="267"/>
      <c r="S44" s="267"/>
      <c r="T44" s="267"/>
      <c r="U44" s="267"/>
      <c r="V44" s="267"/>
      <c r="W44" s="267"/>
      <c r="X44" s="267"/>
      <c r="Y44" s="267"/>
    </row>
    <row r="45" spans="1:25" ht="15" hidden="1" x14ac:dyDescent="0.25">
      <c r="A45" s="1351"/>
      <c r="B45" s="1352"/>
      <c r="C45" s="1352"/>
      <c r="D45" s="1358" t="s">
        <v>27</v>
      </c>
      <c r="E45" s="1358"/>
      <c r="F45" s="1359">
        <v>38</v>
      </c>
      <c r="G45" s="1360">
        <v>25</v>
      </c>
      <c r="H45" s="1359">
        <v>10</v>
      </c>
      <c r="I45" s="1359"/>
      <c r="J45" s="1361">
        <v>28</v>
      </c>
      <c r="K45" s="1357">
        <v>12</v>
      </c>
      <c r="L45" s="1357"/>
      <c r="M45" s="1357">
        <v>19</v>
      </c>
      <c r="N45" s="1357"/>
      <c r="O45" s="1357"/>
      <c r="P45" s="1357">
        <v>14</v>
      </c>
      <c r="Q45" s="267"/>
      <c r="R45" s="267"/>
      <c r="S45" s="267"/>
      <c r="T45" s="267"/>
      <c r="U45" s="267"/>
      <c r="V45" s="267"/>
      <c r="W45" s="267"/>
      <c r="X45" s="267"/>
      <c r="Y45" s="267"/>
    </row>
    <row r="46" spans="1:25" ht="15" hidden="1" x14ac:dyDescent="0.25">
      <c r="A46" s="1351"/>
      <c r="B46" s="1352"/>
      <c r="C46" s="1352"/>
      <c r="D46" s="267"/>
      <c r="E46" s="267"/>
      <c r="F46" s="267"/>
      <c r="G46" s="267"/>
      <c r="H46" s="267"/>
      <c r="I46" s="267"/>
      <c r="J46" s="267"/>
      <c r="K46" s="267"/>
      <c r="L46" s="267"/>
      <c r="M46" s="267"/>
      <c r="N46" s="267"/>
      <c r="O46" s="267"/>
      <c r="P46" s="267"/>
      <c r="Q46" s="267"/>
      <c r="R46" s="267"/>
      <c r="S46" s="267"/>
      <c r="T46" s="267"/>
      <c r="U46" s="267"/>
      <c r="V46" s="267"/>
      <c r="W46" s="267"/>
      <c r="X46" s="267"/>
      <c r="Y46" s="267"/>
    </row>
    <row r="47" spans="1:25" ht="15" hidden="1" x14ac:dyDescent="0.25">
      <c r="A47" s="1351"/>
      <c r="B47" s="1352"/>
      <c r="C47" s="1352"/>
      <c r="D47" s="267"/>
      <c r="E47" s="267"/>
      <c r="F47" s="267"/>
      <c r="G47" s="267"/>
      <c r="H47" s="267"/>
      <c r="I47" s="267"/>
      <c r="J47" s="267"/>
      <c r="K47" s="267"/>
      <c r="L47" s="267"/>
      <c r="M47" s="267"/>
      <c r="N47" s="267"/>
      <c r="O47" s="267"/>
      <c r="P47" s="267"/>
      <c r="Q47" s="267"/>
      <c r="R47" s="267"/>
      <c r="S47" s="267"/>
      <c r="T47" s="267"/>
      <c r="U47" s="267"/>
      <c r="V47" s="267"/>
      <c r="W47" s="267"/>
      <c r="X47" s="267"/>
      <c r="Y47" s="267"/>
    </row>
    <row r="48" spans="1:25" ht="15" hidden="1" x14ac:dyDescent="0.25">
      <c r="A48" s="1351"/>
      <c r="B48" s="1352"/>
      <c r="C48" s="1352"/>
      <c r="D48" s="267"/>
      <c r="E48" s="267"/>
      <c r="F48" s="267"/>
      <c r="G48" s="267"/>
      <c r="H48" s="267"/>
      <c r="I48" s="267"/>
      <c r="J48" s="267"/>
      <c r="K48" s="267"/>
      <c r="L48" s="267"/>
      <c r="M48" s="267"/>
      <c r="N48" s="267"/>
      <c r="O48" s="267"/>
      <c r="P48" s="267"/>
      <c r="Q48" s="123"/>
      <c r="R48" s="267"/>
      <c r="S48" s="267"/>
      <c r="T48" s="267"/>
      <c r="U48" s="267"/>
      <c r="V48" s="267"/>
      <c r="W48" s="267"/>
      <c r="X48" s="267"/>
      <c r="Y48" s="267"/>
    </row>
    <row r="49" spans="1:25" ht="15" hidden="1" x14ac:dyDescent="0.25">
      <c r="A49" s="1351"/>
      <c r="B49" s="1352"/>
      <c r="C49" s="1352"/>
      <c r="D49" s="123" t="s">
        <v>548</v>
      </c>
      <c r="E49" s="122"/>
      <c r="F49" s="122"/>
      <c r="G49" s="122" t="s">
        <v>549</v>
      </c>
      <c r="H49" s="122"/>
      <c r="I49" s="122"/>
      <c r="J49" s="122"/>
      <c r="K49" s="123"/>
      <c r="L49" s="123"/>
      <c r="M49" s="123"/>
      <c r="N49" s="123"/>
      <c r="O49" s="123"/>
      <c r="P49" s="123"/>
      <c r="Q49" s="1353"/>
      <c r="R49" s="267"/>
      <c r="S49" s="267"/>
      <c r="T49" s="267"/>
      <c r="U49" s="267"/>
      <c r="V49" s="267"/>
      <c r="W49" s="267"/>
      <c r="X49" s="267"/>
      <c r="Y49" s="267"/>
    </row>
    <row r="50" spans="1:25" ht="23.25" hidden="1" x14ac:dyDescent="0.25">
      <c r="A50" s="1351"/>
      <c r="B50" s="1352"/>
      <c r="C50" s="1352"/>
      <c r="D50" s="557"/>
      <c r="E50" s="557"/>
      <c r="F50" s="4279" t="s">
        <v>541</v>
      </c>
      <c r="G50" s="4279"/>
      <c r="H50" s="4279"/>
      <c r="I50" s="4279"/>
      <c r="J50" s="4280"/>
      <c r="K50" s="1353" t="s">
        <v>542</v>
      </c>
      <c r="L50" s="1353"/>
      <c r="M50" s="1353"/>
      <c r="N50" s="1353"/>
      <c r="O50" s="1353"/>
      <c r="P50" s="1353"/>
      <c r="Q50" s="193" t="s">
        <v>543</v>
      </c>
      <c r="R50" s="267"/>
      <c r="S50" s="267"/>
      <c r="T50" s="267"/>
      <c r="U50" s="267"/>
      <c r="V50" s="267"/>
      <c r="W50" s="267"/>
      <c r="X50" s="267"/>
      <c r="Y50" s="267"/>
    </row>
    <row r="51" spans="1:25" ht="23.25" hidden="1" x14ac:dyDescent="0.25">
      <c r="A51" s="1351"/>
      <c r="B51" s="1352"/>
      <c r="C51" s="1352"/>
      <c r="D51" s="371" t="s">
        <v>544</v>
      </c>
      <c r="E51" s="371"/>
      <c r="F51" s="193" t="s">
        <v>545</v>
      </c>
      <c r="G51" s="193" t="s">
        <v>546</v>
      </c>
      <c r="H51" s="193" t="s">
        <v>547</v>
      </c>
      <c r="I51" s="193"/>
      <c r="J51" s="1354" t="s">
        <v>543</v>
      </c>
      <c r="K51" s="193" t="s">
        <v>545</v>
      </c>
      <c r="L51" s="193"/>
      <c r="M51" s="193" t="s">
        <v>546</v>
      </c>
      <c r="N51" s="193"/>
      <c r="O51" s="193"/>
      <c r="P51" s="193" t="s">
        <v>547</v>
      </c>
      <c r="Q51" s="10">
        <v>87</v>
      </c>
      <c r="R51" s="267"/>
      <c r="S51" s="267"/>
      <c r="T51" s="267"/>
      <c r="U51" s="267"/>
      <c r="V51" s="267"/>
      <c r="W51" s="267"/>
      <c r="X51" s="267"/>
      <c r="Y51" s="267"/>
    </row>
    <row r="52" spans="1:25" ht="15" hidden="1" x14ac:dyDescent="0.25">
      <c r="A52" s="1351"/>
      <c r="B52" s="1352"/>
      <c r="C52" s="1352"/>
      <c r="D52" s="1355" t="s">
        <v>19</v>
      </c>
      <c r="E52" s="1355"/>
      <c r="F52" s="722">
        <v>5</v>
      </c>
      <c r="G52" s="1356">
        <v>10</v>
      </c>
      <c r="H52" s="193">
        <v>9</v>
      </c>
      <c r="I52" s="193"/>
      <c r="J52" s="1354">
        <v>76</v>
      </c>
      <c r="K52" s="138">
        <v>2</v>
      </c>
      <c r="L52" s="138"/>
      <c r="M52" s="138">
        <v>4</v>
      </c>
      <c r="N52" s="138"/>
      <c r="O52" s="138"/>
      <c r="P52" s="52">
        <v>6</v>
      </c>
      <c r="Q52" s="10">
        <v>75</v>
      </c>
      <c r="R52" s="267"/>
      <c r="S52" s="267"/>
      <c r="T52" s="267"/>
      <c r="U52" s="267"/>
      <c r="V52" s="267"/>
      <c r="W52" s="267"/>
      <c r="X52" s="267"/>
      <c r="Y52" s="267"/>
    </row>
    <row r="53" spans="1:25" ht="15" hidden="1" x14ac:dyDescent="0.25">
      <c r="A53" s="1351"/>
      <c r="B53" s="1352"/>
      <c r="C53" s="1352"/>
      <c r="D53" s="1355" t="s">
        <v>20</v>
      </c>
      <c r="E53" s="1355"/>
      <c r="F53" s="722">
        <v>16</v>
      </c>
      <c r="G53" s="1356">
        <v>10</v>
      </c>
      <c r="H53" s="193">
        <v>8</v>
      </c>
      <c r="I53" s="193"/>
      <c r="J53" s="1354">
        <v>66</v>
      </c>
      <c r="K53" s="138">
        <v>7</v>
      </c>
      <c r="L53" s="138"/>
      <c r="M53" s="138">
        <v>10</v>
      </c>
      <c r="N53" s="138"/>
      <c r="O53" s="138"/>
      <c r="P53" s="52">
        <v>8</v>
      </c>
      <c r="Q53" s="10">
        <v>68</v>
      </c>
      <c r="R53" s="267"/>
      <c r="S53" s="267"/>
      <c r="T53" s="267"/>
      <c r="U53" s="267"/>
      <c r="V53" s="267"/>
      <c r="W53" s="267"/>
      <c r="X53" s="267"/>
      <c r="Y53" s="267"/>
    </row>
    <row r="54" spans="1:25" ht="15" hidden="1" x14ac:dyDescent="0.25">
      <c r="A54" s="1351"/>
      <c r="B54" s="1352"/>
      <c r="C54" s="1352"/>
      <c r="D54" s="1355" t="s">
        <v>21</v>
      </c>
      <c r="E54" s="1355"/>
      <c r="F54" s="722">
        <v>27</v>
      </c>
      <c r="G54" s="1356">
        <v>23</v>
      </c>
      <c r="H54" s="193">
        <v>13</v>
      </c>
      <c r="I54" s="193"/>
      <c r="J54" s="1354">
        <v>36</v>
      </c>
      <c r="K54" s="138">
        <v>7</v>
      </c>
      <c r="L54" s="138"/>
      <c r="M54" s="138">
        <v>14</v>
      </c>
      <c r="N54" s="138"/>
      <c r="O54" s="138"/>
      <c r="P54" s="52">
        <v>11</v>
      </c>
      <c r="Q54" s="10">
        <v>82</v>
      </c>
      <c r="R54" s="267"/>
      <c r="S54" s="267"/>
      <c r="T54" s="267"/>
      <c r="U54" s="267"/>
      <c r="V54" s="267"/>
      <c r="W54" s="267"/>
      <c r="X54" s="267"/>
      <c r="Y54" s="267"/>
    </row>
    <row r="55" spans="1:25" ht="15" hidden="1" x14ac:dyDescent="0.25">
      <c r="A55" s="1351"/>
      <c r="B55" s="1352"/>
      <c r="C55" s="1352"/>
      <c r="D55" s="1355" t="s">
        <v>22</v>
      </c>
      <c r="E55" s="1355"/>
      <c r="F55" s="722">
        <v>15</v>
      </c>
      <c r="G55" s="1356">
        <v>10</v>
      </c>
      <c r="H55" s="193">
        <v>7</v>
      </c>
      <c r="I55" s="193"/>
      <c r="J55" s="1354">
        <v>68</v>
      </c>
      <c r="K55" s="138">
        <v>4</v>
      </c>
      <c r="L55" s="138"/>
      <c r="M55" s="138">
        <v>8</v>
      </c>
      <c r="N55" s="138"/>
      <c r="O55" s="138"/>
      <c r="P55" s="52">
        <v>7</v>
      </c>
      <c r="Q55" s="10">
        <v>95</v>
      </c>
      <c r="R55" s="267"/>
      <c r="S55" s="267"/>
      <c r="T55" s="267"/>
      <c r="U55" s="267"/>
      <c r="V55" s="267"/>
      <c r="W55" s="267"/>
      <c r="X55" s="267"/>
      <c r="Y55" s="267"/>
    </row>
    <row r="56" spans="1:25" ht="15" hidden="1" x14ac:dyDescent="0.25">
      <c r="A56" s="1351"/>
      <c r="B56" s="1352"/>
      <c r="C56" s="1352"/>
      <c r="D56" s="1355" t="s">
        <v>23</v>
      </c>
      <c r="E56" s="1355"/>
      <c r="F56" s="722">
        <v>3</v>
      </c>
      <c r="G56" s="1356">
        <v>6</v>
      </c>
      <c r="H56" s="193">
        <v>6</v>
      </c>
      <c r="I56" s="193"/>
      <c r="J56" s="1354">
        <v>86</v>
      </c>
      <c r="K56" s="138">
        <v>0</v>
      </c>
      <c r="L56" s="138"/>
      <c r="M56" s="138">
        <v>2</v>
      </c>
      <c r="N56" s="138"/>
      <c r="O56" s="138"/>
      <c r="P56" s="52">
        <v>3</v>
      </c>
      <c r="Q56" s="10">
        <v>86</v>
      </c>
      <c r="R56" s="267"/>
      <c r="S56" s="267"/>
      <c r="T56" s="267"/>
      <c r="U56" s="267"/>
      <c r="V56" s="267"/>
      <c r="W56" s="267"/>
      <c r="X56" s="267"/>
      <c r="Y56" s="267"/>
    </row>
    <row r="57" spans="1:25" ht="15" hidden="1" x14ac:dyDescent="0.25">
      <c r="A57" s="1351"/>
      <c r="B57" s="1352"/>
      <c r="C57" s="1352"/>
      <c r="D57" s="1355" t="s">
        <v>24</v>
      </c>
      <c r="E57" s="1355"/>
      <c r="F57" s="722">
        <v>9</v>
      </c>
      <c r="G57" s="1356">
        <v>13</v>
      </c>
      <c r="H57" s="193">
        <v>11</v>
      </c>
      <c r="I57" s="193"/>
      <c r="J57" s="1354">
        <v>67</v>
      </c>
      <c r="K57" s="138">
        <v>2</v>
      </c>
      <c r="L57" s="138"/>
      <c r="M57" s="138">
        <v>6</v>
      </c>
      <c r="N57" s="138"/>
      <c r="O57" s="138"/>
      <c r="P57" s="52">
        <v>7</v>
      </c>
      <c r="Q57" s="10">
        <v>88</v>
      </c>
      <c r="R57" s="267"/>
      <c r="S57" s="267"/>
      <c r="T57" s="267"/>
      <c r="U57" s="267"/>
      <c r="V57" s="267"/>
      <c r="W57" s="267"/>
      <c r="X57" s="267"/>
      <c r="Y57" s="267"/>
    </row>
    <row r="58" spans="1:25" ht="15" hidden="1" x14ac:dyDescent="0.25">
      <c r="A58" s="1351"/>
      <c r="B58" s="1352"/>
      <c r="C58" s="1352"/>
      <c r="D58" s="1355" t="s">
        <v>25</v>
      </c>
      <c r="E58" s="1355"/>
      <c r="F58" s="722">
        <v>7</v>
      </c>
      <c r="G58" s="1356">
        <v>14</v>
      </c>
      <c r="H58" s="193">
        <v>11</v>
      </c>
      <c r="I58" s="193"/>
      <c r="J58" s="1354">
        <v>67</v>
      </c>
      <c r="K58" s="138">
        <v>1</v>
      </c>
      <c r="L58" s="138"/>
      <c r="M58" s="138">
        <v>5</v>
      </c>
      <c r="N58" s="138"/>
      <c r="O58" s="138"/>
      <c r="P58" s="52">
        <v>6</v>
      </c>
      <c r="Q58" s="10">
        <v>70</v>
      </c>
      <c r="R58" s="267"/>
      <c r="S58" s="267"/>
      <c r="T58" s="267"/>
      <c r="U58" s="267"/>
      <c r="V58" s="267"/>
      <c r="W58" s="267"/>
      <c r="X58" s="267"/>
      <c r="Y58" s="267"/>
    </row>
    <row r="59" spans="1:25" ht="15" hidden="1" x14ac:dyDescent="0.25">
      <c r="A59" s="1351"/>
      <c r="B59" s="1352"/>
      <c r="C59" s="1352"/>
      <c r="D59" s="1355" t="s">
        <v>26</v>
      </c>
      <c r="E59" s="1355"/>
      <c r="F59" s="722">
        <v>29</v>
      </c>
      <c r="G59" s="1356">
        <v>27</v>
      </c>
      <c r="H59" s="193">
        <v>11</v>
      </c>
      <c r="I59" s="193"/>
      <c r="J59" s="1354">
        <v>33</v>
      </c>
      <c r="K59" s="138">
        <v>7</v>
      </c>
      <c r="L59" s="138"/>
      <c r="M59" s="138">
        <v>12</v>
      </c>
      <c r="N59" s="138"/>
      <c r="O59" s="138"/>
      <c r="P59" s="52">
        <v>10</v>
      </c>
      <c r="Q59" s="1357">
        <v>55</v>
      </c>
      <c r="R59" s="267"/>
      <c r="S59" s="267"/>
      <c r="T59" s="267"/>
      <c r="U59" s="267"/>
      <c r="V59" s="267"/>
      <c r="W59" s="267"/>
      <c r="X59" s="267"/>
      <c r="Y59" s="267"/>
    </row>
    <row r="60" spans="1:25" ht="15" hidden="1" x14ac:dyDescent="0.25">
      <c r="A60" s="1351"/>
      <c r="B60" s="1352"/>
      <c r="C60" s="1352"/>
      <c r="D60" s="1358" t="s">
        <v>27</v>
      </c>
      <c r="E60" s="1358"/>
      <c r="F60" s="1359">
        <v>38</v>
      </c>
      <c r="G60" s="1360">
        <v>25</v>
      </c>
      <c r="H60" s="1359">
        <v>10</v>
      </c>
      <c r="I60" s="1359"/>
      <c r="J60" s="1361">
        <v>28</v>
      </c>
      <c r="K60" s="1357">
        <v>12</v>
      </c>
      <c r="L60" s="1357"/>
      <c r="M60" s="1357">
        <v>19</v>
      </c>
      <c r="N60" s="1357"/>
      <c r="O60" s="1357"/>
      <c r="P60" s="1357">
        <v>14</v>
      </c>
      <c r="Q60" s="267"/>
      <c r="R60" s="267"/>
      <c r="S60" s="267"/>
      <c r="T60" s="267"/>
      <c r="U60" s="267"/>
      <c r="V60" s="267"/>
      <c r="W60" s="267"/>
      <c r="X60" s="267"/>
      <c r="Y60" s="267"/>
    </row>
    <row r="61" spans="1:25" ht="15" hidden="1" x14ac:dyDescent="0.25">
      <c r="A61" s="1351"/>
      <c r="B61" s="1352"/>
      <c r="C61" s="1352"/>
      <c r="D61" s="267"/>
      <c r="E61" s="267"/>
      <c r="F61" s="267"/>
      <c r="G61" s="267"/>
      <c r="H61" s="267"/>
      <c r="I61" s="267"/>
      <c r="J61" s="267"/>
      <c r="K61" s="267"/>
      <c r="L61" s="267"/>
      <c r="M61" s="267"/>
      <c r="N61" s="267"/>
      <c r="O61" s="267"/>
      <c r="P61" s="267"/>
      <c r="Q61" s="267"/>
      <c r="R61" s="267"/>
      <c r="S61" s="267"/>
      <c r="T61" s="267"/>
      <c r="U61" s="267"/>
      <c r="V61" s="267"/>
      <c r="W61" s="267"/>
      <c r="X61" s="267"/>
      <c r="Y61" s="267"/>
    </row>
    <row r="62" spans="1:25" ht="15" hidden="1" x14ac:dyDescent="0.25">
      <c r="A62" s="1351"/>
      <c r="B62" s="1352"/>
      <c r="C62" s="1352"/>
      <c r="D62" s="267"/>
      <c r="E62" s="267"/>
      <c r="F62" s="267"/>
      <c r="G62" s="267"/>
      <c r="H62" s="267"/>
      <c r="I62" s="267"/>
      <c r="J62" s="267"/>
      <c r="K62" s="267"/>
      <c r="L62" s="267"/>
      <c r="M62" s="267"/>
      <c r="N62" s="267"/>
      <c r="O62" s="267"/>
      <c r="P62" s="267"/>
      <c r="Q62" s="267"/>
      <c r="R62" s="267"/>
      <c r="S62" s="267"/>
      <c r="T62" s="267"/>
      <c r="U62" s="267"/>
      <c r="V62" s="267"/>
      <c r="W62" s="267"/>
      <c r="X62" s="267"/>
      <c r="Y62" s="267"/>
    </row>
    <row r="63" spans="1:25" ht="15" hidden="1" x14ac:dyDescent="0.25">
      <c r="A63" s="1351"/>
      <c r="B63" s="1352"/>
      <c r="C63" s="1352"/>
      <c r="D63" s="267"/>
      <c r="E63" s="267"/>
      <c r="F63" s="267"/>
      <c r="G63" s="267"/>
      <c r="H63" s="267"/>
      <c r="I63" s="267"/>
      <c r="J63" s="267"/>
      <c r="K63" s="267"/>
      <c r="L63" s="267"/>
      <c r="M63" s="267"/>
      <c r="N63" s="267"/>
      <c r="O63" s="267"/>
      <c r="P63" s="267"/>
      <c r="Q63" s="267"/>
      <c r="R63" s="267"/>
      <c r="S63" s="267"/>
      <c r="T63" s="267"/>
      <c r="U63" s="267"/>
      <c r="V63" s="267"/>
      <c r="W63" s="267"/>
      <c r="X63" s="267"/>
      <c r="Y63" s="267"/>
    </row>
    <row r="64" spans="1:25" ht="15" hidden="1" x14ac:dyDescent="0.25">
      <c r="A64" s="1351"/>
      <c r="B64" s="1352"/>
      <c r="C64" s="1352"/>
      <c r="D64" s="267"/>
      <c r="E64" s="267"/>
      <c r="F64" s="267"/>
      <c r="G64" s="267"/>
      <c r="H64" s="267"/>
      <c r="I64" s="267"/>
      <c r="J64" s="267"/>
      <c r="K64" s="267"/>
      <c r="L64" s="267"/>
      <c r="M64" s="267"/>
      <c r="N64" s="267"/>
      <c r="O64" s="267"/>
      <c r="P64" s="267"/>
      <c r="Q64" s="267"/>
      <c r="R64" s="267"/>
      <c r="S64" s="267"/>
      <c r="T64" s="267"/>
      <c r="U64" s="267"/>
      <c r="V64" s="267"/>
      <c r="W64" s="267"/>
      <c r="X64" s="267"/>
      <c r="Y64" s="267"/>
    </row>
    <row r="65" spans="1:25" ht="15" hidden="1" x14ac:dyDescent="0.25">
      <c r="A65" s="1351"/>
      <c r="B65" s="1352"/>
      <c r="C65" s="1352"/>
      <c r="D65" s="267"/>
      <c r="E65" s="267"/>
      <c r="F65" s="267"/>
      <c r="G65" s="267"/>
      <c r="H65" s="267"/>
      <c r="I65" s="267"/>
      <c r="J65" s="267"/>
      <c r="K65" s="267"/>
      <c r="L65" s="267"/>
      <c r="M65" s="267"/>
      <c r="N65" s="267"/>
      <c r="O65" s="267"/>
      <c r="P65" s="267"/>
      <c r="Q65" s="267"/>
      <c r="R65" s="267"/>
      <c r="S65" s="267"/>
      <c r="T65" s="267"/>
      <c r="U65" s="267"/>
      <c r="V65" s="267"/>
      <c r="W65" s="267"/>
      <c r="X65" s="267"/>
      <c r="Y65" s="267"/>
    </row>
    <row r="66" spans="1:25" ht="15" hidden="1" x14ac:dyDescent="0.25">
      <c r="A66" s="1351"/>
      <c r="B66" s="1352"/>
      <c r="C66" s="1352"/>
      <c r="D66" s="122"/>
      <c r="E66" s="122"/>
      <c r="F66" s="123" t="s">
        <v>550</v>
      </c>
      <c r="G66" s="1362" t="s">
        <v>551</v>
      </c>
      <c r="H66" s="123"/>
      <c r="I66" s="123"/>
      <c r="J66" s="123"/>
      <c r="K66" s="123"/>
      <c r="L66" s="123"/>
      <c r="M66" s="123"/>
      <c r="N66" s="122"/>
      <c r="O66" s="122"/>
      <c r="P66" s="267"/>
      <c r="Q66" s="267"/>
      <c r="R66" s="267"/>
      <c r="S66" s="267"/>
      <c r="T66" s="267"/>
      <c r="U66" s="267"/>
      <c r="V66" s="267"/>
      <c r="W66" s="267"/>
      <c r="X66" s="267"/>
      <c r="Y66" s="267"/>
    </row>
    <row r="67" spans="1:25" ht="15" hidden="1" x14ac:dyDescent="0.25">
      <c r="A67" s="1351"/>
      <c r="B67" s="1352"/>
      <c r="C67" s="1352"/>
      <c r="D67" s="1363"/>
      <c r="E67" s="1363"/>
      <c r="F67" s="371" t="s">
        <v>552</v>
      </c>
      <c r="G67" s="371"/>
      <c r="H67" s="371"/>
      <c r="I67" s="371"/>
      <c r="J67" s="1364" t="s">
        <v>553</v>
      </c>
      <c r="K67" s="371"/>
      <c r="L67" s="371"/>
      <c r="M67" s="371"/>
      <c r="N67" s="371"/>
      <c r="O67" s="371"/>
      <c r="P67" s="267"/>
      <c r="Q67" s="267"/>
      <c r="R67" s="267"/>
      <c r="S67" s="267"/>
      <c r="T67" s="267"/>
      <c r="U67" s="267"/>
      <c r="V67" s="267"/>
      <c r="W67" s="267"/>
      <c r="X67" s="267"/>
      <c r="Y67" s="267"/>
    </row>
    <row r="68" spans="1:25" ht="15" hidden="1" x14ac:dyDescent="0.25">
      <c r="A68" s="1351"/>
      <c r="B68" s="1352"/>
      <c r="C68" s="1352"/>
      <c r="D68" s="371" t="s">
        <v>544</v>
      </c>
      <c r="E68" s="371"/>
      <c r="F68" s="185">
        <v>2001</v>
      </c>
      <c r="G68" s="185">
        <v>2007</v>
      </c>
      <c r="H68" s="185"/>
      <c r="I68" s="185"/>
      <c r="J68" s="1365">
        <v>2001</v>
      </c>
      <c r="K68" s="185">
        <v>2007</v>
      </c>
      <c r="L68" s="185"/>
      <c r="M68" s="185"/>
      <c r="N68" s="185"/>
      <c r="O68" s="185"/>
      <c r="P68" s="267"/>
      <c r="Q68" s="267"/>
      <c r="R68" s="267"/>
      <c r="S68" s="267"/>
      <c r="T68" s="267"/>
      <c r="U68" s="267"/>
      <c r="V68" s="267"/>
      <c r="W68" s="267"/>
      <c r="X68" s="267"/>
      <c r="Y68" s="267"/>
    </row>
    <row r="69" spans="1:25" ht="15" hidden="1" x14ac:dyDescent="0.25">
      <c r="A69" s="1351"/>
      <c r="B69" s="1352"/>
      <c r="C69" s="1352"/>
      <c r="D69" s="1355" t="s">
        <v>19</v>
      </c>
      <c r="E69" s="1355"/>
      <c r="F69" s="10">
        <v>24</v>
      </c>
      <c r="G69" s="10">
        <v>35</v>
      </c>
      <c r="H69" s="1366"/>
      <c r="I69" s="1366"/>
      <c r="J69" s="1367">
        <v>34</v>
      </c>
      <c r="K69" s="10">
        <v>36</v>
      </c>
      <c r="L69" s="10"/>
      <c r="M69" s="1366"/>
      <c r="N69" s="1366"/>
      <c r="O69" s="1366"/>
      <c r="P69" s="267"/>
      <c r="Q69" s="267"/>
      <c r="R69" s="267"/>
      <c r="S69" s="267"/>
      <c r="T69" s="267"/>
      <c r="U69" s="267"/>
      <c r="V69" s="267"/>
      <c r="W69" s="267"/>
      <c r="X69" s="267"/>
      <c r="Y69" s="267"/>
    </row>
    <row r="70" spans="1:25" ht="15" hidden="1" x14ac:dyDescent="0.25">
      <c r="A70" s="1351"/>
      <c r="B70" s="1352"/>
      <c r="C70" s="1352"/>
      <c r="D70" s="1355" t="s">
        <v>20</v>
      </c>
      <c r="E70" s="1355"/>
      <c r="F70" s="10">
        <v>27</v>
      </c>
      <c r="G70" s="10">
        <v>43</v>
      </c>
      <c r="H70" s="10"/>
      <c r="I70" s="10"/>
      <c r="J70" s="1367">
        <v>29</v>
      </c>
      <c r="K70" s="10">
        <v>42</v>
      </c>
      <c r="L70" s="10"/>
      <c r="M70" s="10"/>
      <c r="N70" s="10"/>
      <c r="O70" s="10"/>
      <c r="P70" s="267"/>
      <c r="Q70" s="267"/>
      <c r="R70" s="267"/>
      <c r="S70" s="267"/>
      <c r="T70" s="267"/>
      <c r="U70" s="267"/>
      <c r="V70" s="267"/>
      <c r="W70" s="267"/>
      <c r="X70" s="267"/>
      <c r="Y70" s="267"/>
    </row>
    <row r="71" spans="1:25" ht="15" hidden="1" x14ac:dyDescent="0.25">
      <c r="A71" s="1351"/>
      <c r="B71" s="1352"/>
      <c r="C71" s="1352"/>
      <c r="D71" s="1355" t="s">
        <v>21</v>
      </c>
      <c r="E71" s="1355"/>
      <c r="F71" s="10">
        <v>33</v>
      </c>
      <c r="G71" s="10">
        <v>38</v>
      </c>
      <c r="H71" s="10"/>
      <c r="I71" s="10"/>
      <c r="J71" s="1367">
        <v>32</v>
      </c>
      <c r="K71" s="10">
        <v>42</v>
      </c>
      <c r="L71" s="10"/>
      <c r="M71" s="10"/>
      <c r="N71" s="10"/>
      <c r="O71" s="10"/>
      <c r="P71" s="267"/>
      <c r="Q71" s="267"/>
      <c r="R71" s="267"/>
      <c r="S71" s="267"/>
      <c r="T71" s="267"/>
      <c r="U71" s="267"/>
      <c r="V71" s="267"/>
      <c r="W71" s="267"/>
      <c r="X71" s="267"/>
      <c r="Y71" s="267"/>
    </row>
    <row r="72" spans="1:25" ht="15" hidden="1" x14ac:dyDescent="0.25">
      <c r="A72" s="1351"/>
      <c r="B72" s="1352"/>
      <c r="C72" s="1352"/>
      <c r="D72" s="1355" t="s">
        <v>22</v>
      </c>
      <c r="E72" s="1355"/>
      <c r="F72" s="10">
        <v>35</v>
      </c>
      <c r="G72" s="10">
        <v>38</v>
      </c>
      <c r="H72" s="10"/>
      <c r="I72" s="10"/>
      <c r="J72" s="1367">
        <v>31</v>
      </c>
      <c r="K72" s="10">
        <v>36</v>
      </c>
      <c r="L72" s="10"/>
      <c r="M72" s="10"/>
      <c r="N72" s="10"/>
      <c r="O72" s="10"/>
      <c r="P72" s="267"/>
      <c r="Q72" s="267"/>
      <c r="R72" s="267"/>
      <c r="S72" s="267"/>
      <c r="T72" s="267"/>
      <c r="U72" s="267"/>
      <c r="V72" s="267"/>
      <c r="W72" s="267"/>
      <c r="X72" s="267"/>
      <c r="Y72" s="267"/>
    </row>
    <row r="73" spans="1:25" ht="15" hidden="1" x14ac:dyDescent="0.25">
      <c r="A73" s="1351"/>
      <c r="B73" s="1352"/>
      <c r="C73" s="1352"/>
      <c r="D73" s="1355" t="s">
        <v>23</v>
      </c>
      <c r="E73" s="1355"/>
      <c r="F73" s="10">
        <v>27</v>
      </c>
      <c r="G73" s="10">
        <v>29</v>
      </c>
      <c r="H73" s="1366"/>
      <c r="I73" s="1366"/>
      <c r="J73" s="1367">
        <v>24</v>
      </c>
      <c r="K73" s="10">
        <v>26</v>
      </c>
      <c r="L73" s="10"/>
      <c r="M73" s="1366"/>
      <c r="N73" s="1366"/>
      <c r="O73" s="1366"/>
      <c r="P73" s="267"/>
      <c r="Q73" s="267"/>
      <c r="R73" s="267"/>
      <c r="S73" s="267"/>
      <c r="T73" s="267"/>
      <c r="U73" s="267"/>
      <c r="V73" s="267"/>
      <c r="W73" s="267"/>
      <c r="X73" s="267"/>
      <c r="Y73" s="267"/>
    </row>
    <row r="74" spans="1:25" ht="15" hidden="1" x14ac:dyDescent="0.25">
      <c r="A74" s="1351"/>
      <c r="B74" s="1352"/>
      <c r="C74" s="1352"/>
      <c r="D74" s="1355" t="s">
        <v>24</v>
      </c>
      <c r="E74" s="1355"/>
      <c r="F74" s="10">
        <v>28</v>
      </c>
      <c r="G74" s="10">
        <v>32</v>
      </c>
      <c r="H74" s="10"/>
      <c r="I74" s="10"/>
      <c r="J74" s="1367">
        <v>29</v>
      </c>
      <c r="K74" s="10">
        <v>31</v>
      </c>
      <c r="L74" s="10"/>
      <c r="M74" s="10"/>
      <c r="N74" s="10"/>
      <c r="O74" s="10"/>
      <c r="P74" s="267"/>
      <c r="Q74" s="267"/>
      <c r="R74" s="267"/>
      <c r="S74" s="267"/>
      <c r="T74" s="267"/>
      <c r="U74" s="267"/>
      <c r="V74" s="267"/>
      <c r="W74" s="267"/>
      <c r="X74" s="267"/>
      <c r="Y74" s="267"/>
    </row>
    <row r="75" spans="1:25" ht="15" hidden="1" x14ac:dyDescent="0.25">
      <c r="A75" s="1351"/>
      <c r="B75" s="1352"/>
      <c r="C75" s="1352"/>
      <c r="D75" s="1355" t="s">
        <v>25</v>
      </c>
      <c r="E75" s="1355"/>
      <c r="F75" s="10">
        <v>29</v>
      </c>
      <c r="G75" s="10">
        <v>35</v>
      </c>
      <c r="H75" s="10"/>
      <c r="I75" s="10"/>
      <c r="J75" s="1367">
        <v>25</v>
      </c>
      <c r="K75" s="10">
        <v>29</v>
      </c>
      <c r="L75" s="10"/>
      <c r="M75" s="10"/>
      <c r="N75" s="10"/>
      <c r="O75" s="10"/>
      <c r="P75" s="267"/>
      <c r="Q75" s="267"/>
      <c r="R75" s="267"/>
      <c r="S75" s="267"/>
      <c r="T75" s="267"/>
      <c r="U75" s="267"/>
      <c r="V75" s="267"/>
      <c r="W75" s="267"/>
      <c r="X75" s="267"/>
      <c r="Y75" s="267"/>
    </row>
    <row r="76" spans="1:25" ht="15" hidden="1" x14ac:dyDescent="0.25">
      <c r="A76" s="1351"/>
      <c r="B76" s="1352"/>
      <c r="C76" s="1352"/>
      <c r="D76" s="1355" t="s">
        <v>26</v>
      </c>
      <c r="E76" s="1355"/>
      <c r="F76" s="10">
        <v>23</v>
      </c>
      <c r="G76" s="10">
        <v>34</v>
      </c>
      <c r="H76" s="10"/>
      <c r="I76" s="10"/>
      <c r="J76" s="1367">
        <v>26</v>
      </c>
      <c r="K76" s="10">
        <v>31</v>
      </c>
      <c r="L76" s="10"/>
      <c r="M76" s="10"/>
      <c r="N76" s="10"/>
      <c r="O76" s="10"/>
      <c r="P76" s="267"/>
      <c r="Q76" s="267"/>
      <c r="R76" s="267"/>
      <c r="S76" s="267"/>
      <c r="T76" s="267"/>
      <c r="U76" s="267"/>
      <c r="V76" s="267"/>
      <c r="W76" s="267"/>
      <c r="X76" s="267"/>
      <c r="Y76" s="267"/>
    </row>
    <row r="77" spans="1:25" ht="15" hidden="1" x14ac:dyDescent="0.25">
      <c r="A77" s="1351"/>
      <c r="B77" s="1352"/>
      <c r="C77" s="1352"/>
      <c r="D77" s="1358" t="s">
        <v>27</v>
      </c>
      <c r="E77" s="1358"/>
      <c r="F77" s="1357">
        <v>33</v>
      </c>
      <c r="G77" s="1357">
        <v>48</v>
      </c>
      <c r="H77" s="1357"/>
      <c r="I77" s="1357"/>
      <c r="J77" s="1368">
        <v>32</v>
      </c>
      <c r="K77" s="1357">
        <v>49</v>
      </c>
      <c r="L77" s="1357"/>
      <c r="M77" s="1357"/>
      <c r="N77" s="10"/>
      <c r="O77" s="10"/>
      <c r="P77" s="267"/>
      <c r="Q77" s="267"/>
      <c r="R77" s="267"/>
      <c r="S77" s="267"/>
      <c r="T77" s="267"/>
      <c r="U77" s="267"/>
      <c r="V77" s="267"/>
      <c r="W77" s="267"/>
      <c r="X77" s="267"/>
      <c r="Y77" s="267"/>
    </row>
    <row r="78" spans="1:25" ht="15" hidden="1" x14ac:dyDescent="0.25">
      <c r="A78" s="1351"/>
      <c r="B78" s="1352"/>
      <c r="C78" s="1352"/>
      <c r="D78" s="1348"/>
      <c r="E78" s="1348"/>
      <c r="F78" s="1348"/>
      <c r="G78" s="1369"/>
      <c r="H78" s="1369"/>
      <c r="I78" s="1369"/>
      <c r="J78" s="1369"/>
      <c r="K78" s="1369"/>
      <c r="L78" s="1369"/>
      <c r="M78" s="1369"/>
      <c r="N78" s="1369"/>
      <c r="O78" s="1369"/>
      <c r="P78" s="267"/>
      <c r="Q78" s="267"/>
      <c r="R78" s="267"/>
      <c r="S78" s="267"/>
      <c r="T78" s="267"/>
      <c r="U78" s="267"/>
      <c r="V78" s="267"/>
      <c r="W78" s="267"/>
      <c r="X78" s="267"/>
      <c r="Y78" s="267"/>
    </row>
    <row r="79" spans="1:25" ht="15" hidden="1" x14ac:dyDescent="0.25">
      <c r="A79" s="1351"/>
      <c r="B79" s="1352"/>
      <c r="C79" s="1352"/>
      <c r="D79" s="267"/>
      <c r="E79" s="267"/>
      <c r="F79" s="267"/>
      <c r="G79" s="267"/>
      <c r="H79" s="267"/>
      <c r="I79" s="267"/>
      <c r="J79" s="267"/>
      <c r="K79" s="267"/>
      <c r="L79" s="267"/>
      <c r="M79" s="267"/>
      <c r="N79" s="267"/>
      <c r="O79" s="267"/>
      <c r="P79" s="267"/>
      <c r="Q79" s="267"/>
      <c r="R79" s="267"/>
      <c r="S79" s="267"/>
      <c r="T79" s="267"/>
      <c r="U79" s="267"/>
      <c r="V79" s="267"/>
      <c r="W79" s="267"/>
      <c r="X79" s="267"/>
      <c r="Y79" s="267"/>
    </row>
    <row r="80" spans="1:25" ht="15" hidden="1" x14ac:dyDescent="0.25">
      <c r="A80" s="1351"/>
      <c r="B80" s="1352"/>
      <c r="C80" s="1352"/>
      <c r="D80" s="267"/>
      <c r="E80" s="267"/>
      <c r="F80" s="267"/>
      <c r="G80" s="267"/>
      <c r="H80" s="267"/>
      <c r="I80" s="267"/>
      <c r="J80" s="267"/>
      <c r="K80" s="267"/>
      <c r="L80" s="267"/>
      <c r="M80" s="267"/>
      <c r="N80" s="267"/>
      <c r="O80" s="267"/>
      <c r="P80" s="267"/>
      <c r="Q80" s="267"/>
      <c r="R80" s="267"/>
      <c r="S80" s="267"/>
      <c r="T80" s="267"/>
      <c r="U80" s="267"/>
      <c r="V80" s="267"/>
      <c r="W80" s="267"/>
      <c r="X80" s="267"/>
      <c r="Y80" s="267"/>
    </row>
    <row r="81" spans="1:25" ht="15" hidden="1" x14ac:dyDescent="0.25">
      <c r="A81" s="1351"/>
      <c r="B81" s="1352"/>
      <c r="C81" s="1352"/>
      <c r="D81" s="267"/>
      <c r="E81" s="267"/>
      <c r="F81" s="267"/>
      <c r="G81" s="267"/>
      <c r="H81" s="267"/>
      <c r="I81" s="267"/>
      <c r="J81" s="267"/>
      <c r="K81" s="267"/>
      <c r="L81" s="267"/>
      <c r="M81" s="267"/>
      <c r="N81" s="267"/>
      <c r="O81" s="267"/>
      <c r="P81" s="267"/>
      <c r="Q81" s="267"/>
      <c r="R81" s="267"/>
      <c r="S81" s="267"/>
      <c r="T81" s="267"/>
      <c r="U81" s="267"/>
      <c r="V81" s="267"/>
      <c r="W81" s="267"/>
      <c r="X81" s="267"/>
      <c r="Y81" s="267"/>
    </row>
    <row r="82" spans="1:25" ht="15" hidden="1" x14ac:dyDescent="0.25">
      <c r="A82" s="1351"/>
      <c r="B82" s="1352"/>
      <c r="C82" s="1352"/>
      <c r="D82" s="267"/>
      <c r="E82" s="267"/>
      <c r="F82" s="267"/>
      <c r="G82" s="267"/>
      <c r="H82" s="267"/>
      <c r="I82" s="267"/>
      <c r="J82" s="267"/>
      <c r="K82" s="267"/>
      <c r="L82" s="267"/>
      <c r="M82" s="267"/>
      <c r="N82" s="267"/>
      <c r="O82" s="267"/>
      <c r="P82" s="267"/>
      <c r="Q82" s="267"/>
      <c r="R82" s="267"/>
      <c r="S82" s="267"/>
      <c r="T82" s="267"/>
      <c r="U82" s="267"/>
      <c r="V82" s="267"/>
      <c r="W82" s="267"/>
      <c r="X82" s="267"/>
      <c r="Y82" s="267"/>
    </row>
    <row r="83" spans="1:25" ht="15" hidden="1" x14ac:dyDescent="0.25">
      <c r="A83" s="1351"/>
      <c r="B83" s="1352"/>
      <c r="C83" s="1352"/>
      <c r="D83" s="267"/>
      <c r="E83" s="267"/>
      <c r="F83" s="267"/>
      <c r="G83" s="267"/>
      <c r="H83" s="267"/>
      <c r="I83" s="267"/>
      <c r="J83" s="267"/>
      <c r="K83" s="267"/>
      <c r="L83" s="267"/>
      <c r="M83" s="267"/>
      <c r="N83" s="267"/>
      <c r="O83" s="267"/>
      <c r="P83" s="267"/>
      <c r="Q83" s="267"/>
      <c r="R83" s="267"/>
      <c r="S83" s="267"/>
      <c r="T83" s="267"/>
      <c r="U83" s="267"/>
      <c r="V83" s="267"/>
      <c r="W83" s="267"/>
      <c r="X83" s="267"/>
      <c r="Y83" s="267"/>
    </row>
    <row r="84" spans="1:25" ht="15" hidden="1" x14ac:dyDescent="0.25">
      <c r="A84" s="1351"/>
      <c r="B84" s="1352"/>
      <c r="C84" s="1352"/>
      <c r="D84" s="267"/>
      <c r="E84" s="267"/>
      <c r="F84" s="267"/>
      <c r="G84" s="267"/>
      <c r="H84" s="267"/>
      <c r="I84" s="267"/>
      <c r="J84" s="267"/>
      <c r="K84" s="267"/>
      <c r="L84" s="267"/>
      <c r="M84" s="267"/>
      <c r="N84" s="267"/>
      <c r="O84" s="267"/>
      <c r="P84" s="267"/>
      <c r="Q84" s="267"/>
      <c r="R84" s="267"/>
      <c r="S84" s="267"/>
      <c r="T84" s="267"/>
      <c r="U84" s="267"/>
      <c r="V84" s="267"/>
      <c r="W84" s="267"/>
      <c r="X84" s="267"/>
      <c r="Y84" s="267"/>
    </row>
    <row r="85" spans="1:25" ht="15" x14ac:dyDescent="0.25">
      <c r="A85" s="1351"/>
      <c r="B85" s="1352"/>
      <c r="C85" s="1352"/>
      <c r="D85" s="267"/>
      <c r="E85" s="267"/>
      <c r="F85" s="267"/>
      <c r="G85" s="267"/>
      <c r="H85" s="267"/>
      <c r="I85" s="267"/>
      <c r="J85" s="267"/>
      <c r="K85" s="267"/>
      <c r="L85" s="267"/>
      <c r="M85" s="267"/>
      <c r="N85" s="267"/>
      <c r="O85" s="267"/>
      <c r="P85" s="267"/>
      <c r="Q85" s="267"/>
      <c r="R85" s="267"/>
      <c r="S85" s="267"/>
      <c r="T85" s="267"/>
      <c r="U85" s="267"/>
      <c r="V85" s="267"/>
      <c r="W85" s="267"/>
      <c r="X85" s="267"/>
      <c r="Y85" s="267"/>
    </row>
    <row r="86" spans="1:25" ht="15" x14ac:dyDescent="0.25">
      <c r="A86" s="1351"/>
      <c r="B86" s="1352"/>
      <c r="C86" s="1352"/>
      <c r="D86" s="267"/>
      <c r="E86" s="267"/>
      <c r="F86" s="267"/>
      <c r="G86" s="267"/>
      <c r="H86" s="267"/>
      <c r="I86" s="267"/>
      <c r="J86" s="267"/>
      <c r="K86" s="267"/>
      <c r="L86" s="267"/>
      <c r="M86" s="267"/>
      <c r="N86" s="267"/>
      <c r="O86" s="267"/>
      <c r="P86" s="267"/>
      <c r="U86" s="267"/>
      <c r="V86" s="267"/>
      <c r="W86" s="267"/>
      <c r="X86" s="267"/>
      <c r="Y86" s="267"/>
    </row>
  </sheetData>
  <mergeCells count="14">
    <mergeCell ref="D26:S26"/>
    <mergeCell ref="F35:J35"/>
    <mergeCell ref="F50:J50"/>
    <mergeCell ref="E8:H8"/>
    <mergeCell ref="I8:L8"/>
    <mergeCell ref="M8:P8"/>
    <mergeCell ref="D23:S23"/>
    <mergeCell ref="D24:S24"/>
    <mergeCell ref="D25:S25"/>
    <mergeCell ref="X6:Z6"/>
    <mergeCell ref="D2:T2"/>
    <mergeCell ref="D3:T3"/>
    <mergeCell ref="D4:T4"/>
    <mergeCell ref="U6:W6"/>
  </mergeCells>
  <pageMargins left="0.74803149606299202" right="0.74803149606299202" top="0.98425196850393704" bottom="0.98425196850393704" header="0.511811023622047" footer="0.511811023622047"/>
  <pageSetup paperSize="9" scale="6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45"/>
  <sheetViews>
    <sheetView showGridLines="0" view="pageBreakPreview" topLeftCell="A8" zoomScaleNormal="100" zoomScaleSheetLayoutView="100" workbookViewId="0">
      <selection activeCell="D39" sqref="D39:Q39"/>
    </sheetView>
  </sheetViews>
  <sheetFormatPr defaultColWidth="9.140625" defaultRowHeight="15" x14ac:dyDescent="0.25"/>
  <cols>
    <col min="1" max="1" width="3.7109375" style="1351" customWidth="1"/>
    <col min="2" max="2" width="14.42578125" style="1352" customWidth="1"/>
    <col min="3" max="3" width="3.7109375" style="1352" customWidth="1"/>
    <col min="4" max="4" width="20.140625" style="267" customWidth="1"/>
    <col min="5" max="5" width="11.5703125" style="1425" customWidth="1"/>
    <col min="6" max="8" width="11.5703125" style="267" customWidth="1"/>
    <col min="9" max="9" width="9.42578125" style="267" customWidth="1"/>
    <col min="10" max="14" width="11.5703125" style="267" customWidth="1"/>
    <col min="15" max="15" width="8.85546875" style="267" customWidth="1"/>
    <col min="16" max="16" width="10.42578125" style="267" customWidth="1"/>
    <col min="17" max="23" width="7.7109375" style="267" customWidth="1"/>
    <col min="24" max="24" width="10.42578125" style="267" bestFit="1" customWidth="1"/>
    <col min="25" max="260" width="9.140625" style="267"/>
    <col min="261" max="261" width="3.7109375" style="267" customWidth="1"/>
    <col min="262" max="262" width="14.42578125" style="267" customWidth="1"/>
    <col min="263" max="263" width="3.7109375" style="267" customWidth="1"/>
    <col min="264" max="264" width="20.140625" style="267" customWidth="1"/>
    <col min="265" max="265" width="6.28515625" style="267" customWidth="1"/>
    <col min="266" max="271" width="11.5703125" style="267" customWidth="1"/>
    <col min="272" max="273" width="8.85546875" style="267" customWidth="1"/>
    <col min="274" max="279" width="7.7109375" style="267" customWidth="1"/>
    <col min="280" max="280" width="10.42578125" style="267" bestFit="1" customWidth="1"/>
    <col min="281" max="516" width="9.140625" style="267"/>
    <col min="517" max="517" width="3.7109375" style="267" customWidth="1"/>
    <col min="518" max="518" width="14.42578125" style="267" customWidth="1"/>
    <col min="519" max="519" width="3.7109375" style="267" customWidth="1"/>
    <col min="520" max="520" width="20.140625" style="267" customWidth="1"/>
    <col min="521" max="521" width="6.28515625" style="267" customWidth="1"/>
    <col min="522" max="527" width="11.5703125" style="267" customWidth="1"/>
    <col min="528" max="529" width="8.85546875" style="267" customWidth="1"/>
    <col min="530" max="535" width="7.7109375" style="267" customWidth="1"/>
    <col min="536" max="536" width="10.42578125" style="267" bestFit="1" customWidth="1"/>
    <col min="537" max="772" width="9.140625" style="267"/>
    <col min="773" max="773" width="3.7109375" style="267" customWidth="1"/>
    <col min="774" max="774" width="14.42578125" style="267" customWidth="1"/>
    <col min="775" max="775" width="3.7109375" style="267" customWidth="1"/>
    <col min="776" max="776" width="20.140625" style="267" customWidth="1"/>
    <col min="777" max="777" width="6.28515625" style="267" customWidth="1"/>
    <col min="778" max="783" width="11.5703125" style="267" customWidth="1"/>
    <col min="784" max="785" width="8.85546875" style="267" customWidth="1"/>
    <col min="786" max="791" width="7.7109375" style="267" customWidth="1"/>
    <col min="792" max="792" width="10.42578125" style="267" bestFit="1" customWidth="1"/>
    <col min="793" max="1028" width="9.140625" style="267"/>
    <col min="1029" max="1029" width="3.7109375" style="267" customWidth="1"/>
    <col min="1030" max="1030" width="14.42578125" style="267" customWidth="1"/>
    <col min="1031" max="1031" width="3.7109375" style="267" customWidth="1"/>
    <col min="1032" max="1032" width="20.140625" style="267" customWidth="1"/>
    <col min="1033" max="1033" width="6.28515625" style="267" customWidth="1"/>
    <col min="1034" max="1039" width="11.5703125" style="267" customWidth="1"/>
    <col min="1040" max="1041" width="8.85546875" style="267" customWidth="1"/>
    <col min="1042" max="1047" width="7.7109375" style="267" customWidth="1"/>
    <col min="1048" max="1048" width="10.42578125" style="267" bestFit="1" customWidth="1"/>
    <col min="1049" max="1284" width="9.140625" style="267"/>
    <col min="1285" max="1285" width="3.7109375" style="267" customWidth="1"/>
    <col min="1286" max="1286" width="14.42578125" style="267" customWidth="1"/>
    <col min="1287" max="1287" width="3.7109375" style="267" customWidth="1"/>
    <col min="1288" max="1288" width="20.140625" style="267" customWidth="1"/>
    <col min="1289" max="1289" width="6.28515625" style="267" customWidth="1"/>
    <col min="1290" max="1295" width="11.5703125" style="267" customWidth="1"/>
    <col min="1296" max="1297" width="8.85546875" style="267" customWidth="1"/>
    <col min="1298" max="1303" width="7.7109375" style="267" customWidth="1"/>
    <col min="1304" max="1304" width="10.42578125" style="267" bestFit="1" customWidth="1"/>
    <col min="1305" max="1540" width="9.140625" style="267"/>
    <col min="1541" max="1541" width="3.7109375" style="267" customWidth="1"/>
    <col min="1542" max="1542" width="14.42578125" style="267" customWidth="1"/>
    <col min="1543" max="1543" width="3.7109375" style="267" customWidth="1"/>
    <col min="1544" max="1544" width="20.140625" style="267" customWidth="1"/>
    <col min="1545" max="1545" width="6.28515625" style="267" customWidth="1"/>
    <col min="1546" max="1551" width="11.5703125" style="267" customWidth="1"/>
    <col min="1552" max="1553" width="8.85546875" style="267" customWidth="1"/>
    <col min="1554" max="1559" width="7.7109375" style="267" customWidth="1"/>
    <col min="1560" max="1560" width="10.42578125" style="267" bestFit="1" customWidth="1"/>
    <col min="1561" max="1796" width="9.140625" style="267"/>
    <col min="1797" max="1797" width="3.7109375" style="267" customWidth="1"/>
    <col min="1798" max="1798" width="14.42578125" style="267" customWidth="1"/>
    <col min="1799" max="1799" width="3.7109375" style="267" customWidth="1"/>
    <col min="1800" max="1800" width="20.140625" style="267" customWidth="1"/>
    <col min="1801" max="1801" width="6.28515625" style="267" customWidth="1"/>
    <col min="1802" max="1807" width="11.5703125" style="267" customWidth="1"/>
    <col min="1808" max="1809" width="8.85546875" style="267" customWidth="1"/>
    <col min="1810" max="1815" width="7.7109375" style="267" customWidth="1"/>
    <col min="1816" max="1816" width="10.42578125" style="267" bestFit="1" customWidth="1"/>
    <col min="1817" max="2052" width="9.140625" style="267"/>
    <col min="2053" max="2053" width="3.7109375" style="267" customWidth="1"/>
    <col min="2054" max="2054" width="14.42578125" style="267" customWidth="1"/>
    <col min="2055" max="2055" width="3.7109375" style="267" customWidth="1"/>
    <col min="2056" max="2056" width="20.140625" style="267" customWidth="1"/>
    <col min="2057" max="2057" width="6.28515625" style="267" customWidth="1"/>
    <col min="2058" max="2063" width="11.5703125" style="267" customWidth="1"/>
    <col min="2064" max="2065" width="8.85546875" style="267" customWidth="1"/>
    <col min="2066" max="2071" width="7.7109375" style="267" customWidth="1"/>
    <col min="2072" max="2072" width="10.42578125" style="267" bestFit="1" customWidth="1"/>
    <col min="2073" max="2308" width="9.140625" style="267"/>
    <col min="2309" max="2309" width="3.7109375" style="267" customWidth="1"/>
    <col min="2310" max="2310" width="14.42578125" style="267" customWidth="1"/>
    <col min="2311" max="2311" width="3.7109375" style="267" customWidth="1"/>
    <col min="2312" max="2312" width="20.140625" style="267" customWidth="1"/>
    <col min="2313" max="2313" width="6.28515625" style="267" customWidth="1"/>
    <col min="2314" max="2319" width="11.5703125" style="267" customWidth="1"/>
    <col min="2320" max="2321" width="8.85546875" style="267" customWidth="1"/>
    <col min="2322" max="2327" width="7.7109375" style="267" customWidth="1"/>
    <col min="2328" max="2328" width="10.42578125" style="267" bestFit="1" customWidth="1"/>
    <col min="2329" max="2564" width="9.140625" style="267"/>
    <col min="2565" max="2565" width="3.7109375" style="267" customWidth="1"/>
    <col min="2566" max="2566" width="14.42578125" style="267" customWidth="1"/>
    <col min="2567" max="2567" width="3.7109375" style="267" customWidth="1"/>
    <col min="2568" max="2568" width="20.140625" style="267" customWidth="1"/>
    <col min="2569" max="2569" width="6.28515625" style="267" customWidth="1"/>
    <col min="2570" max="2575" width="11.5703125" style="267" customWidth="1"/>
    <col min="2576" max="2577" width="8.85546875" style="267" customWidth="1"/>
    <col min="2578" max="2583" width="7.7109375" style="267" customWidth="1"/>
    <col min="2584" max="2584" width="10.42578125" style="267" bestFit="1" customWidth="1"/>
    <col min="2585" max="2820" width="9.140625" style="267"/>
    <col min="2821" max="2821" width="3.7109375" style="267" customWidth="1"/>
    <col min="2822" max="2822" width="14.42578125" style="267" customWidth="1"/>
    <col min="2823" max="2823" width="3.7109375" style="267" customWidth="1"/>
    <col min="2824" max="2824" width="20.140625" style="267" customWidth="1"/>
    <col min="2825" max="2825" width="6.28515625" style="267" customWidth="1"/>
    <col min="2826" max="2831" width="11.5703125" style="267" customWidth="1"/>
    <col min="2832" max="2833" width="8.85546875" style="267" customWidth="1"/>
    <col min="2834" max="2839" width="7.7109375" style="267" customWidth="1"/>
    <col min="2840" max="2840" width="10.42578125" style="267" bestFit="1" customWidth="1"/>
    <col min="2841" max="3076" width="9.140625" style="267"/>
    <col min="3077" max="3077" width="3.7109375" style="267" customWidth="1"/>
    <col min="3078" max="3078" width="14.42578125" style="267" customWidth="1"/>
    <col min="3079" max="3079" width="3.7109375" style="267" customWidth="1"/>
    <col min="3080" max="3080" width="20.140625" style="267" customWidth="1"/>
    <col min="3081" max="3081" width="6.28515625" style="267" customWidth="1"/>
    <col min="3082" max="3087" width="11.5703125" style="267" customWidth="1"/>
    <col min="3088" max="3089" width="8.85546875" style="267" customWidth="1"/>
    <col min="3090" max="3095" width="7.7109375" style="267" customWidth="1"/>
    <col min="3096" max="3096" width="10.42578125" style="267" bestFit="1" customWidth="1"/>
    <col min="3097" max="3332" width="9.140625" style="267"/>
    <col min="3333" max="3333" width="3.7109375" style="267" customWidth="1"/>
    <col min="3334" max="3334" width="14.42578125" style="267" customWidth="1"/>
    <col min="3335" max="3335" width="3.7109375" style="267" customWidth="1"/>
    <col min="3336" max="3336" width="20.140625" style="267" customWidth="1"/>
    <col min="3337" max="3337" width="6.28515625" style="267" customWidth="1"/>
    <col min="3338" max="3343" width="11.5703125" style="267" customWidth="1"/>
    <col min="3344" max="3345" width="8.85546875" style="267" customWidth="1"/>
    <col min="3346" max="3351" width="7.7109375" style="267" customWidth="1"/>
    <col min="3352" max="3352" width="10.42578125" style="267" bestFit="1" customWidth="1"/>
    <col min="3353" max="3588" width="9.140625" style="267"/>
    <col min="3589" max="3589" width="3.7109375" style="267" customWidth="1"/>
    <col min="3590" max="3590" width="14.42578125" style="267" customWidth="1"/>
    <col min="3591" max="3591" width="3.7109375" style="267" customWidth="1"/>
    <col min="3592" max="3592" width="20.140625" style="267" customWidth="1"/>
    <col min="3593" max="3593" width="6.28515625" style="267" customWidth="1"/>
    <col min="3594" max="3599" width="11.5703125" style="267" customWidth="1"/>
    <col min="3600" max="3601" width="8.85546875" style="267" customWidth="1"/>
    <col min="3602" max="3607" width="7.7109375" style="267" customWidth="1"/>
    <col min="3608" max="3608" width="10.42578125" style="267" bestFit="1" customWidth="1"/>
    <col min="3609" max="3844" width="9.140625" style="267"/>
    <col min="3845" max="3845" width="3.7109375" style="267" customWidth="1"/>
    <col min="3846" max="3846" width="14.42578125" style="267" customWidth="1"/>
    <col min="3847" max="3847" width="3.7109375" style="267" customWidth="1"/>
    <col min="3848" max="3848" width="20.140625" style="267" customWidth="1"/>
    <col min="3849" max="3849" width="6.28515625" style="267" customWidth="1"/>
    <col min="3850" max="3855" width="11.5703125" style="267" customWidth="1"/>
    <col min="3856" max="3857" width="8.85546875" style="267" customWidth="1"/>
    <col min="3858" max="3863" width="7.7109375" style="267" customWidth="1"/>
    <col min="3864" max="3864" width="10.42578125" style="267" bestFit="1" customWidth="1"/>
    <col min="3865" max="4100" width="9.140625" style="267"/>
    <col min="4101" max="4101" width="3.7109375" style="267" customWidth="1"/>
    <col min="4102" max="4102" width="14.42578125" style="267" customWidth="1"/>
    <col min="4103" max="4103" width="3.7109375" style="267" customWidth="1"/>
    <col min="4104" max="4104" width="20.140625" style="267" customWidth="1"/>
    <col min="4105" max="4105" width="6.28515625" style="267" customWidth="1"/>
    <col min="4106" max="4111" width="11.5703125" style="267" customWidth="1"/>
    <col min="4112" max="4113" width="8.85546875" style="267" customWidth="1"/>
    <col min="4114" max="4119" width="7.7109375" style="267" customWidth="1"/>
    <col min="4120" max="4120" width="10.42578125" style="267" bestFit="1" customWidth="1"/>
    <col min="4121" max="4356" width="9.140625" style="267"/>
    <col min="4357" max="4357" width="3.7109375" style="267" customWidth="1"/>
    <col min="4358" max="4358" width="14.42578125" style="267" customWidth="1"/>
    <col min="4359" max="4359" width="3.7109375" style="267" customWidth="1"/>
    <col min="4360" max="4360" width="20.140625" style="267" customWidth="1"/>
    <col min="4361" max="4361" width="6.28515625" style="267" customWidth="1"/>
    <col min="4362" max="4367" width="11.5703125" style="267" customWidth="1"/>
    <col min="4368" max="4369" width="8.85546875" style="267" customWidth="1"/>
    <col min="4370" max="4375" width="7.7109375" style="267" customWidth="1"/>
    <col min="4376" max="4376" width="10.42578125" style="267" bestFit="1" customWidth="1"/>
    <col min="4377" max="4612" width="9.140625" style="267"/>
    <col min="4613" max="4613" width="3.7109375" style="267" customWidth="1"/>
    <col min="4614" max="4614" width="14.42578125" style="267" customWidth="1"/>
    <col min="4615" max="4615" width="3.7109375" style="267" customWidth="1"/>
    <col min="4616" max="4616" width="20.140625" style="267" customWidth="1"/>
    <col min="4617" max="4617" width="6.28515625" style="267" customWidth="1"/>
    <col min="4618" max="4623" width="11.5703125" style="267" customWidth="1"/>
    <col min="4624" max="4625" width="8.85546875" style="267" customWidth="1"/>
    <col min="4626" max="4631" width="7.7109375" style="267" customWidth="1"/>
    <col min="4632" max="4632" width="10.42578125" style="267" bestFit="1" customWidth="1"/>
    <col min="4633" max="4868" width="9.140625" style="267"/>
    <col min="4869" max="4869" width="3.7109375" style="267" customWidth="1"/>
    <col min="4870" max="4870" width="14.42578125" style="267" customWidth="1"/>
    <col min="4871" max="4871" width="3.7109375" style="267" customWidth="1"/>
    <col min="4872" max="4872" width="20.140625" style="267" customWidth="1"/>
    <col min="4873" max="4873" width="6.28515625" style="267" customWidth="1"/>
    <col min="4874" max="4879" width="11.5703125" style="267" customWidth="1"/>
    <col min="4880" max="4881" width="8.85546875" style="267" customWidth="1"/>
    <col min="4882" max="4887" width="7.7109375" style="267" customWidth="1"/>
    <col min="4888" max="4888" width="10.42578125" style="267" bestFit="1" customWidth="1"/>
    <col min="4889" max="5124" width="9.140625" style="267"/>
    <col min="5125" max="5125" width="3.7109375" style="267" customWidth="1"/>
    <col min="5126" max="5126" width="14.42578125" style="267" customWidth="1"/>
    <col min="5127" max="5127" width="3.7109375" style="267" customWidth="1"/>
    <col min="5128" max="5128" width="20.140625" style="267" customWidth="1"/>
    <col min="5129" max="5129" width="6.28515625" style="267" customWidth="1"/>
    <col min="5130" max="5135" width="11.5703125" style="267" customWidth="1"/>
    <col min="5136" max="5137" width="8.85546875" style="267" customWidth="1"/>
    <col min="5138" max="5143" width="7.7109375" style="267" customWidth="1"/>
    <col min="5144" max="5144" width="10.42578125" style="267" bestFit="1" customWidth="1"/>
    <col min="5145" max="5380" width="9.140625" style="267"/>
    <col min="5381" max="5381" width="3.7109375" style="267" customWidth="1"/>
    <col min="5382" max="5382" width="14.42578125" style="267" customWidth="1"/>
    <col min="5383" max="5383" width="3.7109375" style="267" customWidth="1"/>
    <col min="5384" max="5384" width="20.140625" style="267" customWidth="1"/>
    <col min="5385" max="5385" width="6.28515625" style="267" customWidth="1"/>
    <col min="5386" max="5391" width="11.5703125" style="267" customWidth="1"/>
    <col min="5392" max="5393" width="8.85546875" style="267" customWidth="1"/>
    <col min="5394" max="5399" width="7.7109375" style="267" customWidth="1"/>
    <col min="5400" max="5400" width="10.42578125" style="267" bestFit="1" customWidth="1"/>
    <col min="5401" max="5636" width="9.140625" style="267"/>
    <col min="5637" max="5637" width="3.7109375" style="267" customWidth="1"/>
    <col min="5638" max="5638" width="14.42578125" style="267" customWidth="1"/>
    <col min="5639" max="5639" width="3.7109375" style="267" customWidth="1"/>
    <col min="5640" max="5640" width="20.140625" style="267" customWidth="1"/>
    <col min="5641" max="5641" width="6.28515625" style="267" customWidth="1"/>
    <col min="5642" max="5647" width="11.5703125" style="267" customWidth="1"/>
    <col min="5648" max="5649" width="8.85546875" style="267" customWidth="1"/>
    <col min="5650" max="5655" width="7.7109375" style="267" customWidth="1"/>
    <col min="5656" max="5656" width="10.42578125" style="267" bestFit="1" customWidth="1"/>
    <col min="5657" max="5892" width="9.140625" style="267"/>
    <col min="5893" max="5893" width="3.7109375" style="267" customWidth="1"/>
    <col min="5894" max="5894" width="14.42578125" style="267" customWidth="1"/>
    <col min="5895" max="5895" width="3.7109375" style="267" customWidth="1"/>
    <col min="5896" max="5896" width="20.140625" style="267" customWidth="1"/>
    <col min="5897" max="5897" width="6.28515625" style="267" customWidth="1"/>
    <col min="5898" max="5903" width="11.5703125" style="267" customWidth="1"/>
    <col min="5904" max="5905" width="8.85546875" style="267" customWidth="1"/>
    <col min="5906" max="5911" width="7.7109375" style="267" customWidth="1"/>
    <col min="5912" max="5912" width="10.42578125" style="267" bestFit="1" customWidth="1"/>
    <col min="5913" max="6148" width="9.140625" style="267"/>
    <col min="6149" max="6149" width="3.7109375" style="267" customWidth="1"/>
    <col min="6150" max="6150" width="14.42578125" style="267" customWidth="1"/>
    <col min="6151" max="6151" width="3.7109375" style="267" customWidth="1"/>
    <col min="6152" max="6152" width="20.140625" style="267" customWidth="1"/>
    <col min="6153" max="6153" width="6.28515625" style="267" customWidth="1"/>
    <col min="6154" max="6159" width="11.5703125" style="267" customWidth="1"/>
    <col min="6160" max="6161" width="8.85546875" style="267" customWidth="1"/>
    <col min="6162" max="6167" width="7.7109375" style="267" customWidth="1"/>
    <col min="6168" max="6168" width="10.42578125" style="267" bestFit="1" customWidth="1"/>
    <col min="6169" max="6404" width="9.140625" style="267"/>
    <col min="6405" max="6405" width="3.7109375" style="267" customWidth="1"/>
    <col min="6406" max="6406" width="14.42578125" style="267" customWidth="1"/>
    <col min="6407" max="6407" width="3.7109375" style="267" customWidth="1"/>
    <col min="6408" max="6408" width="20.140625" style="267" customWidth="1"/>
    <col min="6409" max="6409" width="6.28515625" style="267" customWidth="1"/>
    <col min="6410" max="6415" width="11.5703125" style="267" customWidth="1"/>
    <col min="6416" max="6417" width="8.85546875" style="267" customWidth="1"/>
    <col min="6418" max="6423" width="7.7109375" style="267" customWidth="1"/>
    <col min="6424" max="6424" width="10.42578125" style="267" bestFit="1" customWidth="1"/>
    <col min="6425" max="6660" width="9.140625" style="267"/>
    <col min="6661" max="6661" width="3.7109375" style="267" customWidth="1"/>
    <col min="6662" max="6662" width="14.42578125" style="267" customWidth="1"/>
    <col min="6663" max="6663" width="3.7109375" style="267" customWidth="1"/>
    <col min="6664" max="6664" width="20.140625" style="267" customWidth="1"/>
    <col min="6665" max="6665" width="6.28515625" style="267" customWidth="1"/>
    <col min="6666" max="6671" width="11.5703125" style="267" customWidth="1"/>
    <col min="6672" max="6673" width="8.85546875" style="267" customWidth="1"/>
    <col min="6674" max="6679" width="7.7109375" style="267" customWidth="1"/>
    <col min="6680" max="6680" width="10.42578125" style="267" bestFit="1" customWidth="1"/>
    <col min="6681" max="6916" width="9.140625" style="267"/>
    <col min="6917" max="6917" width="3.7109375" style="267" customWidth="1"/>
    <col min="6918" max="6918" width="14.42578125" style="267" customWidth="1"/>
    <col min="6919" max="6919" width="3.7109375" style="267" customWidth="1"/>
    <col min="6920" max="6920" width="20.140625" style="267" customWidth="1"/>
    <col min="6921" max="6921" width="6.28515625" style="267" customWidth="1"/>
    <col min="6922" max="6927" width="11.5703125" style="267" customWidth="1"/>
    <col min="6928" max="6929" width="8.85546875" style="267" customWidth="1"/>
    <col min="6930" max="6935" width="7.7109375" style="267" customWidth="1"/>
    <col min="6936" max="6936" width="10.42578125" style="267" bestFit="1" customWidth="1"/>
    <col min="6937" max="7172" width="9.140625" style="267"/>
    <col min="7173" max="7173" width="3.7109375" style="267" customWidth="1"/>
    <col min="7174" max="7174" width="14.42578125" style="267" customWidth="1"/>
    <col min="7175" max="7175" width="3.7109375" style="267" customWidth="1"/>
    <col min="7176" max="7176" width="20.140625" style="267" customWidth="1"/>
    <col min="7177" max="7177" width="6.28515625" style="267" customWidth="1"/>
    <col min="7178" max="7183" width="11.5703125" style="267" customWidth="1"/>
    <col min="7184" max="7185" width="8.85546875" style="267" customWidth="1"/>
    <col min="7186" max="7191" width="7.7109375" style="267" customWidth="1"/>
    <col min="7192" max="7192" width="10.42578125" style="267" bestFit="1" customWidth="1"/>
    <col min="7193" max="7428" width="9.140625" style="267"/>
    <col min="7429" max="7429" width="3.7109375" style="267" customWidth="1"/>
    <col min="7430" max="7430" width="14.42578125" style="267" customWidth="1"/>
    <col min="7431" max="7431" width="3.7109375" style="267" customWidth="1"/>
    <col min="7432" max="7432" width="20.140625" style="267" customWidth="1"/>
    <col min="7433" max="7433" width="6.28515625" style="267" customWidth="1"/>
    <col min="7434" max="7439" width="11.5703125" style="267" customWidth="1"/>
    <col min="7440" max="7441" width="8.85546875" style="267" customWidth="1"/>
    <col min="7442" max="7447" width="7.7109375" style="267" customWidth="1"/>
    <col min="7448" max="7448" width="10.42578125" style="267" bestFit="1" customWidth="1"/>
    <col min="7449" max="7684" width="9.140625" style="267"/>
    <col min="7685" max="7685" width="3.7109375" style="267" customWidth="1"/>
    <col min="7686" max="7686" width="14.42578125" style="267" customWidth="1"/>
    <col min="7687" max="7687" width="3.7109375" style="267" customWidth="1"/>
    <col min="7688" max="7688" width="20.140625" style="267" customWidth="1"/>
    <col min="7689" max="7689" width="6.28515625" style="267" customWidth="1"/>
    <col min="7690" max="7695" width="11.5703125" style="267" customWidth="1"/>
    <col min="7696" max="7697" width="8.85546875" style="267" customWidth="1"/>
    <col min="7698" max="7703" width="7.7109375" style="267" customWidth="1"/>
    <col min="7704" max="7704" width="10.42578125" style="267" bestFit="1" customWidth="1"/>
    <col min="7705" max="7940" width="9.140625" style="267"/>
    <col min="7941" max="7941" width="3.7109375" style="267" customWidth="1"/>
    <col min="7942" max="7942" width="14.42578125" style="267" customWidth="1"/>
    <col min="7943" max="7943" width="3.7109375" style="267" customWidth="1"/>
    <col min="7944" max="7944" width="20.140625" style="267" customWidth="1"/>
    <col min="7945" max="7945" width="6.28515625" style="267" customWidth="1"/>
    <col min="7946" max="7951" width="11.5703125" style="267" customWidth="1"/>
    <col min="7952" max="7953" width="8.85546875" style="267" customWidth="1"/>
    <col min="7954" max="7959" width="7.7109375" style="267" customWidth="1"/>
    <col min="7960" max="7960" width="10.42578125" style="267" bestFit="1" customWidth="1"/>
    <col min="7961" max="8196" width="9.140625" style="267"/>
    <col min="8197" max="8197" width="3.7109375" style="267" customWidth="1"/>
    <col min="8198" max="8198" width="14.42578125" style="267" customWidth="1"/>
    <col min="8199" max="8199" width="3.7109375" style="267" customWidth="1"/>
    <col min="8200" max="8200" width="20.140625" style="267" customWidth="1"/>
    <col min="8201" max="8201" width="6.28515625" style="267" customWidth="1"/>
    <col min="8202" max="8207" width="11.5703125" style="267" customWidth="1"/>
    <col min="8208" max="8209" width="8.85546875" style="267" customWidth="1"/>
    <col min="8210" max="8215" width="7.7109375" style="267" customWidth="1"/>
    <col min="8216" max="8216" width="10.42578125" style="267" bestFit="1" customWidth="1"/>
    <col min="8217" max="8452" width="9.140625" style="267"/>
    <col min="8453" max="8453" width="3.7109375" style="267" customWidth="1"/>
    <col min="8454" max="8454" width="14.42578125" style="267" customWidth="1"/>
    <col min="8455" max="8455" width="3.7109375" style="267" customWidth="1"/>
    <col min="8456" max="8456" width="20.140625" style="267" customWidth="1"/>
    <col min="8457" max="8457" width="6.28515625" style="267" customWidth="1"/>
    <col min="8458" max="8463" width="11.5703125" style="267" customWidth="1"/>
    <col min="8464" max="8465" width="8.85546875" style="267" customWidth="1"/>
    <col min="8466" max="8471" width="7.7109375" style="267" customWidth="1"/>
    <col min="8472" max="8472" width="10.42578125" style="267" bestFit="1" customWidth="1"/>
    <col min="8473" max="8708" width="9.140625" style="267"/>
    <col min="8709" max="8709" width="3.7109375" style="267" customWidth="1"/>
    <col min="8710" max="8710" width="14.42578125" style="267" customWidth="1"/>
    <col min="8711" max="8711" width="3.7109375" style="267" customWidth="1"/>
    <col min="8712" max="8712" width="20.140625" style="267" customWidth="1"/>
    <col min="8713" max="8713" width="6.28515625" style="267" customWidth="1"/>
    <col min="8714" max="8719" width="11.5703125" style="267" customWidth="1"/>
    <col min="8720" max="8721" width="8.85546875" style="267" customWidth="1"/>
    <col min="8722" max="8727" width="7.7109375" style="267" customWidth="1"/>
    <col min="8728" max="8728" width="10.42578125" style="267" bestFit="1" customWidth="1"/>
    <col min="8729" max="8964" width="9.140625" style="267"/>
    <col min="8965" max="8965" width="3.7109375" style="267" customWidth="1"/>
    <col min="8966" max="8966" width="14.42578125" style="267" customWidth="1"/>
    <col min="8967" max="8967" width="3.7109375" style="267" customWidth="1"/>
    <col min="8968" max="8968" width="20.140625" style="267" customWidth="1"/>
    <col min="8969" max="8969" width="6.28515625" style="267" customWidth="1"/>
    <col min="8970" max="8975" width="11.5703125" style="267" customWidth="1"/>
    <col min="8976" max="8977" width="8.85546875" style="267" customWidth="1"/>
    <col min="8978" max="8983" width="7.7109375" style="267" customWidth="1"/>
    <col min="8984" max="8984" width="10.42578125" style="267" bestFit="1" customWidth="1"/>
    <col min="8985" max="9220" width="9.140625" style="267"/>
    <col min="9221" max="9221" width="3.7109375" style="267" customWidth="1"/>
    <col min="9222" max="9222" width="14.42578125" style="267" customWidth="1"/>
    <col min="9223" max="9223" width="3.7109375" style="267" customWidth="1"/>
    <col min="9224" max="9224" width="20.140625" style="267" customWidth="1"/>
    <col min="9225" max="9225" width="6.28515625" style="267" customWidth="1"/>
    <col min="9226" max="9231" width="11.5703125" style="267" customWidth="1"/>
    <col min="9232" max="9233" width="8.85546875" style="267" customWidth="1"/>
    <col min="9234" max="9239" width="7.7109375" style="267" customWidth="1"/>
    <col min="9240" max="9240" width="10.42578125" style="267" bestFit="1" customWidth="1"/>
    <col min="9241" max="9476" width="9.140625" style="267"/>
    <col min="9477" max="9477" width="3.7109375" style="267" customWidth="1"/>
    <col min="9478" max="9478" width="14.42578125" style="267" customWidth="1"/>
    <col min="9479" max="9479" width="3.7109375" style="267" customWidth="1"/>
    <col min="9480" max="9480" width="20.140625" style="267" customWidth="1"/>
    <col min="9481" max="9481" width="6.28515625" style="267" customWidth="1"/>
    <col min="9482" max="9487" width="11.5703125" style="267" customWidth="1"/>
    <col min="9488" max="9489" width="8.85546875" style="267" customWidth="1"/>
    <col min="9490" max="9495" width="7.7109375" style="267" customWidth="1"/>
    <col min="9496" max="9496" width="10.42578125" style="267" bestFit="1" customWidth="1"/>
    <col min="9497" max="9732" width="9.140625" style="267"/>
    <col min="9733" max="9733" width="3.7109375" style="267" customWidth="1"/>
    <col min="9734" max="9734" width="14.42578125" style="267" customWidth="1"/>
    <col min="9735" max="9735" width="3.7109375" style="267" customWidth="1"/>
    <col min="9736" max="9736" width="20.140625" style="267" customWidth="1"/>
    <col min="9737" max="9737" width="6.28515625" style="267" customWidth="1"/>
    <col min="9738" max="9743" width="11.5703125" style="267" customWidth="1"/>
    <col min="9744" max="9745" width="8.85546875" style="267" customWidth="1"/>
    <col min="9746" max="9751" width="7.7109375" style="267" customWidth="1"/>
    <col min="9752" max="9752" width="10.42578125" style="267" bestFit="1" customWidth="1"/>
    <col min="9753" max="9988" width="9.140625" style="267"/>
    <col min="9989" max="9989" width="3.7109375" style="267" customWidth="1"/>
    <col min="9990" max="9990" width="14.42578125" style="267" customWidth="1"/>
    <col min="9991" max="9991" width="3.7109375" style="267" customWidth="1"/>
    <col min="9992" max="9992" width="20.140625" style="267" customWidth="1"/>
    <col min="9993" max="9993" width="6.28515625" style="267" customWidth="1"/>
    <col min="9994" max="9999" width="11.5703125" style="267" customWidth="1"/>
    <col min="10000" max="10001" width="8.85546875" style="267" customWidth="1"/>
    <col min="10002" max="10007" width="7.7109375" style="267" customWidth="1"/>
    <col min="10008" max="10008" width="10.42578125" style="267" bestFit="1" customWidth="1"/>
    <col min="10009" max="10244" width="9.140625" style="267"/>
    <col min="10245" max="10245" width="3.7109375" style="267" customWidth="1"/>
    <col min="10246" max="10246" width="14.42578125" style="267" customWidth="1"/>
    <col min="10247" max="10247" width="3.7109375" style="267" customWidth="1"/>
    <col min="10248" max="10248" width="20.140625" style="267" customWidth="1"/>
    <col min="10249" max="10249" width="6.28515625" style="267" customWidth="1"/>
    <col min="10250" max="10255" width="11.5703125" style="267" customWidth="1"/>
    <col min="10256" max="10257" width="8.85546875" style="267" customWidth="1"/>
    <col min="10258" max="10263" width="7.7109375" style="267" customWidth="1"/>
    <col min="10264" max="10264" width="10.42578125" style="267" bestFit="1" customWidth="1"/>
    <col min="10265" max="10500" width="9.140625" style="267"/>
    <col min="10501" max="10501" width="3.7109375" style="267" customWidth="1"/>
    <col min="10502" max="10502" width="14.42578125" style="267" customWidth="1"/>
    <col min="10503" max="10503" width="3.7109375" style="267" customWidth="1"/>
    <col min="10504" max="10504" width="20.140625" style="267" customWidth="1"/>
    <col min="10505" max="10505" width="6.28515625" style="267" customWidth="1"/>
    <col min="10506" max="10511" width="11.5703125" style="267" customWidth="1"/>
    <col min="10512" max="10513" width="8.85546875" style="267" customWidth="1"/>
    <col min="10514" max="10519" width="7.7109375" style="267" customWidth="1"/>
    <col min="10520" max="10520" width="10.42578125" style="267" bestFit="1" customWidth="1"/>
    <col min="10521" max="10756" width="9.140625" style="267"/>
    <col min="10757" max="10757" width="3.7109375" style="267" customWidth="1"/>
    <col min="10758" max="10758" width="14.42578125" style="267" customWidth="1"/>
    <col min="10759" max="10759" width="3.7109375" style="267" customWidth="1"/>
    <col min="10760" max="10760" width="20.140625" style="267" customWidth="1"/>
    <col min="10761" max="10761" width="6.28515625" style="267" customWidth="1"/>
    <col min="10762" max="10767" width="11.5703125" style="267" customWidth="1"/>
    <col min="10768" max="10769" width="8.85546875" style="267" customWidth="1"/>
    <col min="10770" max="10775" width="7.7109375" style="267" customWidth="1"/>
    <col min="10776" max="10776" width="10.42578125" style="267" bestFit="1" customWidth="1"/>
    <col min="10777" max="11012" width="9.140625" style="267"/>
    <col min="11013" max="11013" width="3.7109375" style="267" customWidth="1"/>
    <col min="11014" max="11014" width="14.42578125" style="267" customWidth="1"/>
    <col min="11015" max="11015" width="3.7109375" style="267" customWidth="1"/>
    <col min="11016" max="11016" width="20.140625" style="267" customWidth="1"/>
    <col min="11017" max="11017" width="6.28515625" style="267" customWidth="1"/>
    <col min="11018" max="11023" width="11.5703125" style="267" customWidth="1"/>
    <col min="11024" max="11025" width="8.85546875" style="267" customWidth="1"/>
    <col min="11026" max="11031" width="7.7109375" style="267" customWidth="1"/>
    <col min="11032" max="11032" width="10.42578125" style="267" bestFit="1" customWidth="1"/>
    <col min="11033" max="11268" width="9.140625" style="267"/>
    <col min="11269" max="11269" width="3.7109375" style="267" customWidth="1"/>
    <col min="11270" max="11270" width="14.42578125" style="267" customWidth="1"/>
    <col min="11271" max="11271" width="3.7109375" style="267" customWidth="1"/>
    <col min="11272" max="11272" width="20.140625" style="267" customWidth="1"/>
    <col min="11273" max="11273" width="6.28515625" style="267" customWidth="1"/>
    <col min="11274" max="11279" width="11.5703125" style="267" customWidth="1"/>
    <col min="11280" max="11281" width="8.85546875" style="267" customWidth="1"/>
    <col min="11282" max="11287" width="7.7109375" style="267" customWidth="1"/>
    <col min="11288" max="11288" width="10.42578125" style="267" bestFit="1" customWidth="1"/>
    <col min="11289" max="11524" width="9.140625" style="267"/>
    <col min="11525" max="11525" width="3.7109375" style="267" customWidth="1"/>
    <col min="11526" max="11526" width="14.42578125" style="267" customWidth="1"/>
    <col min="11527" max="11527" width="3.7109375" style="267" customWidth="1"/>
    <col min="11528" max="11528" width="20.140625" style="267" customWidth="1"/>
    <col min="11529" max="11529" width="6.28515625" style="267" customWidth="1"/>
    <col min="11530" max="11535" width="11.5703125" style="267" customWidth="1"/>
    <col min="11536" max="11537" width="8.85546875" style="267" customWidth="1"/>
    <col min="11538" max="11543" width="7.7109375" style="267" customWidth="1"/>
    <col min="11544" max="11544" width="10.42578125" style="267" bestFit="1" customWidth="1"/>
    <col min="11545" max="11780" width="9.140625" style="267"/>
    <col min="11781" max="11781" width="3.7109375" style="267" customWidth="1"/>
    <col min="11782" max="11782" width="14.42578125" style="267" customWidth="1"/>
    <col min="11783" max="11783" width="3.7109375" style="267" customWidth="1"/>
    <col min="11784" max="11784" width="20.140625" style="267" customWidth="1"/>
    <col min="11785" max="11785" width="6.28515625" style="267" customWidth="1"/>
    <col min="11786" max="11791" width="11.5703125" style="267" customWidth="1"/>
    <col min="11792" max="11793" width="8.85546875" style="267" customWidth="1"/>
    <col min="11794" max="11799" width="7.7109375" style="267" customWidth="1"/>
    <col min="11800" max="11800" width="10.42578125" style="267" bestFit="1" customWidth="1"/>
    <col min="11801" max="12036" width="9.140625" style="267"/>
    <col min="12037" max="12037" width="3.7109375" style="267" customWidth="1"/>
    <col min="12038" max="12038" width="14.42578125" style="267" customWidth="1"/>
    <col min="12039" max="12039" width="3.7109375" style="267" customWidth="1"/>
    <col min="12040" max="12040" width="20.140625" style="267" customWidth="1"/>
    <col min="12041" max="12041" width="6.28515625" style="267" customWidth="1"/>
    <col min="12042" max="12047" width="11.5703125" style="267" customWidth="1"/>
    <col min="12048" max="12049" width="8.85546875" style="267" customWidth="1"/>
    <col min="12050" max="12055" width="7.7109375" style="267" customWidth="1"/>
    <col min="12056" max="12056" width="10.42578125" style="267" bestFit="1" customWidth="1"/>
    <col min="12057" max="12292" width="9.140625" style="267"/>
    <col min="12293" max="12293" width="3.7109375" style="267" customWidth="1"/>
    <col min="12294" max="12294" width="14.42578125" style="267" customWidth="1"/>
    <col min="12295" max="12295" width="3.7109375" style="267" customWidth="1"/>
    <col min="12296" max="12296" width="20.140625" style="267" customWidth="1"/>
    <col min="12297" max="12297" width="6.28515625" style="267" customWidth="1"/>
    <col min="12298" max="12303" width="11.5703125" style="267" customWidth="1"/>
    <col min="12304" max="12305" width="8.85546875" style="267" customWidth="1"/>
    <col min="12306" max="12311" width="7.7109375" style="267" customWidth="1"/>
    <col min="12312" max="12312" width="10.42578125" style="267" bestFit="1" customWidth="1"/>
    <col min="12313" max="12548" width="9.140625" style="267"/>
    <col min="12549" max="12549" width="3.7109375" style="267" customWidth="1"/>
    <col min="12550" max="12550" width="14.42578125" style="267" customWidth="1"/>
    <col min="12551" max="12551" width="3.7109375" style="267" customWidth="1"/>
    <col min="12552" max="12552" width="20.140625" style="267" customWidth="1"/>
    <col min="12553" max="12553" width="6.28515625" style="267" customWidth="1"/>
    <col min="12554" max="12559" width="11.5703125" style="267" customWidth="1"/>
    <col min="12560" max="12561" width="8.85546875" style="267" customWidth="1"/>
    <col min="12562" max="12567" width="7.7109375" style="267" customWidth="1"/>
    <col min="12568" max="12568" width="10.42578125" style="267" bestFit="1" customWidth="1"/>
    <col min="12569" max="12804" width="9.140625" style="267"/>
    <col min="12805" max="12805" width="3.7109375" style="267" customWidth="1"/>
    <col min="12806" max="12806" width="14.42578125" style="267" customWidth="1"/>
    <col min="12807" max="12807" width="3.7109375" style="267" customWidth="1"/>
    <col min="12808" max="12808" width="20.140625" style="267" customWidth="1"/>
    <col min="12809" max="12809" width="6.28515625" style="267" customWidth="1"/>
    <col min="12810" max="12815" width="11.5703125" style="267" customWidth="1"/>
    <col min="12816" max="12817" width="8.85546875" style="267" customWidth="1"/>
    <col min="12818" max="12823" width="7.7109375" style="267" customWidth="1"/>
    <col min="12824" max="12824" width="10.42578125" style="267" bestFit="1" customWidth="1"/>
    <col min="12825" max="13060" width="9.140625" style="267"/>
    <col min="13061" max="13061" width="3.7109375" style="267" customWidth="1"/>
    <col min="13062" max="13062" width="14.42578125" style="267" customWidth="1"/>
    <col min="13063" max="13063" width="3.7109375" style="267" customWidth="1"/>
    <col min="13064" max="13064" width="20.140625" style="267" customWidth="1"/>
    <col min="13065" max="13065" width="6.28515625" style="267" customWidth="1"/>
    <col min="13066" max="13071" width="11.5703125" style="267" customWidth="1"/>
    <col min="13072" max="13073" width="8.85546875" style="267" customWidth="1"/>
    <col min="13074" max="13079" width="7.7109375" style="267" customWidth="1"/>
    <col min="13080" max="13080" width="10.42578125" style="267" bestFit="1" customWidth="1"/>
    <col min="13081" max="13316" width="9.140625" style="267"/>
    <col min="13317" max="13317" width="3.7109375" style="267" customWidth="1"/>
    <col min="13318" max="13318" width="14.42578125" style="267" customWidth="1"/>
    <col min="13319" max="13319" width="3.7109375" style="267" customWidth="1"/>
    <col min="13320" max="13320" width="20.140625" style="267" customWidth="1"/>
    <col min="13321" max="13321" width="6.28515625" style="267" customWidth="1"/>
    <col min="13322" max="13327" width="11.5703125" style="267" customWidth="1"/>
    <col min="13328" max="13329" width="8.85546875" style="267" customWidth="1"/>
    <col min="13330" max="13335" width="7.7109375" style="267" customWidth="1"/>
    <col min="13336" max="13336" width="10.42578125" style="267" bestFit="1" customWidth="1"/>
    <col min="13337" max="13572" width="9.140625" style="267"/>
    <col min="13573" max="13573" width="3.7109375" style="267" customWidth="1"/>
    <col min="13574" max="13574" width="14.42578125" style="267" customWidth="1"/>
    <col min="13575" max="13575" width="3.7109375" style="267" customWidth="1"/>
    <col min="13576" max="13576" width="20.140625" style="267" customWidth="1"/>
    <col min="13577" max="13577" width="6.28515625" style="267" customWidth="1"/>
    <col min="13578" max="13583" width="11.5703125" style="267" customWidth="1"/>
    <col min="13584" max="13585" width="8.85546875" style="267" customWidth="1"/>
    <col min="13586" max="13591" width="7.7109375" style="267" customWidth="1"/>
    <col min="13592" max="13592" width="10.42578125" style="267" bestFit="1" customWidth="1"/>
    <col min="13593" max="13828" width="9.140625" style="267"/>
    <col min="13829" max="13829" width="3.7109375" style="267" customWidth="1"/>
    <col min="13830" max="13830" width="14.42578125" style="267" customWidth="1"/>
    <col min="13831" max="13831" width="3.7109375" style="267" customWidth="1"/>
    <col min="13832" max="13832" width="20.140625" style="267" customWidth="1"/>
    <col min="13833" max="13833" width="6.28515625" style="267" customWidth="1"/>
    <col min="13834" max="13839" width="11.5703125" style="267" customWidth="1"/>
    <col min="13840" max="13841" width="8.85546875" style="267" customWidth="1"/>
    <col min="13842" max="13847" width="7.7109375" style="267" customWidth="1"/>
    <col min="13848" max="13848" width="10.42578125" style="267" bestFit="1" customWidth="1"/>
    <col min="13849" max="14084" width="9.140625" style="267"/>
    <col min="14085" max="14085" width="3.7109375" style="267" customWidth="1"/>
    <col min="14086" max="14086" width="14.42578125" style="267" customWidth="1"/>
    <col min="14087" max="14087" width="3.7109375" style="267" customWidth="1"/>
    <col min="14088" max="14088" width="20.140625" style="267" customWidth="1"/>
    <col min="14089" max="14089" width="6.28515625" style="267" customWidth="1"/>
    <col min="14090" max="14095" width="11.5703125" style="267" customWidth="1"/>
    <col min="14096" max="14097" width="8.85546875" style="267" customWidth="1"/>
    <col min="14098" max="14103" width="7.7109375" style="267" customWidth="1"/>
    <col min="14104" max="14104" width="10.42578125" style="267" bestFit="1" customWidth="1"/>
    <col min="14105" max="14340" width="9.140625" style="267"/>
    <col min="14341" max="14341" width="3.7109375" style="267" customWidth="1"/>
    <col min="14342" max="14342" width="14.42578125" style="267" customWidth="1"/>
    <col min="14343" max="14343" width="3.7109375" style="267" customWidth="1"/>
    <col min="14344" max="14344" width="20.140625" style="267" customWidth="1"/>
    <col min="14345" max="14345" width="6.28515625" style="267" customWidth="1"/>
    <col min="14346" max="14351" width="11.5703125" style="267" customWidth="1"/>
    <col min="14352" max="14353" width="8.85546875" style="267" customWidth="1"/>
    <col min="14354" max="14359" width="7.7109375" style="267" customWidth="1"/>
    <col min="14360" max="14360" width="10.42578125" style="267" bestFit="1" customWidth="1"/>
    <col min="14361" max="14596" width="9.140625" style="267"/>
    <col min="14597" max="14597" width="3.7109375" style="267" customWidth="1"/>
    <col min="14598" max="14598" width="14.42578125" style="267" customWidth="1"/>
    <col min="14599" max="14599" width="3.7109375" style="267" customWidth="1"/>
    <col min="14600" max="14600" width="20.140625" style="267" customWidth="1"/>
    <col min="14601" max="14601" width="6.28515625" style="267" customWidth="1"/>
    <col min="14602" max="14607" width="11.5703125" style="267" customWidth="1"/>
    <col min="14608" max="14609" width="8.85546875" style="267" customWidth="1"/>
    <col min="14610" max="14615" width="7.7109375" style="267" customWidth="1"/>
    <col min="14616" max="14616" width="10.42578125" style="267" bestFit="1" customWidth="1"/>
    <col min="14617" max="14852" width="9.140625" style="267"/>
    <col min="14853" max="14853" width="3.7109375" style="267" customWidth="1"/>
    <col min="14854" max="14854" width="14.42578125" style="267" customWidth="1"/>
    <col min="14855" max="14855" width="3.7109375" style="267" customWidth="1"/>
    <col min="14856" max="14856" width="20.140625" style="267" customWidth="1"/>
    <col min="14857" max="14857" width="6.28515625" style="267" customWidth="1"/>
    <col min="14858" max="14863" width="11.5703125" style="267" customWidth="1"/>
    <col min="14864" max="14865" width="8.85546875" style="267" customWidth="1"/>
    <col min="14866" max="14871" width="7.7109375" style="267" customWidth="1"/>
    <col min="14872" max="14872" width="10.42578125" style="267" bestFit="1" customWidth="1"/>
    <col min="14873" max="15108" width="9.140625" style="267"/>
    <col min="15109" max="15109" width="3.7109375" style="267" customWidth="1"/>
    <col min="15110" max="15110" width="14.42578125" style="267" customWidth="1"/>
    <col min="15111" max="15111" width="3.7109375" style="267" customWidth="1"/>
    <col min="15112" max="15112" width="20.140625" style="267" customWidth="1"/>
    <col min="15113" max="15113" width="6.28515625" style="267" customWidth="1"/>
    <col min="15114" max="15119" width="11.5703125" style="267" customWidth="1"/>
    <col min="15120" max="15121" width="8.85546875" style="267" customWidth="1"/>
    <col min="15122" max="15127" width="7.7109375" style="267" customWidth="1"/>
    <col min="15128" max="15128" width="10.42578125" style="267" bestFit="1" customWidth="1"/>
    <col min="15129" max="15364" width="9.140625" style="267"/>
    <col min="15365" max="15365" width="3.7109375" style="267" customWidth="1"/>
    <col min="15366" max="15366" width="14.42578125" style="267" customWidth="1"/>
    <col min="15367" max="15367" width="3.7109375" style="267" customWidth="1"/>
    <col min="15368" max="15368" width="20.140625" style="267" customWidth="1"/>
    <col min="15369" max="15369" width="6.28515625" style="267" customWidth="1"/>
    <col min="15370" max="15375" width="11.5703125" style="267" customWidth="1"/>
    <col min="15376" max="15377" width="8.85546875" style="267" customWidth="1"/>
    <col min="15378" max="15383" width="7.7109375" style="267" customWidth="1"/>
    <col min="15384" max="15384" width="10.42578125" style="267" bestFit="1" customWidth="1"/>
    <col min="15385" max="15620" width="9.140625" style="267"/>
    <col min="15621" max="15621" width="3.7109375" style="267" customWidth="1"/>
    <col min="15622" max="15622" width="14.42578125" style="267" customWidth="1"/>
    <col min="15623" max="15623" width="3.7109375" style="267" customWidth="1"/>
    <col min="15624" max="15624" width="20.140625" style="267" customWidth="1"/>
    <col min="15625" max="15625" width="6.28515625" style="267" customWidth="1"/>
    <col min="15626" max="15631" width="11.5703125" style="267" customWidth="1"/>
    <col min="15632" max="15633" width="8.85546875" style="267" customWidth="1"/>
    <col min="15634" max="15639" width="7.7109375" style="267" customWidth="1"/>
    <col min="15640" max="15640" width="10.42578125" style="267" bestFit="1" customWidth="1"/>
    <col min="15641" max="15876" width="9.140625" style="267"/>
    <col min="15877" max="15877" width="3.7109375" style="267" customWidth="1"/>
    <col min="15878" max="15878" width="14.42578125" style="267" customWidth="1"/>
    <col min="15879" max="15879" width="3.7109375" style="267" customWidth="1"/>
    <col min="15880" max="15880" width="20.140625" style="267" customWidth="1"/>
    <col min="15881" max="15881" width="6.28515625" style="267" customWidth="1"/>
    <col min="15882" max="15887" width="11.5703125" style="267" customWidth="1"/>
    <col min="15888" max="15889" width="8.85546875" style="267" customWidth="1"/>
    <col min="15890" max="15895" width="7.7109375" style="267" customWidth="1"/>
    <col min="15896" max="15896" width="10.42578125" style="267" bestFit="1" customWidth="1"/>
    <col min="15897" max="16132" width="9.140625" style="267"/>
    <col min="16133" max="16133" width="3.7109375" style="267" customWidth="1"/>
    <col min="16134" max="16134" width="14.42578125" style="267" customWidth="1"/>
    <col min="16135" max="16135" width="3.7109375" style="267" customWidth="1"/>
    <col min="16136" max="16136" width="20.140625" style="267" customWidth="1"/>
    <col min="16137" max="16137" width="6.28515625" style="267" customWidth="1"/>
    <col min="16138" max="16143" width="11.5703125" style="267" customWidth="1"/>
    <col min="16144" max="16145" width="8.85546875" style="267" customWidth="1"/>
    <col min="16146" max="16151" width="7.7109375" style="267" customWidth="1"/>
    <col min="16152" max="16152" width="10.42578125" style="267" bestFit="1" customWidth="1"/>
    <col min="16153" max="16384" width="9.140625" style="267"/>
  </cols>
  <sheetData>
    <row r="1" spans="1:27" x14ac:dyDescent="0.25">
      <c r="A1" s="782"/>
      <c r="B1" s="899"/>
      <c r="C1" s="899"/>
      <c r="D1" s="900"/>
      <c r="E1" s="1370"/>
      <c r="F1" s="900"/>
      <c r="G1" s="900"/>
      <c r="H1" s="900"/>
      <c r="I1" s="900"/>
      <c r="J1" s="900"/>
      <c r="K1" s="900"/>
      <c r="L1" s="900"/>
      <c r="M1" s="900"/>
      <c r="N1" s="900"/>
      <c r="O1" s="900"/>
      <c r="P1" s="900"/>
      <c r="Q1" s="900"/>
      <c r="R1" s="900"/>
      <c r="S1" s="900"/>
      <c r="T1" s="900"/>
      <c r="U1" s="900"/>
      <c r="V1" s="900"/>
      <c r="W1" s="900"/>
      <c r="X1" s="900"/>
    </row>
    <row r="2" spans="1:27" ht="14.45" customHeight="1" x14ac:dyDescent="0.25">
      <c r="A2" s="782">
        <v>1</v>
      </c>
      <c r="B2" s="782" t="s">
        <v>0</v>
      </c>
      <c r="C2" s="782">
        <f>1+'Educational Perfomance  '!C2</f>
        <v>49</v>
      </c>
      <c r="D2" s="4295" t="s">
        <v>554</v>
      </c>
      <c r="E2" s="4296"/>
      <c r="F2" s="4296"/>
      <c r="G2" s="4296"/>
      <c r="H2" s="4296"/>
      <c r="I2" s="4296"/>
      <c r="J2" s="4296"/>
      <c r="K2" s="4296"/>
      <c r="L2" s="4296"/>
      <c r="M2" s="4296"/>
      <c r="N2" s="4296"/>
      <c r="O2" s="4296"/>
      <c r="P2" s="4296"/>
      <c r="Q2" s="4296"/>
      <c r="R2" s="4296"/>
      <c r="S2" s="4297"/>
      <c r="T2" s="120"/>
      <c r="U2" s="120"/>
      <c r="V2" s="120"/>
      <c r="W2" s="120"/>
      <c r="X2" s="120"/>
    </row>
    <row r="3" spans="1:27" x14ac:dyDescent="0.25">
      <c r="A3" s="782">
        <v>2</v>
      </c>
      <c r="B3" s="782" t="s">
        <v>2</v>
      </c>
      <c r="C3" s="782"/>
      <c r="D3" s="4295" t="s">
        <v>402</v>
      </c>
      <c r="E3" s="4296"/>
      <c r="F3" s="4296"/>
      <c r="G3" s="4296"/>
      <c r="H3" s="4296"/>
      <c r="I3" s="4296"/>
      <c r="J3" s="4296"/>
      <c r="K3" s="4296"/>
      <c r="L3" s="4296"/>
      <c r="M3" s="4296"/>
      <c r="N3" s="4296"/>
      <c r="O3" s="4296"/>
      <c r="P3" s="4296"/>
      <c r="Q3" s="4296"/>
      <c r="R3" s="4296"/>
      <c r="S3" s="4297"/>
      <c r="T3" s="120"/>
      <c r="U3" s="120"/>
      <c r="V3" s="120"/>
      <c r="W3" s="120"/>
      <c r="X3" s="120"/>
    </row>
    <row r="4" spans="1:27" ht="12.75" customHeight="1" x14ac:dyDescent="0.25">
      <c r="A4" s="782">
        <v>3</v>
      </c>
      <c r="B4" s="782" t="s">
        <v>4</v>
      </c>
      <c r="C4" s="782"/>
      <c r="D4" s="4295" t="s">
        <v>555</v>
      </c>
      <c r="E4" s="4296"/>
      <c r="F4" s="4296"/>
      <c r="G4" s="4296"/>
      <c r="H4" s="4296"/>
      <c r="I4" s="4296"/>
      <c r="J4" s="4296"/>
      <c r="K4" s="4296"/>
      <c r="L4" s="4296"/>
      <c r="M4" s="4296"/>
      <c r="N4" s="4296"/>
      <c r="O4" s="4296"/>
      <c r="P4" s="4296"/>
      <c r="Q4" s="4296"/>
      <c r="R4" s="4296"/>
      <c r="S4" s="4297"/>
      <c r="T4" s="120"/>
      <c r="U4" s="120"/>
      <c r="V4" s="120"/>
      <c r="W4" s="120"/>
      <c r="X4" s="120"/>
      <c r="Y4" s="1371"/>
      <c r="Z4" s="1371"/>
      <c r="AA4" s="1372"/>
    </row>
    <row r="5" spans="1:27" x14ac:dyDescent="0.25">
      <c r="B5" s="782"/>
      <c r="C5" s="782"/>
      <c r="D5" s="903"/>
      <c r="E5" s="903"/>
      <c r="F5" s="903"/>
      <c r="G5" s="903"/>
      <c r="H5" s="903"/>
      <c r="I5" s="903"/>
      <c r="J5" s="903"/>
      <c r="K5" s="903"/>
      <c r="L5" s="903"/>
      <c r="M5" s="903"/>
      <c r="N5" s="903"/>
      <c r="O5" s="903"/>
      <c r="P5" s="903"/>
      <c r="Q5" s="903"/>
      <c r="R5" s="903"/>
      <c r="S5" s="903"/>
      <c r="T5" s="120"/>
      <c r="U5" s="120"/>
      <c r="V5" s="120"/>
      <c r="W5" s="120"/>
      <c r="X5" s="120"/>
    </row>
    <row r="6" spans="1:27" x14ac:dyDescent="0.25">
      <c r="A6" s="782">
        <v>4</v>
      </c>
      <c r="B6" s="782" t="s">
        <v>5</v>
      </c>
      <c r="C6" s="899"/>
      <c r="D6" s="123" t="s">
        <v>112</v>
      </c>
      <c r="E6" s="1373" t="s">
        <v>556</v>
      </c>
      <c r="F6" s="123"/>
      <c r="G6" s="123"/>
      <c r="H6" s="123"/>
      <c r="I6" s="123"/>
      <c r="J6" s="123"/>
      <c r="K6" s="120"/>
      <c r="L6" s="120"/>
      <c r="M6" s="120"/>
      <c r="N6" s="120"/>
      <c r="O6" s="120"/>
      <c r="P6" s="120"/>
      <c r="Q6" s="120"/>
      <c r="R6" s="120"/>
      <c r="S6" s="120"/>
      <c r="T6" s="120"/>
      <c r="U6" s="120"/>
      <c r="V6" s="120"/>
      <c r="W6" s="120"/>
      <c r="X6" s="120"/>
    </row>
    <row r="7" spans="1:27" x14ac:dyDescent="0.25">
      <c r="A7" s="782"/>
      <c r="B7" s="899"/>
      <c r="C7" s="899"/>
      <c r="D7" s="557"/>
      <c r="E7" s="4298" t="s">
        <v>557</v>
      </c>
      <c r="F7" s="4299"/>
      <c r="G7" s="4299"/>
      <c r="H7" s="4299"/>
      <c r="I7" s="4298" t="s">
        <v>558</v>
      </c>
      <c r="J7" s="4299"/>
      <c r="K7" s="4299"/>
      <c r="L7" s="4300"/>
      <c r="M7" s="120"/>
      <c r="N7" s="120"/>
      <c r="O7" s="120"/>
      <c r="P7" s="120"/>
      <c r="Q7" s="120"/>
      <c r="R7" s="120"/>
      <c r="S7" s="120"/>
      <c r="T7" s="120"/>
    </row>
    <row r="8" spans="1:27" x14ac:dyDescent="0.25">
      <c r="A8" s="782"/>
      <c r="B8" s="899"/>
      <c r="C8" s="899"/>
      <c r="D8" s="122" t="s">
        <v>559</v>
      </c>
      <c r="E8" s="1374">
        <v>1999</v>
      </c>
      <c r="F8" s="1374">
        <v>2002</v>
      </c>
      <c r="G8" s="1374">
        <v>2011</v>
      </c>
      <c r="H8" s="1374">
        <v>2015</v>
      </c>
      <c r="I8" s="1374">
        <v>1999</v>
      </c>
      <c r="J8" s="1374">
        <v>2002</v>
      </c>
      <c r="K8" s="1374">
        <v>2011</v>
      </c>
      <c r="L8" s="1375">
        <v>2015</v>
      </c>
      <c r="M8" s="120"/>
      <c r="N8" s="120"/>
      <c r="O8" s="120"/>
      <c r="P8" s="120"/>
      <c r="Q8" s="120"/>
      <c r="R8" s="120"/>
      <c r="S8" s="120"/>
      <c r="T8" s="120"/>
      <c r="U8" s="900"/>
    </row>
    <row r="9" spans="1:27" s="196" customFormat="1" ht="12.75" x14ac:dyDescent="0.2">
      <c r="A9" s="782"/>
      <c r="B9" s="1000"/>
      <c r="C9" s="1000"/>
      <c r="D9" s="139" t="s">
        <v>560</v>
      </c>
      <c r="E9" s="1194" t="s">
        <v>561</v>
      </c>
      <c r="F9" s="1027" t="s">
        <v>562</v>
      </c>
      <c r="G9" s="1027" t="s">
        <v>563</v>
      </c>
      <c r="H9" s="1027"/>
      <c r="I9" s="1194" t="s">
        <v>564</v>
      </c>
      <c r="J9" s="1194" t="s">
        <v>565</v>
      </c>
      <c r="K9" s="1027" t="s">
        <v>566</v>
      </c>
      <c r="L9" s="1040"/>
      <c r="M9" s="120"/>
      <c r="N9" s="120"/>
      <c r="O9" s="120"/>
      <c r="P9" s="1059"/>
      <c r="Q9" s="1376"/>
      <c r="R9" s="269"/>
      <c r="S9" s="269"/>
      <c r="T9" s="269"/>
      <c r="U9" s="1059"/>
    </row>
    <row r="10" spans="1:27" s="196" customFormat="1" ht="12.75" x14ac:dyDescent="0.2">
      <c r="A10" s="782"/>
      <c r="B10" s="1000"/>
      <c r="C10" s="1000"/>
      <c r="D10" s="1377" t="s">
        <v>567</v>
      </c>
      <c r="E10" s="1378" t="s">
        <v>568</v>
      </c>
      <c r="F10" s="1027" t="s">
        <v>569</v>
      </c>
      <c r="G10" s="1027" t="s">
        <v>570</v>
      </c>
      <c r="H10" s="1027"/>
      <c r="I10" s="1378" t="s">
        <v>571</v>
      </c>
      <c r="J10" s="1194" t="s">
        <v>572</v>
      </c>
      <c r="K10" s="1194" t="s">
        <v>573</v>
      </c>
      <c r="L10" s="1040"/>
      <c r="M10" s="120"/>
      <c r="N10" s="120"/>
      <c r="O10" s="120"/>
      <c r="P10" s="1059"/>
      <c r="Q10" s="269"/>
      <c r="R10" s="269"/>
      <c r="S10" s="269"/>
      <c r="T10" s="269"/>
      <c r="U10" s="120"/>
    </row>
    <row r="11" spans="1:27" s="196" customFormat="1" ht="12.75" x14ac:dyDescent="0.2">
      <c r="A11" s="782"/>
      <c r="B11" s="1000"/>
      <c r="C11" s="1000"/>
      <c r="D11" s="1355" t="s">
        <v>76</v>
      </c>
      <c r="E11" s="1379" t="s">
        <v>574</v>
      </c>
      <c r="F11" s="1027" t="s">
        <v>575</v>
      </c>
      <c r="G11" s="1027" t="s">
        <v>576</v>
      </c>
      <c r="H11" s="1027" t="s">
        <v>577</v>
      </c>
      <c r="I11" s="1379" t="s">
        <v>578</v>
      </c>
      <c r="J11" s="1194" t="s">
        <v>579</v>
      </c>
      <c r="K11" s="1194" t="s">
        <v>580</v>
      </c>
      <c r="L11" s="1380" t="s">
        <v>581</v>
      </c>
      <c r="M11" s="120"/>
      <c r="N11" s="120"/>
      <c r="O11" s="120"/>
      <c r="P11" s="269"/>
      <c r="Q11" s="269"/>
      <c r="R11" s="269"/>
      <c r="S11" s="269"/>
      <c r="T11" s="269"/>
      <c r="U11" s="120"/>
    </row>
    <row r="12" spans="1:27" s="196" customFormat="1" ht="12.75" x14ac:dyDescent="0.2">
      <c r="A12" s="782"/>
      <c r="B12" s="1000"/>
      <c r="C12" s="1000"/>
      <c r="D12" s="1355" t="s">
        <v>582</v>
      </c>
      <c r="E12" s="1379" t="s">
        <v>583</v>
      </c>
      <c r="F12" s="1027" t="s">
        <v>584</v>
      </c>
      <c r="G12" s="1027"/>
      <c r="H12" s="1027"/>
      <c r="I12" s="1379" t="s">
        <v>585</v>
      </c>
      <c r="J12" s="1194" t="s">
        <v>586</v>
      </c>
      <c r="K12" s="1194"/>
      <c r="L12" s="1040"/>
      <c r="M12" s="120"/>
      <c r="N12" s="120"/>
      <c r="O12" s="120"/>
      <c r="P12" s="120"/>
      <c r="Q12" s="120"/>
      <c r="R12" s="120"/>
      <c r="S12" s="120"/>
      <c r="T12" s="120"/>
      <c r="U12" s="120"/>
    </row>
    <row r="13" spans="1:27" s="196" customFormat="1" ht="12.75" x14ac:dyDescent="0.2">
      <c r="A13" s="782"/>
      <c r="B13" s="1000"/>
      <c r="C13" s="1000"/>
      <c r="D13" s="1381" t="s">
        <v>28</v>
      </c>
      <c r="E13" s="1382" t="s">
        <v>587</v>
      </c>
      <c r="F13" s="1383" t="s">
        <v>588</v>
      </c>
      <c r="G13" s="1383" t="s">
        <v>589</v>
      </c>
      <c r="H13" s="1383" t="s">
        <v>590</v>
      </c>
      <c r="I13" s="1382" t="s">
        <v>591</v>
      </c>
      <c r="J13" s="1383" t="s">
        <v>592</v>
      </c>
      <c r="K13" s="1383" t="s">
        <v>593</v>
      </c>
      <c r="L13" s="1384" t="s">
        <v>594</v>
      </c>
      <c r="M13" s="120"/>
      <c r="N13" s="120"/>
      <c r="O13" s="120"/>
      <c r="P13" s="120"/>
      <c r="Q13" s="120"/>
      <c r="R13" s="120"/>
      <c r="S13" s="120"/>
      <c r="T13" s="120"/>
      <c r="U13" s="120"/>
    </row>
    <row r="14" spans="1:27" x14ac:dyDescent="0.25">
      <c r="A14" s="782"/>
      <c r="B14" s="899"/>
      <c r="C14" s="899"/>
      <c r="D14" s="1355"/>
      <c r="E14" s="1385"/>
      <c r="F14" s="722"/>
      <c r="G14" s="1386"/>
      <c r="H14" s="1386"/>
      <c r="I14" s="24"/>
      <c r="J14" s="24"/>
      <c r="K14" s="900"/>
      <c r="L14" s="900"/>
      <c r="M14" s="900"/>
      <c r="N14" s="900"/>
      <c r="O14" s="900"/>
      <c r="P14" s="900"/>
      <c r="Q14" s="900"/>
      <c r="R14" s="900"/>
      <c r="S14" s="900"/>
      <c r="T14" s="900"/>
      <c r="U14" s="900"/>
      <c r="V14" s="900"/>
      <c r="W14" s="900"/>
      <c r="X14" s="900"/>
    </row>
    <row r="15" spans="1:27" x14ac:dyDescent="0.25">
      <c r="A15" s="782"/>
      <c r="B15" s="899"/>
      <c r="C15" s="899"/>
      <c r="D15" s="122" t="s">
        <v>112</v>
      </c>
      <c r="E15" s="1387" t="s">
        <v>595</v>
      </c>
      <c r="F15" s="122"/>
      <c r="G15" s="122"/>
      <c r="H15" s="122"/>
      <c r="I15" s="122"/>
      <c r="J15" s="122"/>
      <c r="K15" s="120"/>
      <c r="L15" s="120"/>
      <c r="M15" s="120"/>
      <c r="N15" s="120"/>
      <c r="O15" s="120"/>
      <c r="P15" s="120"/>
      <c r="Q15" s="120"/>
      <c r="R15" s="120"/>
      <c r="S15" s="120"/>
      <c r="T15" s="120"/>
      <c r="U15" s="120"/>
      <c r="V15" s="120"/>
      <c r="W15" s="120"/>
      <c r="X15" s="120"/>
    </row>
    <row r="16" spans="1:27" x14ac:dyDescent="0.25">
      <c r="A16" s="782"/>
      <c r="B16" s="899"/>
      <c r="C16" s="899"/>
      <c r="D16" s="4301" t="s">
        <v>596</v>
      </c>
      <c r="E16" s="4301"/>
      <c r="F16" s="4301"/>
      <c r="G16" s="4301"/>
      <c r="H16" s="4301"/>
      <c r="I16" s="4302"/>
      <c r="J16" s="4303" t="s">
        <v>597</v>
      </c>
      <c r="K16" s="4301"/>
      <c r="L16" s="4301"/>
      <c r="M16" s="4301"/>
      <c r="N16" s="4301"/>
      <c r="O16" s="4302"/>
      <c r="P16" s="120"/>
      <c r="Q16" s="120"/>
      <c r="R16" s="120"/>
      <c r="S16" s="120"/>
      <c r="T16" s="120"/>
      <c r="U16" s="120"/>
    </row>
    <row r="17" spans="1:25" s="1390" customFormat="1" x14ac:dyDescent="0.25">
      <c r="A17" s="902"/>
      <c r="B17" s="1388"/>
      <c r="C17" s="1388"/>
      <c r="D17" s="4304" t="s">
        <v>558</v>
      </c>
      <c r="E17" s="4304"/>
      <c r="F17" s="4304"/>
      <c r="G17" s="4304" t="s">
        <v>557</v>
      </c>
      <c r="H17" s="4304"/>
      <c r="I17" s="4305"/>
      <c r="J17" s="4306" t="s">
        <v>558</v>
      </c>
      <c r="K17" s="4304"/>
      <c r="L17" s="4304"/>
      <c r="M17" s="4304" t="s">
        <v>557</v>
      </c>
      <c r="N17" s="4304"/>
      <c r="O17" s="4305"/>
      <c r="P17" s="371"/>
      <c r="Q17" s="371"/>
      <c r="R17" s="371"/>
      <c r="S17" s="371"/>
      <c r="T17" s="371"/>
      <c r="U17" s="371"/>
      <c r="V17" s="1389"/>
    </row>
    <row r="18" spans="1:25" s="903" customFormat="1" x14ac:dyDescent="0.25">
      <c r="A18" s="902"/>
      <c r="B18" s="1391"/>
      <c r="C18" s="1391"/>
      <c r="D18" s="4307"/>
      <c r="E18" s="4307"/>
      <c r="F18" s="4308"/>
      <c r="G18" s="1392"/>
      <c r="H18" s="4309"/>
      <c r="I18" s="4310"/>
      <c r="J18" s="4311"/>
      <c r="K18" s="4309"/>
      <c r="L18" s="4310"/>
      <c r="M18" s="1393"/>
      <c r="N18" s="1393"/>
      <c r="O18" s="1394"/>
      <c r="P18" s="945"/>
      <c r="Q18" s="945"/>
      <c r="R18" s="945"/>
      <c r="S18" s="1395"/>
      <c r="T18" s="1396"/>
      <c r="U18" s="1396"/>
      <c r="V18" s="1396"/>
      <c r="W18" s="945"/>
    </row>
    <row r="19" spans="1:25" s="903" customFormat="1" x14ac:dyDescent="0.25">
      <c r="A19" s="902"/>
      <c r="B19" s="1391"/>
      <c r="C19" s="1391"/>
      <c r="D19" s="1231">
        <v>1995</v>
      </c>
      <c r="E19" s="1231">
        <v>1999</v>
      </c>
      <c r="F19" s="1397">
        <v>2002</v>
      </c>
      <c r="G19" s="1231">
        <v>1995</v>
      </c>
      <c r="H19" s="1231">
        <v>1999</v>
      </c>
      <c r="I19" s="1397">
        <v>2002</v>
      </c>
      <c r="J19" s="1398">
        <v>2002</v>
      </c>
      <c r="K19" s="1231">
        <v>2011</v>
      </c>
      <c r="L19" s="1397">
        <v>2015</v>
      </c>
      <c r="M19" s="1399">
        <v>2002</v>
      </c>
      <c r="N19" s="1231">
        <v>2011</v>
      </c>
      <c r="O19" s="1397">
        <v>2015</v>
      </c>
      <c r="P19" s="139"/>
      <c r="Q19" s="139"/>
      <c r="R19" s="139"/>
      <c r="S19" s="139"/>
      <c r="T19" s="945"/>
      <c r="U19" s="1396"/>
      <c r="V19" s="1396"/>
      <c r="W19" s="1396"/>
      <c r="X19" s="1396"/>
      <c r="Y19" s="139"/>
    </row>
    <row r="20" spans="1:25" s="903" customFormat="1" x14ac:dyDescent="0.25">
      <c r="A20" s="902"/>
      <c r="B20" s="1391"/>
      <c r="C20" s="1391"/>
      <c r="D20" s="767" t="s">
        <v>598</v>
      </c>
      <c r="E20" s="1132" t="s">
        <v>591</v>
      </c>
      <c r="F20" s="1400" t="s">
        <v>592</v>
      </c>
      <c r="G20" s="1401" t="s">
        <v>599</v>
      </c>
      <c r="H20" s="1401" t="s">
        <v>587</v>
      </c>
      <c r="I20" s="1402" t="s">
        <v>588</v>
      </c>
      <c r="J20" s="1403" t="s">
        <v>600</v>
      </c>
      <c r="K20" s="1401" t="s">
        <v>593</v>
      </c>
      <c r="L20" s="1404" t="s">
        <v>594</v>
      </c>
      <c r="M20" s="31" t="s">
        <v>601</v>
      </c>
      <c r="N20" s="1401" t="s">
        <v>589</v>
      </c>
      <c r="O20" s="1404" t="s">
        <v>590</v>
      </c>
      <c r="P20" s="139"/>
      <c r="Q20" s="139"/>
      <c r="R20" s="139"/>
      <c r="S20" s="139"/>
      <c r="T20" s="1396"/>
      <c r="U20" s="1396"/>
      <c r="V20" s="1396"/>
      <c r="W20" s="1396"/>
      <c r="X20" s="1396"/>
      <c r="Y20" s="139"/>
    </row>
    <row r="21" spans="1:25" s="903" customFormat="1" x14ac:dyDescent="0.25">
      <c r="A21" s="902"/>
      <c r="B21" s="1391"/>
      <c r="C21" s="1391"/>
      <c r="D21" s="1405"/>
      <c r="E21" s="1385"/>
      <c r="F21" s="722"/>
      <c r="G21" s="1386"/>
      <c r="H21" s="1386"/>
      <c r="I21" s="24"/>
      <c r="J21" s="24"/>
      <c r="K21" s="1386"/>
      <c r="L21" s="1386"/>
      <c r="M21" s="139"/>
      <c r="N21" s="139"/>
      <c r="O21" s="139"/>
      <c r="P21" s="139"/>
      <c r="Q21" s="139"/>
      <c r="R21" s="139"/>
      <c r="S21" s="139"/>
      <c r="T21" s="139"/>
      <c r="U21" s="139"/>
      <c r="V21" s="139"/>
      <c r="W21" s="139"/>
      <c r="X21" s="139"/>
    </row>
    <row r="23" spans="1:25" x14ac:dyDescent="0.25">
      <c r="A23" s="267"/>
      <c r="B23" s="267"/>
      <c r="C23" s="899"/>
      <c r="D23" s="122" t="s">
        <v>112</v>
      </c>
      <c r="E23" s="1387" t="s">
        <v>602</v>
      </c>
      <c r="F23" s="122"/>
      <c r="G23" s="122"/>
      <c r="H23" s="122"/>
      <c r="I23" s="122"/>
      <c r="J23" s="122"/>
      <c r="K23" s="122"/>
      <c r="L23" s="122"/>
      <c r="M23" s="122"/>
      <c r="N23" s="122"/>
      <c r="O23" s="122"/>
      <c r="P23" s="122"/>
      <c r="Q23" s="945"/>
      <c r="R23" s="945"/>
      <c r="S23" s="945"/>
      <c r="T23" s="945"/>
      <c r="U23" s="945"/>
      <c r="V23" s="945"/>
      <c r="W23" s="945"/>
      <c r="X23" s="945"/>
      <c r="Y23" s="903"/>
    </row>
    <row r="24" spans="1:25" ht="15" customHeight="1" x14ac:dyDescent="0.25">
      <c r="A24" s="782"/>
      <c r="B24" s="899"/>
      <c r="C24" s="899"/>
      <c r="D24" s="1406"/>
      <c r="E24" s="4312" t="s">
        <v>558</v>
      </c>
      <c r="F24" s="4312"/>
      <c r="G24" s="4312"/>
      <c r="H24" s="4313" t="s">
        <v>557</v>
      </c>
      <c r="I24" s="4312"/>
      <c r="J24" s="4312"/>
      <c r="K24" s="4314" t="s">
        <v>557</v>
      </c>
      <c r="L24" s="4316" t="s">
        <v>558</v>
      </c>
      <c r="M24" s="945"/>
      <c r="N24" s="945"/>
      <c r="O24" s="945"/>
      <c r="P24" s="945"/>
      <c r="Q24" s="945"/>
      <c r="R24" s="945"/>
      <c r="S24" s="945"/>
      <c r="T24" s="945"/>
      <c r="U24" s="903"/>
    </row>
    <row r="25" spans="1:25" ht="21.6" customHeight="1" x14ac:dyDescent="0.25">
      <c r="A25" s="782"/>
      <c r="B25" s="899"/>
      <c r="C25" s="899"/>
      <c r="D25" s="1407" t="s">
        <v>480</v>
      </c>
      <c r="E25" s="1408">
        <v>2011</v>
      </c>
      <c r="F25" s="1408">
        <v>2015</v>
      </c>
      <c r="G25" s="1409" t="s">
        <v>603</v>
      </c>
      <c r="H25" s="1410">
        <v>2011</v>
      </c>
      <c r="I25" s="1411">
        <v>2015</v>
      </c>
      <c r="J25" s="1409" t="s">
        <v>603</v>
      </c>
      <c r="K25" s="4315"/>
      <c r="L25" s="4317"/>
      <c r="M25" s="185"/>
      <c r="N25" s="185"/>
      <c r="O25" s="185"/>
      <c r="P25" s="185"/>
      <c r="Q25" s="185"/>
      <c r="R25" s="185"/>
      <c r="S25" s="185"/>
      <c r="T25" s="903"/>
    </row>
    <row r="26" spans="1:25" x14ac:dyDescent="0.25">
      <c r="A26" s="782"/>
      <c r="B26" s="899"/>
      <c r="C26" s="899"/>
      <c r="D26" s="1377" t="s">
        <v>19</v>
      </c>
      <c r="E26" s="1412">
        <v>316</v>
      </c>
      <c r="F26" s="1412">
        <v>346</v>
      </c>
      <c r="G26" s="1413" t="s">
        <v>604</v>
      </c>
      <c r="H26" s="1414">
        <v>282</v>
      </c>
      <c r="I26" s="24">
        <v>328</v>
      </c>
      <c r="J26" s="1415" t="s">
        <v>604</v>
      </c>
      <c r="K26" s="1366">
        <f>I26-H26</f>
        <v>46</v>
      </c>
      <c r="L26" s="1416">
        <f>F26-E26</f>
        <v>30</v>
      </c>
      <c r="M26" s="1366"/>
      <c r="N26" s="1366"/>
      <c r="O26" s="1366"/>
      <c r="P26" s="1366"/>
      <c r="Q26" s="1366"/>
      <c r="R26" s="1366"/>
      <c r="S26" s="1366"/>
      <c r="T26" s="903"/>
    </row>
    <row r="27" spans="1:25" x14ac:dyDescent="0.25">
      <c r="A27" s="782"/>
      <c r="B27" s="899"/>
      <c r="C27" s="899"/>
      <c r="D27" s="1355" t="s">
        <v>20</v>
      </c>
      <c r="E27" s="722">
        <v>359</v>
      </c>
      <c r="F27" s="722">
        <v>367</v>
      </c>
      <c r="G27" s="1413" t="s">
        <v>604</v>
      </c>
      <c r="H27" s="1386">
        <v>341</v>
      </c>
      <c r="I27" s="24">
        <v>351</v>
      </c>
      <c r="J27" s="1415" t="s">
        <v>604</v>
      </c>
      <c r="K27" s="1366">
        <f t="shared" ref="K27:K34" si="0">I27-H27</f>
        <v>10</v>
      </c>
      <c r="L27" s="1416">
        <f t="shared" ref="L27:L34" si="1">F27-E27</f>
        <v>8</v>
      </c>
      <c r="M27" s="10"/>
      <c r="N27" s="10"/>
      <c r="O27" s="10"/>
      <c r="P27" s="10"/>
      <c r="Q27" s="10"/>
      <c r="R27" s="10"/>
      <c r="S27" s="10"/>
      <c r="T27" s="903"/>
    </row>
    <row r="28" spans="1:25" x14ac:dyDescent="0.25">
      <c r="A28" s="782"/>
      <c r="B28" s="899"/>
      <c r="C28" s="899"/>
      <c r="D28" s="1355" t="s">
        <v>21</v>
      </c>
      <c r="E28" s="722">
        <v>389</v>
      </c>
      <c r="F28" s="722">
        <v>408</v>
      </c>
      <c r="G28" s="1413" t="s">
        <v>604</v>
      </c>
      <c r="H28" s="1386">
        <v>387</v>
      </c>
      <c r="I28" s="24">
        <v>405</v>
      </c>
      <c r="J28" s="1415" t="s">
        <v>604</v>
      </c>
      <c r="K28" s="1366">
        <f t="shared" si="0"/>
        <v>18</v>
      </c>
      <c r="L28" s="1416">
        <f t="shared" si="1"/>
        <v>19</v>
      </c>
      <c r="M28" s="10"/>
      <c r="N28" s="10"/>
      <c r="O28" s="10"/>
      <c r="P28" s="10"/>
      <c r="Q28" s="10"/>
      <c r="R28" s="10"/>
      <c r="S28" s="10"/>
      <c r="T28" s="903"/>
    </row>
    <row r="29" spans="1:25" x14ac:dyDescent="0.25">
      <c r="A29" s="782"/>
      <c r="B29" s="899"/>
      <c r="C29" s="1391"/>
      <c r="D29" s="1355" t="s">
        <v>605</v>
      </c>
      <c r="E29" s="722">
        <v>337</v>
      </c>
      <c r="F29" s="722">
        <v>369</v>
      </c>
      <c r="G29" s="1413" t="s">
        <v>604</v>
      </c>
      <c r="H29" s="1386">
        <v>308</v>
      </c>
      <c r="I29" s="24">
        <v>352</v>
      </c>
      <c r="J29" s="1415" t="s">
        <v>604</v>
      </c>
      <c r="K29" s="1366">
        <f t="shared" si="0"/>
        <v>44</v>
      </c>
      <c r="L29" s="1416">
        <f t="shared" si="1"/>
        <v>32</v>
      </c>
      <c r="M29" s="10"/>
      <c r="N29" s="10"/>
      <c r="O29" s="10"/>
      <c r="P29" s="10"/>
      <c r="Q29" s="10"/>
      <c r="R29" s="10"/>
      <c r="S29" s="10"/>
      <c r="T29" s="903"/>
    </row>
    <row r="30" spans="1:25" x14ac:dyDescent="0.25">
      <c r="A30" s="782"/>
      <c r="B30" s="899"/>
      <c r="C30" s="899"/>
      <c r="D30" s="1355" t="s">
        <v>23</v>
      </c>
      <c r="E30" s="722">
        <v>322</v>
      </c>
      <c r="F30" s="722">
        <v>361</v>
      </c>
      <c r="G30" s="1413" t="s">
        <v>604</v>
      </c>
      <c r="H30" s="1386">
        <v>284</v>
      </c>
      <c r="I30" s="24">
        <v>339</v>
      </c>
      <c r="J30" s="1415" t="s">
        <v>604</v>
      </c>
      <c r="K30" s="1366">
        <f t="shared" si="0"/>
        <v>55</v>
      </c>
      <c r="L30" s="1416">
        <f t="shared" si="1"/>
        <v>39</v>
      </c>
      <c r="M30" s="1366"/>
      <c r="N30" s="1366"/>
      <c r="O30" s="1366"/>
      <c r="P30" s="1366"/>
      <c r="Q30" s="1366"/>
      <c r="R30" s="1366"/>
      <c r="S30" s="1366"/>
      <c r="T30" s="1417"/>
    </row>
    <row r="31" spans="1:25" x14ac:dyDescent="0.25">
      <c r="A31" s="782"/>
      <c r="B31" s="899"/>
      <c r="C31" s="899"/>
      <c r="D31" s="1355" t="s">
        <v>24</v>
      </c>
      <c r="E31" s="722">
        <v>344</v>
      </c>
      <c r="F31" s="722">
        <v>370</v>
      </c>
      <c r="G31" s="1413" t="s">
        <v>604</v>
      </c>
      <c r="H31" s="1386">
        <v>326</v>
      </c>
      <c r="I31" s="24">
        <v>348</v>
      </c>
      <c r="J31" s="1415" t="s">
        <v>604</v>
      </c>
      <c r="K31" s="1366">
        <f t="shared" si="0"/>
        <v>22</v>
      </c>
      <c r="L31" s="1416">
        <f t="shared" si="1"/>
        <v>26</v>
      </c>
      <c r="M31" s="10"/>
      <c r="N31" s="10"/>
      <c r="O31" s="10"/>
      <c r="P31" s="10"/>
      <c r="Q31" s="10"/>
      <c r="R31" s="10"/>
      <c r="S31" s="10"/>
      <c r="T31" s="1418"/>
    </row>
    <row r="32" spans="1:25" x14ac:dyDescent="0.25">
      <c r="A32" s="782"/>
      <c r="B32" s="899"/>
      <c r="C32" s="899"/>
      <c r="D32" s="1355" t="s">
        <v>25</v>
      </c>
      <c r="E32" s="722">
        <v>350</v>
      </c>
      <c r="F32" s="722">
        <v>354</v>
      </c>
      <c r="G32" s="1413" t="s">
        <v>604</v>
      </c>
      <c r="H32" s="1386">
        <v>334</v>
      </c>
      <c r="I32" s="24">
        <v>335</v>
      </c>
      <c r="J32" s="1415" t="s">
        <v>604</v>
      </c>
      <c r="K32" s="1366">
        <f t="shared" si="0"/>
        <v>1</v>
      </c>
      <c r="L32" s="1416">
        <f t="shared" si="1"/>
        <v>4</v>
      </c>
      <c r="M32" s="10"/>
      <c r="N32" s="10"/>
      <c r="O32" s="10"/>
      <c r="P32" s="10"/>
      <c r="Q32" s="10"/>
      <c r="R32" s="10"/>
      <c r="S32" s="10"/>
      <c r="T32" s="903"/>
    </row>
    <row r="33" spans="1:24" x14ac:dyDescent="0.25">
      <c r="A33" s="782"/>
      <c r="B33" s="899"/>
      <c r="C33" s="1391"/>
      <c r="D33" s="1355" t="s">
        <v>26</v>
      </c>
      <c r="E33" s="722">
        <v>366</v>
      </c>
      <c r="F33" s="722">
        <v>364</v>
      </c>
      <c r="G33" s="1413" t="s">
        <v>606</v>
      </c>
      <c r="H33" s="1386">
        <v>368</v>
      </c>
      <c r="I33" s="24">
        <v>356</v>
      </c>
      <c r="J33" s="1415" t="s">
        <v>606</v>
      </c>
      <c r="K33" s="1366">
        <f t="shared" si="0"/>
        <v>-12</v>
      </c>
      <c r="L33" s="1416">
        <f t="shared" si="1"/>
        <v>-2</v>
      </c>
      <c r="M33" s="10"/>
      <c r="N33" s="10"/>
      <c r="O33" s="10"/>
      <c r="P33" s="10"/>
      <c r="Q33" s="10"/>
      <c r="R33" s="10"/>
      <c r="S33" s="10"/>
      <c r="T33" s="903"/>
    </row>
    <row r="34" spans="1:24" x14ac:dyDescent="0.25">
      <c r="A34" s="782"/>
      <c r="B34" s="899"/>
      <c r="C34" s="899"/>
      <c r="D34" s="1419" t="s">
        <v>27</v>
      </c>
      <c r="E34" s="767">
        <v>404</v>
      </c>
      <c r="F34" s="767">
        <v>391</v>
      </c>
      <c r="G34" s="1420" t="s">
        <v>606</v>
      </c>
      <c r="H34" s="1401">
        <v>409</v>
      </c>
      <c r="I34" s="31">
        <v>388</v>
      </c>
      <c r="J34" s="1421" t="s">
        <v>606</v>
      </c>
      <c r="K34" s="1422">
        <f t="shared" si="0"/>
        <v>-21</v>
      </c>
      <c r="L34" s="1423">
        <f t="shared" si="1"/>
        <v>-13</v>
      </c>
      <c r="M34" s="1369"/>
      <c r="N34" s="1369"/>
      <c r="O34" s="1369"/>
      <c r="P34" s="1369"/>
      <c r="Q34" s="1369"/>
      <c r="R34" s="1369"/>
      <c r="S34" s="1369"/>
      <c r="T34" s="1369"/>
      <c r="U34" s="1369"/>
      <c r="V34" s="139"/>
      <c r="W34" s="903"/>
    </row>
    <row r="35" spans="1:24" x14ac:dyDescent="0.25">
      <c r="A35" s="782"/>
      <c r="B35" s="899"/>
      <c r="C35" s="899"/>
      <c r="D35" s="1355"/>
      <c r="E35" s="722"/>
      <c r="F35" s="722"/>
      <c r="G35" s="1424"/>
      <c r="H35" s="1386"/>
      <c r="I35" s="24"/>
      <c r="J35" s="1424"/>
      <c r="K35" s="1369"/>
      <c r="L35" s="1369"/>
      <c r="M35" s="1369"/>
      <c r="N35" s="1369"/>
      <c r="O35" s="1369"/>
      <c r="P35" s="1369"/>
      <c r="Q35" s="1369"/>
      <c r="R35" s="1369"/>
      <c r="S35" s="1369"/>
      <c r="T35" s="1369"/>
      <c r="U35" s="1369"/>
      <c r="V35" s="139"/>
      <c r="W35" s="903"/>
    </row>
    <row r="36" spans="1:24" x14ac:dyDescent="0.25">
      <c r="A36" s="782"/>
      <c r="B36" s="899"/>
      <c r="C36" s="899"/>
      <c r="D36" s="900"/>
      <c r="E36" s="1370"/>
      <c r="F36" s="900"/>
      <c r="G36" s="900"/>
      <c r="H36" s="900"/>
      <c r="I36" s="900"/>
      <c r="J36" s="900"/>
      <c r="K36" s="900"/>
      <c r="L36" s="900"/>
      <c r="M36" s="900"/>
      <c r="N36" s="900"/>
      <c r="O36" s="900"/>
      <c r="P36" s="900"/>
      <c r="Q36" s="900"/>
      <c r="R36" s="900"/>
      <c r="S36" s="900"/>
      <c r="T36" s="1369"/>
      <c r="U36" s="1369"/>
      <c r="V36" s="1369"/>
      <c r="W36" s="1369"/>
      <c r="X36" s="1369"/>
    </row>
    <row r="37" spans="1:24" x14ac:dyDescent="0.25">
      <c r="A37" s="782">
        <v>5</v>
      </c>
      <c r="B37" s="782" t="s">
        <v>29</v>
      </c>
      <c r="C37" s="782"/>
      <c r="D37" s="4048" t="s">
        <v>1801</v>
      </c>
      <c r="E37" s="4049"/>
      <c r="F37" s="4049"/>
      <c r="G37" s="4049"/>
      <c r="H37" s="4049"/>
      <c r="I37" s="4049"/>
      <c r="J37" s="4049"/>
      <c r="K37" s="4049"/>
      <c r="L37" s="4049"/>
      <c r="M37" s="4049"/>
      <c r="N37" s="4049"/>
      <c r="O37" s="4049"/>
      <c r="P37" s="4049"/>
      <c r="Q37" s="4050"/>
      <c r="R37" s="142"/>
      <c r="S37" s="142"/>
      <c r="T37" s="1369"/>
      <c r="U37" s="1369"/>
      <c r="V37" s="1369"/>
      <c r="W37" s="1369"/>
      <c r="X37" s="1369"/>
    </row>
    <row r="38" spans="1:24" ht="15" customHeight="1" x14ac:dyDescent="0.25">
      <c r="A38" s="782">
        <v>6</v>
      </c>
      <c r="B38" s="782" t="s">
        <v>95</v>
      </c>
      <c r="C38" s="782"/>
      <c r="D38" s="4048" t="s">
        <v>607</v>
      </c>
      <c r="E38" s="4049"/>
      <c r="F38" s="4049"/>
      <c r="G38" s="4049"/>
      <c r="H38" s="4049"/>
      <c r="I38" s="4049"/>
      <c r="J38" s="4049"/>
      <c r="K38" s="4049"/>
      <c r="L38" s="4049"/>
      <c r="M38" s="4049"/>
      <c r="N38" s="4049"/>
      <c r="O38" s="4049"/>
      <c r="P38" s="4049"/>
      <c r="Q38" s="4050"/>
      <c r="R38" s="142"/>
      <c r="S38" s="142"/>
      <c r="T38" s="1369"/>
      <c r="U38" s="1369"/>
      <c r="V38" s="1369"/>
      <c r="W38" s="1369"/>
      <c r="X38" s="1369"/>
    </row>
    <row r="39" spans="1:24" ht="15" customHeight="1" x14ac:dyDescent="0.25">
      <c r="A39" s="818">
        <v>7</v>
      </c>
      <c r="B39" s="818" t="s">
        <v>32</v>
      </c>
      <c r="C39" s="818"/>
      <c r="D39" s="4048" t="s">
        <v>608</v>
      </c>
      <c r="E39" s="4049"/>
      <c r="F39" s="4049"/>
      <c r="G39" s="4049"/>
      <c r="H39" s="4049"/>
      <c r="I39" s="4049"/>
      <c r="J39" s="4049"/>
      <c r="K39" s="4049"/>
      <c r="L39" s="4049"/>
      <c r="M39" s="4049"/>
      <c r="N39" s="4049"/>
      <c r="O39" s="4049"/>
      <c r="P39" s="4049"/>
      <c r="Q39" s="4050"/>
      <c r="R39" s="142"/>
      <c r="S39" s="142"/>
      <c r="T39" s="1369"/>
      <c r="U39" s="1369"/>
      <c r="V39" s="1369"/>
      <c r="W39" s="1369"/>
      <c r="X39" s="1369"/>
    </row>
    <row r="40" spans="1:24" ht="15" customHeight="1" x14ac:dyDescent="0.25">
      <c r="A40" s="782">
        <v>8</v>
      </c>
      <c r="B40" s="782" t="s">
        <v>31</v>
      </c>
      <c r="C40" s="782"/>
      <c r="D40" s="4048" t="s">
        <v>1740</v>
      </c>
      <c r="E40" s="4049"/>
      <c r="F40" s="4049"/>
      <c r="G40" s="4049"/>
      <c r="H40" s="4049"/>
      <c r="I40" s="4049"/>
      <c r="J40" s="4049"/>
      <c r="K40" s="4049"/>
      <c r="L40" s="4049"/>
      <c r="M40" s="4049"/>
      <c r="N40" s="4049"/>
      <c r="O40" s="4049"/>
      <c r="P40" s="4049"/>
      <c r="Q40" s="4050"/>
      <c r="R40" s="142"/>
      <c r="S40" s="142"/>
      <c r="T40" s="1369"/>
      <c r="U40" s="1369"/>
      <c r="V40" s="1369"/>
      <c r="W40" s="1369"/>
      <c r="X40" s="1369"/>
    </row>
    <row r="41" spans="1:24" x14ac:dyDescent="0.25">
      <c r="T41" s="1369"/>
      <c r="U41" s="1369"/>
      <c r="V41" s="1369"/>
      <c r="W41" s="1369"/>
      <c r="X41" s="1369"/>
    </row>
    <row r="45" spans="1:24" x14ac:dyDescent="0.25">
      <c r="D45" s="196"/>
    </row>
  </sheetData>
  <mergeCells count="22">
    <mergeCell ref="D37:Q37"/>
    <mergeCell ref="D38:Q38"/>
    <mergeCell ref="D39:Q39"/>
    <mergeCell ref="D40:Q40"/>
    <mergeCell ref="D18:F18"/>
    <mergeCell ref="H18:I18"/>
    <mergeCell ref="J18:L18"/>
    <mergeCell ref="E24:G24"/>
    <mergeCell ref="H24:J24"/>
    <mergeCell ref="K24:K25"/>
    <mergeCell ref="L24:L25"/>
    <mergeCell ref="D16:I16"/>
    <mergeCell ref="J16:O16"/>
    <mergeCell ref="D17:F17"/>
    <mergeCell ref="G17:I17"/>
    <mergeCell ref="J17:L17"/>
    <mergeCell ref="M17:O17"/>
    <mergeCell ref="D2:S2"/>
    <mergeCell ref="D3:S3"/>
    <mergeCell ref="D4:S4"/>
    <mergeCell ref="E7:H7"/>
    <mergeCell ref="I7:L7"/>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46"/>
  <sheetViews>
    <sheetView showGridLines="0" view="pageBreakPreview" zoomScaleNormal="100" zoomScaleSheetLayoutView="100" workbookViewId="0">
      <selection activeCell="G35" sqref="G35"/>
    </sheetView>
  </sheetViews>
  <sheetFormatPr defaultRowHeight="12.75" x14ac:dyDescent="0.2"/>
  <cols>
    <col min="1" max="1" width="3" style="1429" bestFit="1" customWidth="1"/>
    <col min="2" max="2" width="14.28515625" style="1429" bestFit="1" customWidth="1"/>
    <col min="3" max="3" width="3" style="1429" bestFit="1" customWidth="1"/>
    <col min="4" max="4" width="27.28515625" style="1429" customWidth="1"/>
    <col min="5" max="11" width="8.28515625" style="1429" customWidth="1"/>
    <col min="12" max="27" width="9.7109375" style="1429" customWidth="1"/>
    <col min="28" max="262" width="9.140625" style="1429"/>
    <col min="263" max="263" width="3" style="1429" bestFit="1" customWidth="1"/>
    <col min="264" max="264" width="14.28515625" style="1429" bestFit="1" customWidth="1"/>
    <col min="265" max="265" width="3" style="1429" bestFit="1" customWidth="1"/>
    <col min="266" max="266" width="12.140625" style="1429" customWidth="1"/>
    <col min="267" max="274" width="7.28515625" style="1429" customWidth="1"/>
    <col min="275" max="276" width="12.140625" style="1429" customWidth="1"/>
    <col min="277" max="277" width="7.28515625" style="1429" customWidth="1"/>
    <col min="278" max="278" width="9.7109375" style="1429" customWidth="1"/>
    <col min="279" max="518" width="9.140625" style="1429"/>
    <col min="519" max="519" width="3" style="1429" bestFit="1" customWidth="1"/>
    <col min="520" max="520" width="14.28515625" style="1429" bestFit="1" customWidth="1"/>
    <col min="521" max="521" width="3" style="1429" bestFit="1" customWidth="1"/>
    <col min="522" max="522" width="12.140625" style="1429" customWidth="1"/>
    <col min="523" max="530" width="7.28515625" style="1429" customWidth="1"/>
    <col min="531" max="532" width="12.140625" style="1429" customWidth="1"/>
    <col min="533" max="533" width="7.28515625" style="1429" customWidth="1"/>
    <col min="534" max="534" width="9.7109375" style="1429" customWidth="1"/>
    <col min="535" max="774" width="9.140625" style="1429"/>
    <col min="775" max="775" width="3" style="1429" bestFit="1" customWidth="1"/>
    <col min="776" max="776" width="14.28515625" style="1429" bestFit="1" customWidth="1"/>
    <col min="777" max="777" width="3" style="1429" bestFit="1" customWidth="1"/>
    <col min="778" max="778" width="12.140625" style="1429" customWidth="1"/>
    <col min="779" max="786" width="7.28515625" style="1429" customWidth="1"/>
    <col min="787" max="788" width="12.140625" style="1429" customWidth="1"/>
    <col min="789" max="789" width="7.28515625" style="1429" customWidth="1"/>
    <col min="790" max="790" width="9.7109375" style="1429" customWidth="1"/>
    <col min="791" max="1030" width="9.140625" style="1429"/>
    <col min="1031" max="1031" width="3" style="1429" bestFit="1" customWidth="1"/>
    <col min="1032" max="1032" width="14.28515625" style="1429" bestFit="1" customWidth="1"/>
    <col min="1033" max="1033" width="3" style="1429" bestFit="1" customWidth="1"/>
    <col min="1034" max="1034" width="12.140625" style="1429" customWidth="1"/>
    <col min="1035" max="1042" width="7.28515625" style="1429" customWidth="1"/>
    <col min="1043" max="1044" width="12.140625" style="1429" customWidth="1"/>
    <col min="1045" max="1045" width="7.28515625" style="1429" customWidth="1"/>
    <col min="1046" max="1046" width="9.7109375" style="1429" customWidth="1"/>
    <col min="1047" max="1286" width="9.140625" style="1429"/>
    <col min="1287" max="1287" width="3" style="1429" bestFit="1" customWidth="1"/>
    <col min="1288" max="1288" width="14.28515625" style="1429" bestFit="1" customWidth="1"/>
    <col min="1289" max="1289" width="3" style="1429" bestFit="1" customWidth="1"/>
    <col min="1290" max="1290" width="12.140625" style="1429" customWidth="1"/>
    <col min="1291" max="1298" width="7.28515625" style="1429" customWidth="1"/>
    <col min="1299" max="1300" width="12.140625" style="1429" customWidth="1"/>
    <col min="1301" max="1301" width="7.28515625" style="1429" customWidth="1"/>
    <col min="1302" max="1302" width="9.7109375" style="1429" customWidth="1"/>
    <col min="1303" max="1542" width="9.140625" style="1429"/>
    <col min="1543" max="1543" width="3" style="1429" bestFit="1" customWidth="1"/>
    <col min="1544" max="1544" width="14.28515625" style="1429" bestFit="1" customWidth="1"/>
    <col min="1545" max="1545" width="3" style="1429" bestFit="1" customWidth="1"/>
    <col min="1546" max="1546" width="12.140625" style="1429" customWidth="1"/>
    <col min="1547" max="1554" width="7.28515625" style="1429" customWidth="1"/>
    <col min="1555" max="1556" width="12.140625" style="1429" customWidth="1"/>
    <col min="1557" max="1557" width="7.28515625" style="1429" customWidth="1"/>
    <col min="1558" max="1558" width="9.7109375" style="1429" customWidth="1"/>
    <col min="1559" max="1798" width="9.140625" style="1429"/>
    <col min="1799" max="1799" width="3" style="1429" bestFit="1" customWidth="1"/>
    <col min="1800" max="1800" width="14.28515625" style="1429" bestFit="1" customWidth="1"/>
    <col min="1801" max="1801" width="3" style="1429" bestFit="1" customWidth="1"/>
    <col min="1802" max="1802" width="12.140625" style="1429" customWidth="1"/>
    <col min="1803" max="1810" width="7.28515625" style="1429" customWidth="1"/>
    <col min="1811" max="1812" width="12.140625" style="1429" customWidth="1"/>
    <col min="1813" max="1813" width="7.28515625" style="1429" customWidth="1"/>
    <col min="1814" max="1814" width="9.7109375" style="1429" customWidth="1"/>
    <col min="1815" max="2054" width="9.140625" style="1429"/>
    <col min="2055" max="2055" width="3" style="1429" bestFit="1" customWidth="1"/>
    <col min="2056" max="2056" width="14.28515625" style="1429" bestFit="1" customWidth="1"/>
    <col min="2057" max="2057" width="3" style="1429" bestFit="1" customWidth="1"/>
    <col min="2058" max="2058" width="12.140625" style="1429" customWidth="1"/>
    <col min="2059" max="2066" width="7.28515625" style="1429" customWidth="1"/>
    <col min="2067" max="2068" width="12.140625" style="1429" customWidth="1"/>
    <col min="2069" max="2069" width="7.28515625" style="1429" customWidth="1"/>
    <col min="2070" max="2070" width="9.7109375" style="1429" customWidth="1"/>
    <col min="2071" max="2310" width="9.140625" style="1429"/>
    <col min="2311" max="2311" width="3" style="1429" bestFit="1" customWidth="1"/>
    <col min="2312" max="2312" width="14.28515625" style="1429" bestFit="1" customWidth="1"/>
    <col min="2313" max="2313" width="3" style="1429" bestFit="1" customWidth="1"/>
    <col min="2314" max="2314" width="12.140625" style="1429" customWidth="1"/>
    <col min="2315" max="2322" width="7.28515625" style="1429" customWidth="1"/>
    <col min="2323" max="2324" width="12.140625" style="1429" customWidth="1"/>
    <col min="2325" max="2325" width="7.28515625" style="1429" customWidth="1"/>
    <col min="2326" max="2326" width="9.7109375" style="1429" customWidth="1"/>
    <col min="2327" max="2566" width="9.140625" style="1429"/>
    <col min="2567" max="2567" width="3" style="1429" bestFit="1" customWidth="1"/>
    <col min="2568" max="2568" width="14.28515625" style="1429" bestFit="1" customWidth="1"/>
    <col min="2569" max="2569" width="3" style="1429" bestFit="1" customWidth="1"/>
    <col min="2570" max="2570" width="12.140625" style="1429" customWidth="1"/>
    <col min="2571" max="2578" width="7.28515625" style="1429" customWidth="1"/>
    <col min="2579" max="2580" width="12.140625" style="1429" customWidth="1"/>
    <col min="2581" max="2581" width="7.28515625" style="1429" customWidth="1"/>
    <col min="2582" max="2582" width="9.7109375" style="1429" customWidth="1"/>
    <col min="2583" max="2822" width="9.140625" style="1429"/>
    <col min="2823" max="2823" width="3" style="1429" bestFit="1" customWidth="1"/>
    <col min="2824" max="2824" width="14.28515625" style="1429" bestFit="1" customWidth="1"/>
    <col min="2825" max="2825" width="3" style="1429" bestFit="1" customWidth="1"/>
    <col min="2826" max="2826" width="12.140625" style="1429" customWidth="1"/>
    <col min="2827" max="2834" width="7.28515625" style="1429" customWidth="1"/>
    <col min="2835" max="2836" width="12.140625" style="1429" customWidth="1"/>
    <col min="2837" max="2837" width="7.28515625" style="1429" customWidth="1"/>
    <col min="2838" max="2838" width="9.7109375" style="1429" customWidth="1"/>
    <col min="2839" max="3078" width="9.140625" style="1429"/>
    <col min="3079" max="3079" width="3" style="1429" bestFit="1" customWidth="1"/>
    <col min="3080" max="3080" width="14.28515625" style="1429" bestFit="1" customWidth="1"/>
    <col min="3081" max="3081" width="3" style="1429" bestFit="1" customWidth="1"/>
    <col min="3082" max="3082" width="12.140625" style="1429" customWidth="1"/>
    <col min="3083" max="3090" width="7.28515625" style="1429" customWidth="1"/>
    <col min="3091" max="3092" width="12.140625" style="1429" customWidth="1"/>
    <col min="3093" max="3093" width="7.28515625" style="1429" customWidth="1"/>
    <col min="3094" max="3094" width="9.7109375" style="1429" customWidth="1"/>
    <col min="3095" max="3334" width="9.140625" style="1429"/>
    <col min="3335" max="3335" width="3" style="1429" bestFit="1" customWidth="1"/>
    <col min="3336" max="3336" width="14.28515625" style="1429" bestFit="1" customWidth="1"/>
    <col min="3337" max="3337" width="3" style="1429" bestFit="1" customWidth="1"/>
    <col min="3338" max="3338" width="12.140625" style="1429" customWidth="1"/>
    <col min="3339" max="3346" width="7.28515625" style="1429" customWidth="1"/>
    <col min="3347" max="3348" width="12.140625" style="1429" customWidth="1"/>
    <col min="3349" max="3349" width="7.28515625" style="1429" customWidth="1"/>
    <col min="3350" max="3350" width="9.7109375" style="1429" customWidth="1"/>
    <col min="3351" max="3590" width="9.140625" style="1429"/>
    <col min="3591" max="3591" width="3" style="1429" bestFit="1" customWidth="1"/>
    <col min="3592" max="3592" width="14.28515625" style="1429" bestFit="1" customWidth="1"/>
    <col min="3593" max="3593" width="3" style="1429" bestFit="1" customWidth="1"/>
    <col min="3594" max="3594" width="12.140625" style="1429" customWidth="1"/>
    <col min="3595" max="3602" width="7.28515625" style="1429" customWidth="1"/>
    <col min="3603" max="3604" width="12.140625" style="1429" customWidth="1"/>
    <col min="3605" max="3605" width="7.28515625" style="1429" customWidth="1"/>
    <col min="3606" max="3606" width="9.7109375" style="1429" customWidth="1"/>
    <col min="3607" max="3846" width="9.140625" style="1429"/>
    <col min="3847" max="3847" width="3" style="1429" bestFit="1" customWidth="1"/>
    <col min="3848" max="3848" width="14.28515625" style="1429" bestFit="1" customWidth="1"/>
    <col min="3849" max="3849" width="3" style="1429" bestFit="1" customWidth="1"/>
    <col min="3850" max="3850" width="12.140625" style="1429" customWidth="1"/>
    <col min="3851" max="3858" width="7.28515625" style="1429" customWidth="1"/>
    <col min="3859" max="3860" width="12.140625" style="1429" customWidth="1"/>
    <col min="3861" max="3861" width="7.28515625" style="1429" customWidth="1"/>
    <col min="3862" max="3862" width="9.7109375" style="1429" customWidth="1"/>
    <col min="3863" max="4102" width="9.140625" style="1429"/>
    <col min="4103" max="4103" width="3" style="1429" bestFit="1" customWidth="1"/>
    <col min="4104" max="4104" width="14.28515625" style="1429" bestFit="1" customWidth="1"/>
    <col min="4105" max="4105" width="3" style="1429" bestFit="1" customWidth="1"/>
    <col min="4106" max="4106" width="12.140625" style="1429" customWidth="1"/>
    <col min="4107" max="4114" width="7.28515625" style="1429" customWidth="1"/>
    <col min="4115" max="4116" width="12.140625" style="1429" customWidth="1"/>
    <col min="4117" max="4117" width="7.28515625" style="1429" customWidth="1"/>
    <col min="4118" max="4118" width="9.7109375" style="1429" customWidth="1"/>
    <col min="4119" max="4358" width="9.140625" style="1429"/>
    <col min="4359" max="4359" width="3" style="1429" bestFit="1" customWidth="1"/>
    <col min="4360" max="4360" width="14.28515625" style="1429" bestFit="1" customWidth="1"/>
    <col min="4361" max="4361" width="3" style="1429" bestFit="1" customWidth="1"/>
    <col min="4362" max="4362" width="12.140625" style="1429" customWidth="1"/>
    <col min="4363" max="4370" width="7.28515625" style="1429" customWidth="1"/>
    <col min="4371" max="4372" width="12.140625" style="1429" customWidth="1"/>
    <col min="4373" max="4373" width="7.28515625" style="1429" customWidth="1"/>
    <col min="4374" max="4374" width="9.7109375" style="1429" customWidth="1"/>
    <col min="4375" max="4614" width="9.140625" style="1429"/>
    <col min="4615" max="4615" width="3" style="1429" bestFit="1" customWidth="1"/>
    <col min="4616" max="4616" width="14.28515625" style="1429" bestFit="1" customWidth="1"/>
    <col min="4617" max="4617" width="3" style="1429" bestFit="1" customWidth="1"/>
    <col min="4618" max="4618" width="12.140625" style="1429" customWidth="1"/>
    <col min="4619" max="4626" width="7.28515625" style="1429" customWidth="1"/>
    <col min="4627" max="4628" width="12.140625" style="1429" customWidth="1"/>
    <col min="4629" max="4629" width="7.28515625" style="1429" customWidth="1"/>
    <col min="4630" max="4630" width="9.7109375" style="1429" customWidth="1"/>
    <col min="4631" max="4870" width="9.140625" style="1429"/>
    <col min="4871" max="4871" width="3" style="1429" bestFit="1" customWidth="1"/>
    <col min="4872" max="4872" width="14.28515625" style="1429" bestFit="1" customWidth="1"/>
    <col min="4873" max="4873" width="3" style="1429" bestFit="1" customWidth="1"/>
    <col min="4874" max="4874" width="12.140625" style="1429" customWidth="1"/>
    <col min="4875" max="4882" width="7.28515625" style="1429" customWidth="1"/>
    <col min="4883" max="4884" width="12.140625" style="1429" customWidth="1"/>
    <col min="4885" max="4885" width="7.28515625" style="1429" customWidth="1"/>
    <col min="4886" max="4886" width="9.7109375" style="1429" customWidth="1"/>
    <col min="4887" max="5126" width="9.140625" style="1429"/>
    <col min="5127" max="5127" width="3" style="1429" bestFit="1" customWidth="1"/>
    <col min="5128" max="5128" width="14.28515625" style="1429" bestFit="1" customWidth="1"/>
    <col min="5129" max="5129" width="3" style="1429" bestFit="1" customWidth="1"/>
    <col min="5130" max="5130" width="12.140625" style="1429" customWidth="1"/>
    <col min="5131" max="5138" width="7.28515625" style="1429" customWidth="1"/>
    <col min="5139" max="5140" width="12.140625" style="1429" customWidth="1"/>
    <col min="5141" max="5141" width="7.28515625" style="1429" customWidth="1"/>
    <col min="5142" max="5142" width="9.7109375" style="1429" customWidth="1"/>
    <col min="5143" max="5382" width="9.140625" style="1429"/>
    <col min="5383" max="5383" width="3" style="1429" bestFit="1" customWidth="1"/>
    <col min="5384" max="5384" width="14.28515625" style="1429" bestFit="1" customWidth="1"/>
    <col min="5385" max="5385" width="3" style="1429" bestFit="1" customWidth="1"/>
    <col min="5386" max="5386" width="12.140625" style="1429" customWidth="1"/>
    <col min="5387" max="5394" width="7.28515625" style="1429" customWidth="1"/>
    <col min="5395" max="5396" width="12.140625" style="1429" customWidth="1"/>
    <col min="5397" max="5397" width="7.28515625" style="1429" customWidth="1"/>
    <col min="5398" max="5398" width="9.7109375" style="1429" customWidth="1"/>
    <col min="5399" max="5638" width="9.140625" style="1429"/>
    <col min="5639" max="5639" width="3" style="1429" bestFit="1" customWidth="1"/>
    <col min="5640" max="5640" width="14.28515625" style="1429" bestFit="1" customWidth="1"/>
    <col min="5641" max="5641" width="3" style="1429" bestFit="1" customWidth="1"/>
    <col min="5642" max="5642" width="12.140625" style="1429" customWidth="1"/>
    <col min="5643" max="5650" width="7.28515625" style="1429" customWidth="1"/>
    <col min="5651" max="5652" width="12.140625" style="1429" customWidth="1"/>
    <col min="5653" max="5653" width="7.28515625" style="1429" customWidth="1"/>
    <col min="5654" max="5654" width="9.7109375" style="1429" customWidth="1"/>
    <col min="5655" max="5894" width="9.140625" style="1429"/>
    <col min="5895" max="5895" width="3" style="1429" bestFit="1" customWidth="1"/>
    <col min="5896" max="5896" width="14.28515625" style="1429" bestFit="1" customWidth="1"/>
    <col min="5897" max="5897" width="3" style="1429" bestFit="1" customWidth="1"/>
    <col min="5898" max="5898" width="12.140625" style="1429" customWidth="1"/>
    <col min="5899" max="5906" width="7.28515625" style="1429" customWidth="1"/>
    <col min="5907" max="5908" width="12.140625" style="1429" customWidth="1"/>
    <col min="5909" max="5909" width="7.28515625" style="1429" customWidth="1"/>
    <col min="5910" max="5910" width="9.7109375" style="1429" customWidth="1"/>
    <col min="5911" max="6150" width="9.140625" style="1429"/>
    <col min="6151" max="6151" width="3" style="1429" bestFit="1" customWidth="1"/>
    <col min="6152" max="6152" width="14.28515625" style="1429" bestFit="1" customWidth="1"/>
    <col min="6153" max="6153" width="3" style="1429" bestFit="1" customWidth="1"/>
    <col min="6154" max="6154" width="12.140625" style="1429" customWidth="1"/>
    <col min="6155" max="6162" width="7.28515625" style="1429" customWidth="1"/>
    <col min="6163" max="6164" width="12.140625" style="1429" customWidth="1"/>
    <col min="6165" max="6165" width="7.28515625" style="1429" customWidth="1"/>
    <col min="6166" max="6166" width="9.7109375" style="1429" customWidth="1"/>
    <col min="6167" max="6406" width="9.140625" style="1429"/>
    <col min="6407" max="6407" width="3" style="1429" bestFit="1" customWidth="1"/>
    <col min="6408" max="6408" width="14.28515625" style="1429" bestFit="1" customWidth="1"/>
    <col min="6409" max="6409" width="3" style="1429" bestFit="1" customWidth="1"/>
    <col min="6410" max="6410" width="12.140625" style="1429" customWidth="1"/>
    <col min="6411" max="6418" width="7.28515625" style="1429" customWidth="1"/>
    <col min="6419" max="6420" width="12.140625" style="1429" customWidth="1"/>
    <col min="6421" max="6421" width="7.28515625" style="1429" customWidth="1"/>
    <col min="6422" max="6422" width="9.7109375" style="1429" customWidth="1"/>
    <col min="6423" max="6662" width="9.140625" style="1429"/>
    <col min="6663" max="6663" width="3" style="1429" bestFit="1" customWidth="1"/>
    <col min="6664" max="6664" width="14.28515625" style="1429" bestFit="1" customWidth="1"/>
    <col min="6665" max="6665" width="3" style="1429" bestFit="1" customWidth="1"/>
    <col min="6666" max="6666" width="12.140625" style="1429" customWidth="1"/>
    <col min="6667" max="6674" width="7.28515625" style="1429" customWidth="1"/>
    <col min="6675" max="6676" width="12.140625" style="1429" customWidth="1"/>
    <col min="6677" max="6677" width="7.28515625" style="1429" customWidth="1"/>
    <col min="6678" max="6678" width="9.7109375" style="1429" customWidth="1"/>
    <col min="6679" max="6918" width="9.140625" style="1429"/>
    <col min="6919" max="6919" width="3" style="1429" bestFit="1" customWidth="1"/>
    <col min="6920" max="6920" width="14.28515625" style="1429" bestFit="1" customWidth="1"/>
    <col min="6921" max="6921" width="3" style="1429" bestFit="1" customWidth="1"/>
    <col min="6922" max="6922" width="12.140625" style="1429" customWidth="1"/>
    <col min="6923" max="6930" width="7.28515625" style="1429" customWidth="1"/>
    <col min="6931" max="6932" width="12.140625" style="1429" customWidth="1"/>
    <col min="6933" max="6933" width="7.28515625" style="1429" customWidth="1"/>
    <col min="6934" max="6934" width="9.7109375" style="1429" customWidth="1"/>
    <col min="6935" max="7174" width="9.140625" style="1429"/>
    <col min="7175" max="7175" width="3" style="1429" bestFit="1" customWidth="1"/>
    <col min="7176" max="7176" width="14.28515625" style="1429" bestFit="1" customWidth="1"/>
    <col min="7177" max="7177" width="3" style="1429" bestFit="1" customWidth="1"/>
    <col min="7178" max="7178" width="12.140625" style="1429" customWidth="1"/>
    <col min="7179" max="7186" width="7.28515625" style="1429" customWidth="1"/>
    <col min="7187" max="7188" width="12.140625" style="1429" customWidth="1"/>
    <col min="7189" max="7189" width="7.28515625" style="1429" customWidth="1"/>
    <col min="7190" max="7190" width="9.7109375" style="1429" customWidth="1"/>
    <col min="7191" max="7430" width="9.140625" style="1429"/>
    <col min="7431" max="7431" width="3" style="1429" bestFit="1" customWidth="1"/>
    <col min="7432" max="7432" width="14.28515625" style="1429" bestFit="1" customWidth="1"/>
    <col min="7433" max="7433" width="3" style="1429" bestFit="1" customWidth="1"/>
    <col min="7434" max="7434" width="12.140625" style="1429" customWidth="1"/>
    <col min="7435" max="7442" width="7.28515625" style="1429" customWidth="1"/>
    <col min="7443" max="7444" width="12.140625" style="1429" customWidth="1"/>
    <col min="7445" max="7445" width="7.28515625" style="1429" customWidth="1"/>
    <col min="7446" max="7446" width="9.7109375" style="1429" customWidth="1"/>
    <col min="7447" max="7686" width="9.140625" style="1429"/>
    <col min="7687" max="7687" width="3" style="1429" bestFit="1" customWidth="1"/>
    <col min="7688" max="7688" width="14.28515625" style="1429" bestFit="1" customWidth="1"/>
    <col min="7689" max="7689" width="3" style="1429" bestFit="1" customWidth="1"/>
    <col min="7690" max="7690" width="12.140625" style="1429" customWidth="1"/>
    <col min="7691" max="7698" width="7.28515625" style="1429" customWidth="1"/>
    <col min="7699" max="7700" width="12.140625" style="1429" customWidth="1"/>
    <col min="7701" max="7701" width="7.28515625" style="1429" customWidth="1"/>
    <col min="7702" max="7702" width="9.7109375" style="1429" customWidth="1"/>
    <col min="7703" max="7942" width="9.140625" style="1429"/>
    <col min="7943" max="7943" width="3" style="1429" bestFit="1" customWidth="1"/>
    <col min="7944" max="7944" width="14.28515625" style="1429" bestFit="1" customWidth="1"/>
    <col min="7945" max="7945" width="3" style="1429" bestFit="1" customWidth="1"/>
    <col min="7946" max="7946" width="12.140625" style="1429" customWidth="1"/>
    <col min="7947" max="7954" width="7.28515625" style="1429" customWidth="1"/>
    <col min="7955" max="7956" width="12.140625" style="1429" customWidth="1"/>
    <col min="7957" max="7957" width="7.28515625" style="1429" customWidth="1"/>
    <col min="7958" max="7958" width="9.7109375" style="1429" customWidth="1"/>
    <col min="7959" max="8198" width="9.140625" style="1429"/>
    <col min="8199" max="8199" width="3" style="1429" bestFit="1" customWidth="1"/>
    <col min="8200" max="8200" width="14.28515625" style="1429" bestFit="1" customWidth="1"/>
    <col min="8201" max="8201" width="3" style="1429" bestFit="1" customWidth="1"/>
    <col min="8202" max="8202" width="12.140625" style="1429" customWidth="1"/>
    <col min="8203" max="8210" width="7.28515625" style="1429" customWidth="1"/>
    <col min="8211" max="8212" width="12.140625" style="1429" customWidth="1"/>
    <col min="8213" max="8213" width="7.28515625" style="1429" customWidth="1"/>
    <col min="8214" max="8214" width="9.7109375" style="1429" customWidth="1"/>
    <col min="8215" max="8454" width="9.140625" style="1429"/>
    <col min="8455" max="8455" width="3" style="1429" bestFit="1" customWidth="1"/>
    <col min="8456" max="8456" width="14.28515625" style="1429" bestFit="1" customWidth="1"/>
    <col min="8457" max="8457" width="3" style="1429" bestFit="1" customWidth="1"/>
    <col min="8458" max="8458" width="12.140625" style="1429" customWidth="1"/>
    <col min="8459" max="8466" width="7.28515625" style="1429" customWidth="1"/>
    <col min="8467" max="8468" width="12.140625" style="1429" customWidth="1"/>
    <col min="8469" max="8469" width="7.28515625" style="1429" customWidth="1"/>
    <col min="8470" max="8470" width="9.7109375" style="1429" customWidth="1"/>
    <col min="8471" max="8710" width="9.140625" style="1429"/>
    <col min="8711" max="8711" width="3" style="1429" bestFit="1" customWidth="1"/>
    <col min="8712" max="8712" width="14.28515625" style="1429" bestFit="1" customWidth="1"/>
    <col min="8713" max="8713" width="3" style="1429" bestFit="1" customWidth="1"/>
    <col min="8714" max="8714" width="12.140625" style="1429" customWidth="1"/>
    <col min="8715" max="8722" width="7.28515625" style="1429" customWidth="1"/>
    <col min="8723" max="8724" width="12.140625" style="1429" customWidth="1"/>
    <col min="8725" max="8725" width="7.28515625" style="1429" customWidth="1"/>
    <col min="8726" max="8726" width="9.7109375" style="1429" customWidth="1"/>
    <col min="8727" max="8966" width="9.140625" style="1429"/>
    <col min="8967" max="8967" width="3" style="1429" bestFit="1" customWidth="1"/>
    <col min="8968" max="8968" width="14.28515625" style="1429" bestFit="1" customWidth="1"/>
    <col min="8969" max="8969" width="3" style="1429" bestFit="1" customWidth="1"/>
    <col min="8970" max="8970" width="12.140625" style="1429" customWidth="1"/>
    <col min="8971" max="8978" width="7.28515625" style="1429" customWidth="1"/>
    <col min="8979" max="8980" width="12.140625" style="1429" customWidth="1"/>
    <col min="8981" max="8981" width="7.28515625" style="1429" customWidth="1"/>
    <col min="8982" max="8982" width="9.7109375" style="1429" customWidth="1"/>
    <col min="8983" max="9222" width="9.140625" style="1429"/>
    <col min="9223" max="9223" width="3" style="1429" bestFit="1" customWidth="1"/>
    <col min="9224" max="9224" width="14.28515625" style="1429" bestFit="1" customWidth="1"/>
    <col min="9225" max="9225" width="3" style="1429" bestFit="1" customWidth="1"/>
    <col min="9226" max="9226" width="12.140625" style="1429" customWidth="1"/>
    <col min="9227" max="9234" width="7.28515625" style="1429" customWidth="1"/>
    <col min="9235" max="9236" width="12.140625" style="1429" customWidth="1"/>
    <col min="9237" max="9237" width="7.28515625" style="1429" customWidth="1"/>
    <col min="9238" max="9238" width="9.7109375" style="1429" customWidth="1"/>
    <col min="9239" max="9478" width="9.140625" style="1429"/>
    <col min="9479" max="9479" width="3" style="1429" bestFit="1" customWidth="1"/>
    <col min="9480" max="9480" width="14.28515625" style="1429" bestFit="1" customWidth="1"/>
    <col min="9481" max="9481" width="3" style="1429" bestFit="1" customWidth="1"/>
    <col min="9482" max="9482" width="12.140625" style="1429" customWidth="1"/>
    <col min="9483" max="9490" width="7.28515625" style="1429" customWidth="1"/>
    <col min="9491" max="9492" width="12.140625" style="1429" customWidth="1"/>
    <col min="9493" max="9493" width="7.28515625" style="1429" customWidth="1"/>
    <col min="9494" max="9494" width="9.7109375" style="1429" customWidth="1"/>
    <col min="9495" max="9734" width="9.140625" style="1429"/>
    <col min="9735" max="9735" width="3" style="1429" bestFit="1" customWidth="1"/>
    <col min="9736" max="9736" width="14.28515625" style="1429" bestFit="1" customWidth="1"/>
    <col min="9737" max="9737" width="3" style="1429" bestFit="1" customWidth="1"/>
    <col min="9738" max="9738" width="12.140625" style="1429" customWidth="1"/>
    <col min="9739" max="9746" width="7.28515625" style="1429" customWidth="1"/>
    <col min="9747" max="9748" width="12.140625" style="1429" customWidth="1"/>
    <col min="9749" max="9749" width="7.28515625" style="1429" customWidth="1"/>
    <col min="9750" max="9750" width="9.7109375" style="1429" customWidth="1"/>
    <col min="9751" max="9990" width="9.140625" style="1429"/>
    <col min="9991" max="9991" width="3" style="1429" bestFit="1" customWidth="1"/>
    <col min="9992" max="9992" width="14.28515625" style="1429" bestFit="1" customWidth="1"/>
    <col min="9993" max="9993" width="3" style="1429" bestFit="1" customWidth="1"/>
    <col min="9994" max="9994" width="12.140625" style="1429" customWidth="1"/>
    <col min="9995" max="10002" width="7.28515625" style="1429" customWidth="1"/>
    <col min="10003" max="10004" width="12.140625" style="1429" customWidth="1"/>
    <col min="10005" max="10005" width="7.28515625" style="1429" customWidth="1"/>
    <col min="10006" max="10006" width="9.7109375" style="1429" customWidth="1"/>
    <col min="10007" max="10246" width="9.140625" style="1429"/>
    <col min="10247" max="10247" width="3" style="1429" bestFit="1" customWidth="1"/>
    <col min="10248" max="10248" width="14.28515625" style="1429" bestFit="1" customWidth="1"/>
    <col min="10249" max="10249" width="3" style="1429" bestFit="1" customWidth="1"/>
    <col min="10250" max="10250" width="12.140625" style="1429" customWidth="1"/>
    <col min="10251" max="10258" width="7.28515625" style="1429" customWidth="1"/>
    <col min="10259" max="10260" width="12.140625" style="1429" customWidth="1"/>
    <col min="10261" max="10261" width="7.28515625" style="1429" customWidth="1"/>
    <col min="10262" max="10262" width="9.7109375" style="1429" customWidth="1"/>
    <col min="10263" max="10502" width="9.140625" style="1429"/>
    <col min="10503" max="10503" width="3" style="1429" bestFit="1" customWidth="1"/>
    <col min="10504" max="10504" width="14.28515625" style="1429" bestFit="1" customWidth="1"/>
    <col min="10505" max="10505" width="3" style="1429" bestFit="1" customWidth="1"/>
    <col min="10506" max="10506" width="12.140625" style="1429" customWidth="1"/>
    <col min="10507" max="10514" width="7.28515625" style="1429" customWidth="1"/>
    <col min="10515" max="10516" width="12.140625" style="1429" customWidth="1"/>
    <col min="10517" max="10517" width="7.28515625" style="1429" customWidth="1"/>
    <col min="10518" max="10518" width="9.7109375" style="1429" customWidth="1"/>
    <col min="10519" max="10758" width="9.140625" style="1429"/>
    <col min="10759" max="10759" width="3" style="1429" bestFit="1" customWidth="1"/>
    <col min="10760" max="10760" width="14.28515625" style="1429" bestFit="1" customWidth="1"/>
    <col min="10761" max="10761" width="3" style="1429" bestFit="1" customWidth="1"/>
    <col min="10762" max="10762" width="12.140625" style="1429" customWidth="1"/>
    <col min="10763" max="10770" width="7.28515625" style="1429" customWidth="1"/>
    <col min="10771" max="10772" width="12.140625" style="1429" customWidth="1"/>
    <col min="10773" max="10773" width="7.28515625" style="1429" customWidth="1"/>
    <col min="10774" max="10774" width="9.7109375" style="1429" customWidth="1"/>
    <col min="10775" max="11014" width="9.140625" style="1429"/>
    <col min="11015" max="11015" width="3" style="1429" bestFit="1" customWidth="1"/>
    <col min="11016" max="11016" width="14.28515625" style="1429" bestFit="1" customWidth="1"/>
    <col min="11017" max="11017" width="3" style="1429" bestFit="1" customWidth="1"/>
    <col min="11018" max="11018" width="12.140625" style="1429" customWidth="1"/>
    <col min="11019" max="11026" width="7.28515625" style="1429" customWidth="1"/>
    <col min="11027" max="11028" width="12.140625" style="1429" customWidth="1"/>
    <col min="11029" max="11029" width="7.28515625" style="1429" customWidth="1"/>
    <col min="11030" max="11030" width="9.7109375" style="1429" customWidth="1"/>
    <col min="11031" max="11270" width="9.140625" style="1429"/>
    <col min="11271" max="11271" width="3" style="1429" bestFit="1" customWidth="1"/>
    <col min="11272" max="11272" width="14.28515625" style="1429" bestFit="1" customWidth="1"/>
    <col min="11273" max="11273" width="3" style="1429" bestFit="1" customWidth="1"/>
    <col min="11274" max="11274" width="12.140625" style="1429" customWidth="1"/>
    <col min="11275" max="11282" width="7.28515625" style="1429" customWidth="1"/>
    <col min="11283" max="11284" width="12.140625" style="1429" customWidth="1"/>
    <col min="11285" max="11285" width="7.28515625" style="1429" customWidth="1"/>
    <col min="11286" max="11286" width="9.7109375" style="1429" customWidth="1"/>
    <col min="11287" max="11526" width="9.140625" style="1429"/>
    <col min="11527" max="11527" width="3" style="1429" bestFit="1" customWidth="1"/>
    <col min="11528" max="11528" width="14.28515625" style="1429" bestFit="1" customWidth="1"/>
    <col min="11529" max="11529" width="3" style="1429" bestFit="1" customWidth="1"/>
    <col min="11530" max="11530" width="12.140625" style="1429" customWidth="1"/>
    <col min="11531" max="11538" width="7.28515625" style="1429" customWidth="1"/>
    <col min="11539" max="11540" width="12.140625" style="1429" customWidth="1"/>
    <col min="11541" max="11541" width="7.28515625" style="1429" customWidth="1"/>
    <col min="11542" max="11542" width="9.7109375" style="1429" customWidth="1"/>
    <col min="11543" max="11782" width="9.140625" style="1429"/>
    <col min="11783" max="11783" width="3" style="1429" bestFit="1" customWidth="1"/>
    <col min="11784" max="11784" width="14.28515625" style="1429" bestFit="1" customWidth="1"/>
    <col min="11785" max="11785" width="3" style="1429" bestFit="1" customWidth="1"/>
    <col min="11786" max="11786" width="12.140625" style="1429" customWidth="1"/>
    <col min="11787" max="11794" width="7.28515625" style="1429" customWidth="1"/>
    <col min="11795" max="11796" width="12.140625" style="1429" customWidth="1"/>
    <col min="11797" max="11797" width="7.28515625" style="1429" customWidth="1"/>
    <col min="11798" max="11798" width="9.7109375" style="1429" customWidth="1"/>
    <col min="11799" max="12038" width="9.140625" style="1429"/>
    <col min="12039" max="12039" width="3" style="1429" bestFit="1" customWidth="1"/>
    <col min="12040" max="12040" width="14.28515625" style="1429" bestFit="1" customWidth="1"/>
    <col min="12041" max="12041" width="3" style="1429" bestFit="1" customWidth="1"/>
    <col min="12042" max="12042" width="12.140625" style="1429" customWidth="1"/>
    <col min="12043" max="12050" width="7.28515625" style="1429" customWidth="1"/>
    <col min="12051" max="12052" width="12.140625" style="1429" customWidth="1"/>
    <col min="12053" max="12053" width="7.28515625" style="1429" customWidth="1"/>
    <col min="12054" max="12054" width="9.7109375" style="1429" customWidth="1"/>
    <col min="12055" max="12294" width="9.140625" style="1429"/>
    <col min="12295" max="12295" width="3" style="1429" bestFit="1" customWidth="1"/>
    <col min="12296" max="12296" width="14.28515625" style="1429" bestFit="1" customWidth="1"/>
    <col min="12297" max="12297" width="3" style="1429" bestFit="1" customWidth="1"/>
    <col min="12298" max="12298" width="12.140625" style="1429" customWidth="1"/>
    <col min="12299" max="12306" width="7.28515625" style="1429" customWidth="1"/>
    <col min="12307" max="12308" width="12.140625" style="1429" customWidth="1"/>
    <col min="12309" max="12309" width="7.28515625" style="1429" customWidth="1"/>
    <col min="12310" max="12310" width="9.7109375" style="1429" customWidth="1"/>
    <col min="12311" max="12550" width="9.140625" style="1429"/>
    <col min="12551" max="12551" width="3" style="1429" bestFit="1" customWidth="1"/>
    <col min="12552" max="12552" width="14.28515625" style="1429" bestFit="1" customWidth="1"/>
    <col min="12553" max="12553" width="3" style="1429" bestFit="1" customWidth="1"/>
    <col min="12554" max="12554" width="12.140625" style="1429" customWidth="1"/>
    <col min="12555" max="12562" width="7.28515625" style="1429" customWidth="1"/>
    <col min="12563" max="12564" width="12.140625" style="1429" customWidth="1"/>
    <col min="12565" max="12565" width="7.28515625" style="1429" customWidth="1"/>
    <col min="12566" max="12566" width="9.7109375" style="1429" customWidth="1"/>
    <col min="12567" max="12806" width="9.140625" style="1429"/>
    <col min="12807" max="12807" width="3" style="1429" bestFit="1" customWidth="1"/>
    <col min="12808" max="12808" width="14.28515625" style="1429" bestFit="1" customWidth="1"/>
    <col min="12809" max="12809" width="3" style="1429" bestFit="1" customWidth="1"/>
    <col min="12810" max="12810" width="12.140625" style="1429" customWidth="1"/>
    <col min="12811" max="12818" width="7.28515625" style="1429" customWidth="1"/>
    <col min="12819" max="12820" width="12.140625" style="1429" customWidth="1"/>
    <col min="12821" max="12821" width="7.28515625" style="1429" customWidth="1"/>
    <col min="12822" max="12822" width="9.7109375" style="1429" customWidth="1"/>
    <col min="12823" max="13062" width="9.140625" style="1429"/>
    <col min="13063" max="13063" width="3" style="1429" bestFit="1" customWidth="1"/>
    <col min="13064" max="13064" width="14.28515625" style="1429" bestFit="1" customWidth="1"/>
    <col min="13065" max="13065" width="3" style="1429" bestFit="1" customWidth="1"/>
    <col min="13066" max="13066" width="12.140625" style="1429" customWidth="1"/>
    <col min="13067" max="13074" width="7.28515625" style="1429" customWidth="1"/>
    <col min="13075" max="13076" width="12.140625" style="1429" customWidth="1"/>
    <col min="13077" max="13077" width="7.28515625" style="1429" customWidth="1"/>
    <col min="13078" max="13078" width="9.7109375" style="1429" customWidth="1"/>
    <col min="13079" max="13318" width="9.140625" style="1429"/>
    <col min="13319" max="13319" width="3" style="1429" bestFit="1" customWidth="1"/>
    <col min="13320" max="13320" width="14.28515625" style="1429" bestFit="1" customWidth="1"/>
    <col min="13321" max="13321" width="3" style="1429" bestFit="1" customWidth="1"/>
    <col min="13322" max="13322" width="12.140625" style="1429" customWidth="1"/>
    <col min="13323" max="13330" width="7.28515625" style="1429" customWidth="1"/>
    <col min="13331" max="13332" width="12.140625" style="1429" customWidth="1"/>
    <col min="13333" max="13333" width="7.28515625" style="1429" customWidth="1"/>
    <col min="13334" max="13334" width="9.7109375" style="1429" customWidth="1"/>
    <col min="13335" max="13574" width="9.140625" style="1429"/>
    <col min="13575" max="13575" width="3" style="1429" bestFit="1" customWidth="1"/>
    <col min="13576" max="13576" width="14.28515625" style="1429" bestFit="1" customWidth="1"/>
    <col min="13577" max="13577" width="3" style="1429" bestFit="1" customWidth="1"/>
    <col min="13578" max="13578" width="12.140625" style="1429" customWidth="1"/>
    <col min="13579" max="13586" width="7.28515625" style="1429" customWidth="1"/>
    <col min="13587" max="13588" width="12.140625" style="1429" customWidth="1"/>
    <col min="13589" max="13589" width="7.28515625" style="1429" customWidth="1"/>
    <col min="13590" max="13590" width="9.7109375" style="1429" customWidth="1"/>
    <col min="13591" max="13830" width="9.140625" style="1429"/>
    <col min="13831" max="13831" width="3" style="1429" bestFit="1" customWidth="1"/>
    <col min="13832" max="13832" width="14.28515625" style="1429" bestFit="1" customWidth="1"/>
    <col min="13833" max="13833" width="3" style="1429" bestFit="1" customWidth="1"/>
    <col min="13834" max="13834" width="12.140625" style="1429" customWidth="1"/>
    <col min="13835" max="13842" width="7.28515625" style="1429" customWidth="1"/>
    <col min="13843" max="13844" width="12.140625" style="1429" customWidth="1"/>
    <col min="13845" max="13845" width="7.28515625" style="1429" customWidth="1"/>
    <col min="13846" max="13846" width="9.7109375" style="1429" customWidth="1"/>
    <col min="13847" max="14086" width="9.140625" style="1429"/>
    <col min="14087" max="14087" width="3" style="1429" bestFit="1" customWidth="1"/>
    <col min="14088" max="14088" width="14.28515625" style="1429" bestFit="1" customWidth="1"/>
    <col min="14089" max="14089" width="3" style="1429" bestFit="1" customWidth="1"/>
    <col min="14090" max="14090" width="12.140625" style="1429" customWidth="1"/>
    <col min="14091" max="14098" width="7.28515625" style="1429" customWidth="1"/>
    <col min="14099" max="14100" width="12.140625" style="1429" customWidth="1"/>
    <col min="14101" max="14101" width="7.28515625" style="1429" customWidth="1"/>
    <col min="14102" max="14102" width="9.7109375" style="1429" customWidth="1"/>
    <col min="14103" max="14342" width="9.140625" style="1429"/>
    <col min="14343" max="14343" width="3" style="1429" bestFit="1" customWidth="1"/>
    <col min="14344" max="14344" width="14.28515625" style="1429" bestFit="1" customWidth="1"/>
    <col min="14345" max="14345" width="3" style="1429" bestFit="1" customWidth="1"/>
    <col min="14346" max="14346" width="12.140625" style="1429" customWidth="1"/>
    <col min="14347" max="14354" width="7.28515625" style="1429" customWidth="1"/>
    <col min="14355" max="14356" width="12.140625" style="1429" customWidth="1"/>
    <col min="14357" max="14357" width="7.28515625" style="1429" customWidth="1"/>
    <col min="14358" max="14358" width="9.7109375" style="1429" customWidth="1"/>
    <col min="14359" max="14598" width="9.140625" style="1429"/>
    <col min="14599" max="14599" width="3" style="1429" bestFit="1" customWidth="1"/>
    <col min="14600" max="14600" width="14.28515625" style="1429" bestFit="1" customWidth="1"/>
    <col min="14601" max="14601" width="3" style="1429" bestFit="1" customWidth="1"/>
    <col min="14602" max="14602" width="12.140625" style="1429" customWidth="1"/>
    <col min="14603" max="14610" width="7.28515625" style="1429" customWidth="1"/>
    <col min="14611" max="14612" width="12.140625" style="1429" customWidth="1"/>
    <col min="14613" max="14613" width="7.28515625" style="1429" customWidth="1"/>
    <col min="14614" max="14614" width="9.7109375" style="1429" customWidth="1"/>
    <col min="14615" max="14854" width="9.140625" style="1429"/>
    <col min="14855" max="14855" width="3" style="1429" bestFit="1" customWidth="1"/>
    <col min="14856" max="14856" width="14.28515625" style="1429" bestFit="1" customWidth="1"/>
    <col min="14857" max="14857" width="3" style="1429" bestFit="1" customWidth="1"/>
    <col min="14858" max="14858" width="12.140625" style="1429" customWidth="1"/>
    <col min="14859" max="14866" width="7.28515625" style="1429" customWidth="1"/>
    <col min="14867" max="14868" width="12.140625" style="1429" customWidth="1"/>
    <col min="14869" max="14869" width="7.28515625" style="1429" customWidth="1"/>
    <col min="14870" max="14870" width="9.7109375" style="1429" customWidth="1"/>
    <col min="14871" max="15110" width="9.140625" style="1429"/>
    <col min="15111" max="15111" width="3" style="1429" bestFit="1" customWidth="1"/>
    <col min="15112" max="15112" width="14.28515625" style="1429" bestFit="1" customWidth="1"/>
    <col min="15113" max="15113" width="3" style="1429" bestFit="1" customWidth="1"/>
    <col min="15114" max="15114" width="12.140625" style="1429" customWidth="1"/>
    <col min="15115" max="15122" width="7.28515625" style="1429" customWidth="1"/>
    <col min="15123" max="15124" width="12.140625" style="1429" customWidth="1"/>
    <col min="15125" max="15125" width="7.28515625" style="1429" customWidth="1"/>
    <col min="15126" max="15126" width="9.7109375" style="1429" customWidth="1"/>
    <col min="15127" max="15366" width="9.140625" style="1429"/>
    <col min="15367" max="15367" width="3" style="1429" bestFit="1" customWidth="1"/>
    <col min="15368" max="15368" width="14.28515625" style="1429" bestFit="1" customWidth="1"/>
    <col min="15369" max="15369" width="3" style="1429" bestFit="1" customWidth="1"/>
    <col min="15370" max="15370" width="12.140625" style="1429" customWidth="1"/>
    <col min="15371" max="15378" width="7.28515625" style="1429" customWidth="1"/>
    <col min="15379" max="15380" width="12.140625" style="1429" customWidth="1"/>
    <col min="15381" max="15381" width="7.28515625" style="1429" customWidth="1"/>
    <col min="15382" max="15382" width="9.7109375" style="1429" customWidth="1"/>
    <col min="15383" max="15622" width="9.140625" style="1429"/>
    <col min="15623" max="15623" width="3" style="1429" bestFit="1" customWidth="1"/>
    <col min="15624" max="15624" width="14.28515625" style="1429" bestFit="1" customWidth="1"/>
    <col min="15625" max="15625" width="3" style="1429" bestFit="1" customWidth="1"/>
    <col min="15626" max="15626" width="12.140625" style="1429" customWidth="1"/>
    <col min="15627" max="15634" width="7.28515625" style="1429" customWidth="1"/>
    <col min="15635" max="15636" width="12.140625" style="1429" customWidth="1"/>
    <col min="15637" max="15637" width="7.28515625" style="1429" customWidth="1"/>
    <col min="15638" max="15638" width="9.7109375" style="1429" customWidth="1"/>
    <col min="15639" max="15878" width="9.140625" style="1429"/>
    <col min="15879" max="15879" width="3" style="1429" bestFit="1" customWidth="1"/>
    <col min="15880" max="15880" width="14.28515625" style="1429" bestFit="1" customWidth="1"/>
    <col min="15881" max="15881" width="3" style="1429" bestFit="1" customWidth="1"/>
    <col min="15882" max="15882" width="12.140625" style="1429" customWidth="1"/>
    <col min="15883" max="15890" width="7.28515625" style="1429" customWidth="1"/>
    <col min="15891" max="15892" width="12.140625" style="1429" customWidth="1"/>
    <col min="15893" max="15893" width="7.28515625" style="1429" customWidth="1"/>
    <col min="15894" max="15894" width="9.7109375" style="1429" customWidth="1"/>
    <col min="15895" max="16134" width="9.140625" style="1429"/>
    <col min="16135" max="16135" width="3" style="1429" bestFit="1" customWidth="1"/>
    <col min="16136" max="16136" width="14.28515625" style="1429" bestFit="1" customWidth="1"/>
    <col min="16137" max="16137" width="3" style="1429" bestFit="1" customWidth="1"/>
    <col min="16138" max="16138" width="12.140625" style="1429" customWidth="1"/>
    <col min="16139" max="16146" width="7.28515625" style="1429" customWidth="1"/>
    <col min="16147" max="16148" width="12.140625" style="1429" customWidth="1"/>
    <col min="16149" max="16149" width="7.28515625" style="1429" customWidth="1"/>
    <col min="16150" max="16150" width="9.7109375" style="1429" customWidth="1"/>
    <col min="16151" max="16384" width="9.140625" style="1429"/>
  </cols>
  <sheetData>
    <row r="1" spans="1:29" ht="14.25" x14ac:dyDescent="0.2">
      <c r="A1" s="782"/>
      <c r="B1" s="1426"/>
      <c r="C1" s="1426"/>
      <c r="D1" s="1427"/>
      <c r="E1" s="1427"/>
      <c r="F1" s="1427"/>
      <c r="G1" s="1427"/>
      <c r="H1" s="1427"/>
      <c r="I1" s="1427"/>
      <c r="J1" s="1427"/>
      <c r="K1" s="1427"/>
      <c r="L1" s="1427"/>
      <c r="M1" s="1427"/>
      <c r="N1" s="1427"/>
      <c r="O1" s="1427"/>
      <c r="P1" s="1427"/>
      <c r="Q1" s="1427"/>
      <c r="R1" s="1427"/>
      <c r="S1" s="1427"/>
      <c r="T1" s="1428"/>
      <c r="U1" s="1428"/>
      <c r="V1" s="1428"/>
      <c r="W1" s="1180"/>
      <c r="X1" s="1180"/>
      <c r="Y1" s="1180"/>
      <c r="Z1" s="1180"/>
      <c r="AA1" s="1180"/>
    </row>
    <row r="2" spans="1:29" ht="14.45" customHeight="1" x14ac:dyDescent="0.2">
      <c r="A2" s="782">
        <v>1</v>
      </c>
      <c r="B2" s="782" t="s">
        <v>0</v>
      </c>
      <c r="C2" s="782">
        <v>50</v>
      </c>
      <c r="D2" s="4097" t="s">
        <v>609</v>
      </c>
      <c r="E2" s="4098"/>
      <c r="F2" s="4098"/>
      <c r="G2" s="4098"/>
      <c r="H2" s="4098"/>
      <c r="I2" s="4098"/>
      <c r="J2" s="4098"/>
      <c r="K2" s="4098"/>
      <c r="L2" s="4098"/>
      <c r="M2" s="4098"/>
      <c r="N2" s="4098"/>
      <c r="O2" s="4098"/>
      <c r="P2" s="4098"/>
      <c r="Q2" s="4098"/>
      <c r="R2" s="4098"/>
      <c r="S2" s="4099"/>
      <c r="T2" s="1428"/>
      <c r="U2" s="1428"/>
      <c r="V2" s="1428"/>
      <c r="W2" s="1430"/>
      <c r="X2" s="1430"/>
      <c r="Y2" s="1430"/>
      <c r="Z2" s="1180"/>
      <c r="AA2" s="1180"/>
    </row>
    <row r="3" spans="1:29" ht="15" customHeight="1" x14ac:dyDescent="0.2">
      <c r="A3" s="782">
        <v>2</v>
      </c>
      <c r="B3" s="782" t="s">
        <v>2</v>
      </c>
      <c r="C3" s="782"/>
      <c r="D3" s="4097" t="s">
        <v>402</v>
      </c>
      <c r="E3" s="4098"/>
      <c r="F3" s="4098"/>
      <c r="G3" s="4098"/>
      <c r="H3" s="4098"/>
      <c r="I3" s="4098"/>
      <c r="J3" s="4098"/>
      <c r="K3" s="4098"/>
      <c r="L3" s="4098"/>
      <c r="M3" s="4098"/>
      <c r="N3" s="4098"/>
      <c r="O3" s="4098"/>
      <c r="P3" s="4098"/>
      <c r="Q3" s="4098"/>
      <c r="R3" s="4098"/>
      <c r="S3" s="4099"/>
      <c r="T3" s="1431"/>
      <c r="U3" s="1431"/>
      <c r="V3" s="1431"/>
      <c r="W3" s="1180"/>
      <c r="X3" s="1180"/>
      <c r="Y3" s="1180"/>
      <c r="Z3" s="1180"/>
      <c r="AA3" s="1180"/>
    </row>
    <row r="4" spans="1:29" ht="13.15" customHeight="1" x14ac:dyDescent="0.2">
      <c r="A4" s="782">
        <v>3</v>
      </c>
      <c r="B4" s="782" t="s">
        <v>4</v>
      </c>
      <c r="C4" s="782"/>
      <c r="D4" s="4097" t="s">
        <v>610</v>
      </c>
      <c r="E4" s="4098"/>
      <c r="F4" s="4098"/>
      <c r="G4" s="4098"/>
      <c r="H4" s="4098"/>
      <c r="I4" s="4098"/>
      <c r="J4" s="4098"/>
      <c r="K4" s="4098"/>
      <c r="L4" s="4098"/>
      <c r="M4" s="4098"/>
      <c r="N4" s="4098"/>
      <c r="O4" s="4098"/>
      <c r="P4" s="4098"/>
      <c r="Q4" s="4098"/>
      <c r="R4" s="4098"/>
      <c r="S4" s="4099"/>
      <c r="T4" s="1431"/>
      <c r="U4" s="1431"/>
      <c r="V4" s="1431"/>
      <c r="W4" s="229"/>
      <c r="X4" s="229"/>
      <c r="Y4" s="229"/>
      <c r="Z4" s="229"/>
      <c r="AA4" s="229"/>
      <c r="AB4" s="229"/>
      <c r="AC4" s="229"/>
    </row>
    <row r="5" spans="1:29" ht="13.15" customHeight="1" x14ac:dyDescent="0.2">
      <c r="A5" s="782"/>
      <c r="B5" s="782"/>
      <c r="D5" s="325"/>
      <c r="E5" s="325"/>
      <c r="F5" s="325"/>
      <c r="G5" s="325"/>
      <c r="H5" s="325"/>
      <c r="I5" s="325"/>
      <c r="J5" s="325"/>
      <c r="K5" s="325"/>
      <c r="L5" s="325"/>
      <c r="M5" s="325"/>
      <c r="N5" s="325"/>
      <c r="O5" s="325"/>
      <c r="P5" s="325"/>
      <c r="Q5" s="325"/>
      <c r="R5" s="325"/>
      <c r="S5" s="325"/>
      <c r="T5" s="1431"/>
      <c r="U5" s="1431"/>
      <c r="V5" s="1431"/>
      <c r="W5" s="229"/>
      <c r="X5" s="229"/>
      <c r="Y5" s="229"/>
      <c r="Z5" s="229"/>
      <c r="AA5" s="229"/>
      <c r="AB5" s="229"/>
      <c r="AC5" s="229"/>
    </row>
    <row r="6" spans="1:29" ht="14.25" x14ac:dyDescent="0.2">
      <c r="N6" s="1432"/>
      <c r="O6" s="1432"/>
      <c r="T6" s="1431"/>
      <c r="U6" s="1431"/>
      <c r="V6" s="1431"/>
      <c r="W6" s="1180"/>
      <c r="X6" s="1180"/>
      <c r="Y6" s="1180"/>
      <c r="Z6" s="1180"/>
      <c r="AA6" s="1180"/>
    </row>
    <row r="7" spans="1:29" s="1440" customFormat="1" ht="14.25" x14ac:dyDescent="0.2">
      <c r="A7" s="782">
        <v>4</v>
      </c>
      <c r="B7" s="782" t="s">
        <v>5</v>
      </c>
      <c r="C7" s="1433"/>
      <c r="D7" s="1434" t="s">
        <v>1802</v>
      </c>
      <c r="E7" s="1435"/>
      <c r="F7" s="1434"/>
      <c r="G7" s="1434"/>
      <c r="H7" s="1436"/>
      <c r="I7" s="1437"/>
      <c r="J7" s="1438"/>
      <c r="K7" s="1438"/>
      <c r="L7" s="1438"/>
      <c r="M7" s="1438"/>
      <c r="N7" s="1439"/>
      <c r="O7" s="1438"/>
      <c r="P7" s="1438"/>
      <c r="Q7" s="1438"/>
      <c r="R7" s="1438"/>
      <c r="S7" s="1438"/>
      <c r="T7" s="1438"/>
      <c r="U7" s="1438"/>
      <c r="V7" s="1438"/>
      <c r="W7" s="1438"/>
      <c r="X7" s="1438"/>
      <c r="Y7" s="1438"/>
      <c r="Z7" s="1438"/>
      <c r="AA7" s="1438"/>
      <c r="AB7" s="1438"/>
    </row>
    <row r="8" spans="1:29" s="1440" customFormat="1" ht="14.25" x14ac:dyDescent="0.2">
      <c r="A8" s="1441"/>
      <c r="B8" s="1433"/>
      <c r="C8" s="1433"/>
      <c r="D8" s="1442"/>
      <c r="E8" s="1443">
        <v>2011</v>
      </c>
      <c r="F8" s="1443">
        <v>2012</v>
      </c>
      <c r="G8" s="1443">
        <v>2013</v>
      </c>
      <c r="H8" s="1443">
        <v>2014</v>
      </c>
      <c r="I8" s="1443">
        <v>2015</v>
      </c>
      <c r="J8" s="1438"/>
      <c r="K8" s="1438"/>
      <c r="L8" s="1438"/>
      <c r="M8" s="1438"/>
      <c r="N8" s="1439"/>
      <c r="O8" s="1438"/>
      <c r="P8" s="1438"/>
      <c r="Q8" s="1438"/>
      <c r="R8" s="1438"/>
      <c r="S8" s="1438"/>
      <c r="T8" s="1438"/>
      <c r="U8" s="1438"/>
      <c r="V8" s="1438"/>
      <c r="W8" s="1438"/>
      <c r="X8" s="1438"/>
      <c r="Y8" s="1438"/>
      <c r="Z8" s="1438"/>
      <c r="AA8" s="1438"/>
      <c r="AB8" s="1438"/>
    </row>
    <row r="9" spans="1:29" s="1440" customFormat="1" ht="14.25" x14ac:dyDescent="0.2">
      <c r="A9" s="1441"/>
      <c r="B9" s="1433"/>
      <c r="C9" s="1433"/>
      <c r="D9" s="1444" t="s">
        <v>611</v>
      </c>
      <c r="E9" s="1445">
        <v>124658</v>
      </c>
      <c r="F9" s="1445">
        <v>140575</v>
      </c>
      <c r="G9" s="1445">
        <v>154960</v>
      </c>
      <c r="H9" s="1445">
        <v>166433</v>
      </c>
      <c r="I9" s="1445">
        <v>165459</v>
      </c>
      <c r="J9" s="1438"/>
      <c r="K9" s="1438"/>
      <c r="L9" s="1438"/>
      <c r="M9" s="1438"/>
      <c r="N9" s="1439"/>
      <c r="O9" s="1438"/>
      <c r="P9" s="1438"/>
      <c r="Q9" s="1438"/>
      <c r="R9" s="1438"/>
      <c r="S9" s="1438"/>
      <c r="T9" s="1438"/>
      <c r="U9" s="1438"/>
      <c r="V9" s="1438"/>
      <c r="W9" s="1438"/>
      <c r="X9" s="1438"/>
      <c r="Y9" s="1438"/>
      <c r="Z9" s="1438"/>
      <c r="AA9" s="1438"/>
      <c r="AB9" s="1438"/>
    </row>
    <row r="10" spans="1:29" s="1440" customFormat="1" ht="14.25" x14ac:dyDescent="0.2">
      <c r="A10" s="1441"/>
      <c r="B10" s="1433"/>
      <c r="C10" s="1433"/>
      <c r="D10" s="1444" t="s">
        <v>612</v>
      </c>
      <c r="E10" s="1445">
        <v>222754</v>
      </c>
      <c r="F10" s="1445">
        <v>359624</v>
      </c>
      <c r="G10" s="1445">
        <v>442287</v>
      </c>
      <c r="H10" s="1445">
        <v>486933</v>
      </c>
      <c r="I10" s="1445">
        <v>519464</v>
      </c>
      <c r="J10" s="1438"/>
      <c r="K10" s="1438"/>
      <c r="L10" s="1438"/>
      <c r="M10" s="1438"/>
      <c r="N10" s="1439"/>
      <c r="O10" s="1438"/>
      <c r="P10" s="1438"/>
      <c r="Q10" s="1438"/>
      <c r="R10" s="1438"/>
      <c r="S10" s="1438"/>
      <c r="T10" s="1438"/>
      <c r="U10" s="1438"/>
      <c r="V10" s="1438"/>
      <c r="W10" s="1438"/>
      <c r="X10" s="1438"/>
      <c r="Y10" s="1438"/>
      <c r="Z10" s="1438"/>
      <c r="AA10" s="1438"/>
      <c r="AB10" s="1438"/>
    </row>
    <row r="11" spans="1:29" s="1440" customFormat="1" ht="14.25" x14ac:dyDescent="0.2">
      <c r="A11" s="1441"/>
      <c r="B11" s="1433"/>
      <c r="C11" s="1433"/>
      <c r="D11" s="1444" t="s">
        <v>613</v>
      </c>
      <c r="E11" s="1446">
        <v>20799</v>
      </c>
      <c r="F11" s="1446">
        <v>62359</v>
      </c>
      <c r="G11" s="1446">
        <v>19000</v>
      </c>
      <c r="H11" s="1446">
        <v>19825</v>
      </c>
      <c r="I11" s="1446">
        <v>20533</v>
      </c>
      <c r="J11" s="1438"/>
      <c r="K11" s="1438"/>
      <c r="L11" s="1438"/>
      <c r="M11" s="1438"/>
      <c r="N11" s="1439"/>
      <c r="O11" s="1438"/>
      <c r="P11" s="1438"/>
      <c r="Q11" s="1438"/>
      <c r="R11" s="1438"/>
      <c r="S11" s="1438"/>
      <c r="T11" s="1438"/>
      <c r="U11" s="1438"/>
      <c r="V11" s="1438"/>
      <c r="W11" s="1438"/>
      <c r="X11" s="1438"/>
      <c r="Y11" s="1438"/>
      <c r="Z11" s="1438"/>
      <c r="AA11" s="1438"/>
      <c r="AB11" s="1438"/>
    </row>
    <row r="12" spans="1:29" s="1450" customFormat="1" ht="14.25" x14ac:dyDescent="0.2">
      <c r="A12" s="902"/>
      <c r="B12" s="1447"/>
      <c r="C12" s="1447"/>
      <c r="D12" s="1444" t="s">
        <v>614</v>
      </c>
      <c r="E12" s="1448">
        <v>32062</v>
      </c>
      <c r="F12" s="1448">
        <v>95132</v>
      </c>
      <c r="G12" s="1448">
        <v>23371</v>
      </c>
      <c r="H12" s="1448">
        <v>29192</v>
      </c>
      <c r="I12" s="1448">
        <v>32424</v>
      </c>
      <c r="J12" s="1449"/>
      <c r="K12" s="1449"/>
      <c r="L12" s="1449"/>
      <c r="M12" s="1449"/>
      <c r="N12" s="1449"/>
      <c r="O12" s="1449"/>
      <c r="P12" s="1449"/>
      <c r="Q12" s="1449"/>
      <c r="R12" s="1449"/>
      <c r="S12" s="1449"/>
      <c r="T12" s="1449"/>
      <c r="U12" s="1449"/>
      <c r="V12" s="1449"/>
      <c r="W12" s="1449"/>
      <c r="X12" s="1449"/>
      <c r="Y12" s="1449"/>
      <c r="Z12" s="1449"/>
      <c r="AA12" s="1449"/>
    </row>
    <row r="13" spans="1:29" s="1450" customFormat="1" ht="14.25" x14ac:dyDescent="0.2">
      <c r="A13" s="902"/>
      <c r="B13" s="1447"/>
      <c r="C13" s="1447"/>
      <c r="D13" s="1451" t="s">
        <v>257</v>
      </c>
      <c r="E13" s="1452">
        <v>400273</v>
      </c>
      <c r="F13" s="1452">
        <v>657690</v>
      </c>
      <c r="G13" s="1452">
        <v>639618</v>
      </c>
      <c r="H13" s="1452">
        <v>702383</v>
      </c>
      <c r="I13" s="1452">
        <v>737880</v>
      </c>
      <c r="J13" s="1449"/>
      <c r="K13" s="1449"/>
      <c r="L13" s="1449"/>
      <c r="M13" s="1449"/>
      <c r="N13" s="1449"/>
      <c r="O13" s="1449"/>
      <c r="P13" s="1449"/>
      <c r="Q13" s="1449"/>
      <c r="R13" s="1449"/>
      <c r="S13" s="1449"/>
      <c r="T13" s="1449"/>
      <c r="U13" s="1449"/>
      <c r="V13" s="1449"/>
      <c r="W13" s="1449"/>
      <c r="X13" s="1449"/>
      <c r="Y13" s="1449"/>
      <c r="Z13" s="1449"/>
      <c r="AA13" s="1449"/>
    </row>
    <row r="14" spans="1:29" s="1450" customFormat="1" ht="14.25" x14ac:dyDescent="0.2">
      <c r="A14" s="902"/>
      <c r="B14" s="1447"/>
      <c r="C14" s="1447"/>
      <c r="D14" s="1405"/>
      <c r="E14" s="1453"/>
      <c r="F14" s="1453"/>
      <c r="G14" s="1453"/>
      <c r="H14" s="1453"/>
      <c r="I14" s="1453"/>
      <c r="J14" s="1449"/>
      <c r="K14" s="1449"/>
      <c r="L14" s="1449"/>
      <c r="M14" s="1449"/>
      <c r="N14" s="1449"/>
      <c r="O14" s="1449"/>
      <c r="P14" s="1449"/>
      <c r="Q14" s="1449"/>
      <c r="R14" s="1449"/>
      <c r="S14" s="1449"/>
      <c r="T14" s="1449"/>
      <c r="U14" s="1449"/>
      <c r="V14" s="1449"/>
      <c r="W14" s="1449"/>
      <c r="X14" s="1449"/>
      <c r="Y14" s="1449"/>
      <c r="Z14" s="1449"/>
      <c r="AA14" s="1449"/>
    </row>
    <row r="15" spans="1:29" s="1450" customFormat="1" ht="14.25" x14ac:dyDescent="0.2">
      <c r="A15" s="902"/>
      <c r="B15" s="1447"/>
      <c r="C15" s="1447"/>
      <c r="D15" s="1405" t="s">
        <v>1803</v>
      </c>
      <c r="E15" s="1435"/>
      <c r="F15" s="1454"/>
      <c r="G15" s="1454"/>
      <c r="H15" s="1454"/>
      <c r="I15" s="1454"/>
      <c r="J15" s="1454"/>
      <c r="K15" s="1454"/>
      <c r="L15" s="1454"/>
      <c r="M15" s="1454"/>
      <c r="N15" s="1455"/>
      <c r="O15" s="1449"/>
      <c r="P15" s="1449"/>
      <c r="Q15" s="1449"/>
      <c r="R15" s="1449"/>
      <c r="S15" s="1449"/>
      <c r="T15" s="1449"/>
      <c r="U15" s="1449"/>
      <c r="V15" s="1449"/>
      <c r="W15" s="1449"/>
      <c r="X15" s="1449"/>
      <c r="Y15" s="1449"/>
      <c r="Z15" s="1449"/>
      <c r="AA15" s="1449"/>
    </row>
    <row r="16" spans="1:29" s="1450" customFormat="1" ht="14.25" x14ac:dyDescent="0.2">
      <c r="A16" s="902"/>
      <c r="B16" s="1447"/>
      <c r="C16" s="1447"/>
      <c r="D16" s="1456"/>
      <c r="E16" s="1457" t="s">
        <v>144</v>
      </c>
      <c r="F16" s="1457" t="s">
        <v>145</v>
      </c>
      <c r="G16" s="1457" t="s">
        <v>8</v>
      </c>
      <c r="H16" s="1457" t="s">
        <v>9</v>
      </c>
      <c r="I16" s="1457" t="s">
        <v>10</v>
      </c>
      <c r="J16" s="1457" t="s">
        <v>11</v>
      </c>
      <c r="K16" s="1457" t="s">
        <v>12</v>
      </c>
      <c r="L16" s="1457" t="s">
        <v>13</v>
      </c>
      <c r="M16" s="1457" t="s">
        <v>14</v>
      </c>
      <c r="N16" s="1449"/>
      <c r="O16" s="1449"/>
      <c r="P16" s="1449"/>
      <c r="Q16" s="1449"/>
      <c r="R16" s="1449"/>
      <c r="S16" s="1449"/>
      <c r="T16" s="1449"/>
      <c r="U16" s="1449"/>
      <c r="V16" s="1449"/>
      <c r="W16" s="1449"/>
      <c r="X16" s="1449"/>
      <c r="Y16" s="1449"/>
      <c r="Z16" s="1449"/>
    </row>
    <row r="17" spans="1:35" s="1450" customFormat="1" ht="14.25" x14ac:dyDescent="0.2">
      <c r="A17" s="902"/>
      <c r="B17" s="1447"/>
      <c r="C17" s="1447"/>
      <c r="D17" s="1355" t="s">
        <v>615</v>
      </c>
      <c r="E17" s="1458">
        <v>16193</v>
      </c>
      <c r="F17" s="1458">
        <v>24229</v>
      </c>
      <c r="G17" s="1458">
        <v>26301</v>
      </c>
      <c r="H17" s="1458">
        <v>23517</v>
      </c>
      <c r="I17" s="1458">
        <v>24415</v>
      </c>
      <c r="J17" s="1458">
        <v>21849</v>
      </c>
      <c r="K17" s="1458">
        <v>27670</v>
      </c>
      <c r="L17" s="1458">
        <v>28302</v>
      </c>
      <c r="M17" s="1458">
        <v>28640</v>
      </c>
      <c r="N17" s="1449"/>
      <c r="O17" s="1449"/>
      <c r="P17" s="1449"/>
      <c r="Q17" s="1449"/>
      <c r="R17" s="1449"/>
      <c r="S17" s="1449"/>
      <c r="T17" s="1449"/>
      <c r="U17" s="1449"/>
      <c r="V17" s="1449"/>
      <c r="W17" s="1449"/>
      <c r="X17" s="1449"/>
      <c r="Y17" s="1449"/>
      <c r="Z17" s="1449"/>
    </row>
    <row r="18" spans="1:35" s="1450" customFormat="1" ht="14.25" x14ac:dyDescent="0.2">
      <c r="A18" s="902"/>
      <c r="B18" s="1447"/>
      <c r="C18" s="1447"/>
      <c r="D18" s="1459" t="s">
        <v>616</v>
      </c>
      <c r="E18" s="1458">
        <v>6030</v>
      </c>
      <c r="F18" s="1458">
        <v>8935</v>
      </c>
      <c r="G18" s="1458">
        <v>8238</v>
      </c>
      <c r="H18" s="1458">
        <v>11778</v>
      </c>
      <c r="I18" s="1458">
        <v>14023</v>
      </c>
      <c r="J18" s="1458">
        <v>15277</v>
      </c>
      <c r="K18" s="1458">
        <v>18110</v>
      </c>
      <c r="L18" s="1458">
        <v>14389</v>
      </c>
      <c r="M18" s="1458">
        <v>16114</v>
      </c>
      <c r="N18" s="1449"/>
      <c r="O18" s="1449"/>
      <c r="P18" s="1449"/>
      <c r="Q18" s="1449"/>
      <c r="R18" s="1449"/>
      <c r="S18" s="1449"/>
      <c r="T18" s="1449"/>
      <c r="U18" s="1449"/>
      <c r="V18" s="1449"/>
      <c r="W18" s="1449"/>
      <c r="X18" s="1449"/>
      <c r="Y18" s="1449"/>
      <c r="Z18" s="1449"/>
    </row>
    <row r="19" spans="1:35" s="1450" customFormat="1" ht="14.25" x14ac:dyDescent="0.2">
      <c r="A19" s="902"/>
      <c r="B19" s="1447"/>
      <c r="C19" s="1447"/>
      <c r="D19" s="1451" t="s">
        <v>617</v>
      </c>
      <c r="E19" s="1460">
        <v>0.37</v>
      </c>
      <c r="F19" s="1460">
        <v>0.37</v>
      </c>
      <c r="G19" s="1460">
        <v>0.31</v>
      </c>
      <c r="H19" s="1460">
        <v>0.5</v>
      </c>
      <c r="I19" s="1460">
        <v>0.56999999999999995</v>
      </c>
      <c r="J19" s="1460">
        <v>0.7</v>
      </c>
      <c r="K19" s="1460">
        <v>0.65</v>
      </c>
      <c r="L19" s="1460">
        <v>0.51</v>
      </c>
      <c r="M19" s="1460">
        <v>0.56000000000000005</v>
      </c>
      <c r="N19" s="1449"/>
      <c r="O19" s="1449"/>
      <c r="P19" s="1449"/>
      <c r="Q19" s="1449"/>
      <c r="R19" s="1449"/>
      <c r="S19" s="1449"/>
      <c r="T19" s="1449"/>
      <c r="U19" s="1449"/>
      <c r="V19" s="1449"/>
      <c r="W19" s="1449"/>
      <c r="X19" s="1449"/>
      <c r="Y19" s="1449"/>
      <c r="Z19" s="1449"/>
    </row>
    <row r="20" spans="1:35" s="1462" customFormat="1" ht="15" x14ac:dyDescent="0.2">
      <c r="A20" s="902"/>
      <c r="B20" s="1461"/>
      <c r="C20" s="1461"/>
      <c r="O20" s="1455"/>
      <c r="P20" s="1455"/>
      <c r="Q20" s="1455"/>
      <c r="R20" s="1455"/>
      <c r="S20" s="1455"/>
      <c r="T20" s="1455"/>
      <c r="U20" s="1455"/>
      <c r="V20" s="1455"/>
      <c r="W20" s="1455"/>
      <c r="X20" s="1455"/>
      <c r="Y20" s="1455"/>
      <c r="Z20" s="1455"/>
      <c r="AA20" s="1455"/>
      <c r="AB20" s="1455"/>
    </row>
    <row r="21" spans="1:35" s="1462" customFormat="1" ht="15" x14ac:dyDescent="0.2">
      <c r="A21" s="902"/>
      <c r="B21" s="1461"/>
      <c r="C21" s="1461"/>
      <c r="D21" s="1405" t="s">
        <v>1804</v>
      </c>
      <c r="E21" s="1435"/>
      <c r="F21" s="1454"/>
      <c r="G21" s="1454"/>
      <c r="H21" s="1454"/>
      <c r="I21" s="1454"/>
      <c r="J21" s="1454"/>
      <c r="K21" s="1454"/>
      <c r="L21" s="1449"/>
      <c r="M21" s="1449"/>
      <c r="N21" s="1449"/>
      <c r="O21" s="1455"/>
      <c r="P21" s="1455"/>
      <c r="Q21" s="1455"/>
      <c r="R21" s="1455"/>
      <c r="S21" s="1455"/>
      <c r="T21" s="1455"/>
      <c r="U21" s="1455"/>
      <c r="V21" s="1455"/>
      <c r="W21" s="1455"/>
      <c r="X21" s="1455"/>
      <c r="Y21" s="1455"/>
      <c r="Z21" s="1455"/>
      <c r="AA21" s="1455"/>
      <c r="AB21" s="1455"/>
      <c r="AC21" s="1455"/>
    </row>
    <row r="22" spans="1:35" s="1462" customFormat="1" ht="15" x14ac:dyDescent="0.2">
      <c r="A22" s="902"/>
      <c r="B22" s="1461"/>
      <c r="C22" s="1461"/>
      <c r="D22" s="1456"/>
      <c r="E22" s="1463">
        <v>2011</v>
      </c>
      <c r="F22" s="1463">
        <v>2012</v>
      </c>
      <c r="G22" s="1463">
        <v>2013</v>
      </c>
      <c r="H22" s="1463">
        <v>2014</v>
      </c>
      <c r="I22" s="1463">
        <v>2015</v>
      </c>
      <c r="J22" s="1463">
        <v>2016</v>
      </c>
      <c r="K22" s="1449"/>
      <c r="L22" s="1449"/>
      <c r="M22" s="1449"/>
      <c r="N22" s="1455"/>
      <c r="O22" s="1455"/>
      <c r="P22" s="1455"/>
      <c r="Q22" s="1455"/>
      <c r="R22" s="1455"/>
      <c r="S22" s="1455"/>
      <c r="T22" s="1455"/>
      <c r="U22" s="1455"/>
      <c r="V22" s="1455"/>
      <c r="W22" s="1455"/>
      <c r="X22" s="1455"/>
      <c r="Y22" s="1455"/>
      <c r="Z22" s="1455"/>
      <c r="AA22" s="1455"/>
      <c r="AB22" s="1455"/>
    </row>
    <row r="23" spans="1:35" s="1462" customFormat="1" ht="15" x14ac:dyDescent="0.2">
      <c r="A23" s="902"/>
      <c r="B23" s="1461"/>
      <c r="C23" s="1461"/>
      <c r="D23" s="1355" t="s">
        <v>618</v>
      </c>
      <c r="E23" s="1464">
        <v>97803</v>
      </c>
      <c r="F23" s="1465">
        <v>93936</v>
      </c>
      <c r="G23" s="1465">
        <v>62183</v>
      </c>
      <c r="H23" s="1465">
        <v>61316</v>
      </c>
      <c r="I23" s="1465">
        <v>67468</v>
      </c>
      <c r="J23" s="1465">
        <v>60448</v>
      </c>
      <c r="K23" s="1449"/>
      <c r="L23" s="1449"/>
      <c r="M23" s="1449"/>
      <c r="N23" s="1455"/>
      <c r="O23" s="1455"/>
      <c r="P23" s="1455"/>
      <c r="Q23" s="1455"/>
      <c r="R23" s="1455"/>
      <c r="S23" s="1455"/>
      <c r="T23" s="1455"/>
      <c r="U23" s="1455"/>
      <c r="V23" s="1455"/>
      <c r="W23" s="1455"/>
      <c r="X23" s="1455"/>
      <c r="Y23" s="1455"/>
      <c r="Z23" s="1455"/>
      <c r="AA23" s="1455"/>
      <c r="AB23" s="1455"/>
    </row>
    <row r="24" spans="1:35" s="1462" customFormat="1" ht="15" x14ac:dyDescent="0.2">
      <c r="A24" s="902"/>
      <c r="B24" s="1461"/>
      <c r="C24" s="1461"/>
      <c r="D24" s="1459" t="s">
        <v>619</v>
      </c>
      <c r="E24" s="1466">
        <v>117910</v>
      </c>
      <c r="F24" s="1467">
        <v>134276</v>
      </c>
      <c r="G24" s="1467">
        <v>109352</v>
      </c>
      <c r="H24" s="1467">
        <v>114760</v>
      </c>
      <c r="I24" s="1467">
        <v>126307</v>
      </c>
      <c r="J24" s="1467">
        <v>122619</v>
      </c>
      <c r="K24" s="1449"/>
      <c r="L24" s="1449"/>
      <c r="M24" s="1449"/>
      <c r="N24" s="1455"/>
      <c r="O24" s="1455"/>
      <c r="P24" s="1455"/>
      <c r="Q24" s="1455"/>
      <c r="R24" s="1455"/>
      <c r="S24" s="1455"/>
      <c r="T24" s="1455"/>
      <c r="U24" s="1455"/>
      <c r="V24" s="1455"/>
      <c r="W24" s="1455"/>
      <c r="X24" s="1455"/>
      <c r="Y24" s="1455"/>
      <c r="Z24" s="1455"/>
      <c r="AA24" s="1455"/>
      <c r="AB24" s="1455"/>
    </row>
    <row r="25" spans="1:35" s="1462" customFormat="1" ht="15" x14ac:dyDescent="0.2">
      <c r="A25" s="902"/>
      <c r="B25" s="1461"/>
      <c r="C25" s="1461"/>
      <c r="D25" s="1468" t="s">
        <v>620</v>
      </c>
      <c r="E25" s="1469">
        <v>9705</v>
      </c>
      <c r="F25" s="1470">
        <v>6658</v>
      </c>
      <c r="G25" s="1470">
        <v>6264</v>
      </c>
      <c r="H25" s="1470">
        <v>5300</v>
      </c>
      <c r="I25" s="1470">
        <v>4007</v>
      </c>
      <c r="J25" s="1470">
        <v>3106</v>
      </c>
      <c r="K25" s="1455"/>
      <c r="L25" s="1455"/>
      <c r="M25" s="1449"/>
      <c r="N25" s="1455"/>
      <c r="O25" s="1455"/>
      <c r="P25" s="1455"/>
      <c r="Q25" s="1455"/>
      <c r="R25" s="1455"/>
      <c r="S25" s="1455"/>
      <c r="T25" s="1455"/>
      <c r="U25" s="1455"/>
      <c r="V25" s="1455"/>
      <c r="W25" s="1455"/>
      <c r="X25" s="1455"/>
      <c r="Y25" s="1455"/>
      <c r="Z25" s="1455"/>
      <c r="AA25" s="1455"/>
    </row>
    <row r="26" spans="1:35" s="1462" customFormat="1" ht="15" x14ac:dyDescent="0.2">
      <c r="A26" s="902"/>
      <c r="B26" s="1461"/>
      <c r="C26" s="1461"/>
      <c r="D26" s="1459"/>
      <c r="E26" s="1471"/>
      <c r="F26" s="1471"/>
      <c r="G26" s="1471"/>
      <c r="H26" s="1471"/>
      <c r="I26" s="1471"/>
      <c r="J26" s="1471"/>
      <c r="K26" s="1455"/>
      <c r="L26" s="1455"/>
      <c r="M26" s="1455"/>
      <c r="N26" s="1449"/>
      <c r="O26" s="1455"/>
      <c r="P26" s="1455"/>
      <c r="Q26" s="1455"/>
      <c r="R26" s="1455"/>
      <c r="S26" s="1455"/>
      <c r="T26" s="1455"/>
      <c r="U26" s="1455"/>
      <c r="V26" s="1455"/>
      <c r="W26" s="1455"/>
      <c r="X26" s="1455"/>
      <c r="Y26" s="1455"/>
      <c r="Z26" s="1455"/>
      <c r="AA26" s="1455"/>
      <c r="AB26" s="1455"/>
    </row>
    <row r="27" spans="1:35" s="1477" customFormat="1" ht="14.25" x14ac:dyDescent="0.2">
      <c r="A27" s="1472"/>
      <c r="B27" s="1473"/>
      <c r="C27" s="1473"/>
      <c r="D27" s="1405" t="s">
        <v>1805</v>
      </c>
      <c r="E27" s="1435"/>
      <c r="F27" s="1454"/>
      <c r="G27" s="1454"/>
      <c r="H27" s="1454"/>
      <c r="I27" s="1454"/>
      <c r="J27" s="1454"/>
      <c r="K27" s="1454"/>
      <c r="L27" s="1454"/>
      <c r="M27" s="1454"/>
      <c r="N27" s="1454"/>
      <c r="O27" s="1454"/>
      <c r="P27" s="1454"/>
      <c r="Q27" s="1454"/>
      <c r="R27" s="1454"/>
      <c r="S27" s="1454"/>
      <c r="T27" s="1474"/>
      <c r="U27" s="1475"/>
      <c r="V27" s="1475"/>
      <c r="W27" s="1475"/>
      <c r="X27" s="1475"/>
      <c r="Y27" s="170"/>
      <c r="Z27" s="170"/>
      <c r="AA27" s="170"/>
      <c r="AB27" s="1476"/>
      <c r="AC27" s="1476"/>
      <c r="AD27" s="1476"/>
      <c r="AE27" s="1476"/>
      <c r="AF27" s="1476"/>
    </row>
    <row r="28" spans="1:35" s="1477" customFormat="1" ht="14.25" x14ac:dyDescent="0.2">
      <c r="A28" s="1472"/>
      <c r="B28" s="1473"/>
      <c r="C28" s="1473"/>
      <c r="D28" s="1478"/>
      <c r="E28" s="1479" t="s">
        <v>11</v>
      </c>
      <c r="F28" s="1480"/>
      <c r="G28" s="1481"/>
      <c r="H28" s="1479" t="s">
        <v>12</v>
      </c>
      <c r="I28" s="1480"/>
      <c r="J28" s="1481"/>
      <c r="K28" s="4318" t="s">
        <v>13</v>
      </c>
      <c r="L28" s="4318"/>
      <c r="M28" s="4319"/>
      <c r="N28" s="4318" t="s">
        <v>14</v>
      </c>
      <c r="O28" s="4318"/>
      <c r="P28" s="4319"/>
      <c r="Q28" s="4320" t="s">
        <v>15</v>
      </c>
      <c r="R28" s="4320"/>
      <c r="S28" s="4321"/>
      <c r="T28" s="1482"/>
      <c r="U28" s="1482"/>
      <c r="V28" s="1482"/>
      <c r="W28" s="1474"/>
      <c r="X28" s="1475"/>
      <c r="Y28" s="1475"/>
      <c r="Z28" s="1475"/>
      <c r="AA28" s="1475"/>
      <c r="AB28" s="170"/>
      <c r="AC28" s="170"/>
      <c r="AD28" s="170"/>
      <c r="AE28" s="1476"/>
      <c r="AF28" s="1476"/>
      <c r="AG28" s="1476"/>
      <c r="AH28" s="1476"/>
      <c r="AI28" s="1476"/>
    </row>
    <row r="29" spans="1:35" s="1477" customFormat="1" ht="22.5" x14ac:dyDescent="0.2">
      <c r="A29" s="1472"/>
      <c r="B29" s="1473"/>
      <c r="C29" s="1473"/>
      <c r="D29" s="1355"/>
      <c r="E29" s="1483" t="s">
        <v>621</v>
      </c>
      <c r="F29" s="1484" t="s">
        <v>622</v>
      </c>
      <c r="G29" s="1485" t="s">
        <v>617</v>
      </c>
      <c r="H29" s="1486" t="s">
        <v>621</v>
      </c>
      <c r="I29" s="1484" t="s">
        <v>622</v>
      </c>
      <c r="J29" s="1485" t="s">
        <v>617</v>
      </c>
      <c r="K29" s="1486" t="s">
        <v>621</v>
      </c>
      <c r="L29" s="1484" t="s">
        <v>622</v>
      </c>
      <c r="M29" s="1485" t="s">
        <v>617</v>
      </c>
      <c r="N29" s="1486" t="s">
        <v>621</v>
      </c>
      <c r="O29" s="1484" t="s">
        <v>622</v>
      </c>
      <c r="P29" s="1485" t="s">
        <v>617</v>
      </c>
      <c r="Q29" s="1487" t="s">
        <v>621</v>
      </c>
      <c r="R29" s="1488" t="s">
        <v>622</v>
      </c>
      <c r="S29" s="1489" t="s">
        <v>617</v>
      </c>
      <c r="T29" s="1490"/>
      <c r="U29" s="1490"/>
      <c r="V29" s="1490"/>
      <c r="W29" s="1474"/>
      <c r="X29" s="1475"/>
      <c r="Y29" s="1475"/>
      <c r="Z29" s="1475"/>
      <c r="AA29" s="1475"/>
      <c r="AB29" s="170"/>
      <c r="AC29" s="170"/>
      <c r="AD29" s="170"/>
      <c r="AE29" s="1476"/>
      <c r="AF29" s="1476"/>
      <c r="AG29" s="1476"/>
      <c r="AH29" s="1476"/>
      <c r="AI29" s="1476"/>
    </row>
    <row r="30" spans="1:35" ht="14.25" x14ac:dyDescent="0.2">
      <c r="A30" s="782"/>
      <c r="B30" s="1426"/>
      <c r="C30" s="1426"/>
      <c r="D30" s="722" t="s">
        <v>623</v>
      </c>
      <c r="E30" s="1491"/>
      <c r="F30" s="1492"/>
      <c r="G30" s="1493"/>
      <c r="H30" s="1494"/>
      <c r="I30" s="1492"/>
      <c r="J30" s="1493"/>
      <c r="K30" s="1494"/>
      <c r="L30" s="1492"/>
      <c r="M30" s="1493"/>
      <c r="N30" s="1494"/>
      <c r="O30" s="1492"/>
      <c r="P30" s="1493"/>
      <c r="Q30" s="1495"/>
      <c r="R30" s="1496"/>
      <c r="S30" s="1497"/>
      <c r="T30" s="1490"/>
      <c r="U30" s="1490"/>
      <c r="V30" s="1490"/>
      <c r="W30" s="142"/>
      <c r="X30" s="142"/>
      <c r="Y30" s="142"/>
      <c r="Z30" s="1180"/>
      <c r="AA30" s="1180"/>
      <c r="AB30" s="1180"/>
      <c r="AC30" s="1180"/>
      <c r="AD30" s="1180"/>
    </row>
    <row r="31" spans="1:35" s="1450" customFormat="1" ht="14.25" x14ac:dyDescent="0.2">
      <c r="A31" s="902"/>
      <c r="B31" s="1447"/>
      <c r="C31" s="1447"/>
      <c r="D31" s="722" t="s">
        <v>624</v>
      </c>
      <c r="E31" s="1466">
        <v>20678</v>
      </c>
      <c r="F31" s="1467">
        <v>14399</v>
      </c>
      <c r="G31" s="1498">
        <f>F31/E31</f>
        <v>0.69634394041976977</v>
      </c>
      <c r="H31" s="1467">
        <v>29614</v>
      </c>
      <c r="I31" s="1467">
        <v>14923</v>
      </c>
      <c r="J31" s="1498">
        <f>I31/H31</f>
        <v>0.50391706625244814</v>
      </c>
      <c r="K31" s="1467">
        <v>29100</v>
      </c>
      <c r="L31" s="1467">
        <v>18685</v>
      </c>
      <c r="M31" s="1498">
        <f>L31/K31</f>
        <v>0.64209621993127153</v>
      </c>
      <c r="N31" s="1467">
        <v>27340</v>
      </c>
      <c r="O31" s="1467">
        <v>14957</v>
      </c>
      <c r="P31" s="1498">
        <f>O31/N31</f>
        <v>0.54707388441843452</v>
      </c>
      <c r="Q31" s="1495" t="s">
        <v>625</v>
      </c>
      <c r="R31" s="1495" t="s">
        <v>626</v>
      </c>
      <c r="S31" s="1499" t="s">
        <v>627</v>
      </c>
      <c r="T31" s="1500"/>
      <c r="U31" s="1500"/>
      <c r="V31" s="1500"/>
      <c r="W31" s="142"/>
      <c r="X31" s="142"/>
      <c r="Y31" s="142"/>
      <c r="Z31" s="1432"/>
      <c r="AA31" s="1432"/>
      <c r="AB31" s="1432"/>
      <c r="AC31" s="1432"/>
      <c r="AD31" s="1432"/>
    </row>
    <row r="32" spans="1:35" s="1450" customFormat="1" ht="14.25" x14ac:dyDescent="0.2">
      <c r="A32" s="902"/>
      <c r="B32" s="1447"/>
      <c r="C32" s="1447"/>
      <c r="D32" s="757" t="s">
        <v>628</v>
      </c>
      <c r="E32" s="1466">
        <v>30207</v>
      </c>
      <c r="F32" s="1467">
        <v>22759</v>
      </c>
      <c r="G32" s="1498">
        <f>F32/E32</f>
        <v>0.753434634356275</v>
      </c>
      <c r="H32" s="1467">
        <v>45742</v>
      </c>
      <c r="I32" s="1467">
        <v>23823</v>
      </c>
      <c r="J32" s="1498">
        <f>I32/H32</f>
        <v>0.52081238249311357</v>
      </c>
      <c r="K32" s="1467">
        <v>48831</v>
      </c>
      <c r="L32" s="1467">
        <v>22206</v>
      </c>
      <c r="M32" s="1498">
        <f>L32/K32</f>
        <v>0.45475210419610496</v>
      </c>
      <c r="N32" s="1467">
        <v>67029</v>
      </c>
      <c r="O32" s="1467">
        <v>28365</v>
      </c>
      <c r="P32" s="1498">
        <f>O32/N32</f>
        <v>0.42317504363782843</v>
      </c>
      <c r="Q32" s="1495" t="s">
        <v>629</v>
      </c>
      <c r="R32" s="1495" t="s">
        <v>630</v>
      </c>
      <c r="S32" s="1499" t="s">
        <v>631</v>
      </c>
      <c r="T32" s="1500"/>
      <c r="U32" s="1500"/>
      <c r="V32" s="1500"/>
      <c r="W32" s="142"/>
      <c r="X32" s="142"/>
      <c r="Y32" s="142"/>
      <c r="Z32" s="1432"/>
      <c r="AA32" s="1432"/>
      <c r="AB32" s="1432"/>
      <c r="AC32" s="1432"/>
      <c r="AD32" s="1432"/>
    </row>
    <row r="33" spans="1:30" ht="14.25" x14ac:dyDescent="0.2">
      <c r="A33" s="782"/>
      <c r="B33" s="1426"/>
      <c r="C33" s="1426"/>
      <c r="D33" s="1501" t="s">
        <v>632</v>
      </c>
      <c r="E33" s="1502">
        <v>6127</v>
      </c>
      <c r="F33" s="1503">
        <v>2195</v>
      </c>
      <c r="G33" s="1504">
        <f>F33/E33</f>
        <v>0.35825036722702791</v>
      </c>
      <c r="H33" s="1503">
        <v>8011</v>
      </c>
      <c r="I33" s="1503">
        <v>2510</v>
      </c>
      <c r="J33" s="1504">
        <f>I33/H33</f>
        <v>0.31331918611908627</v>
      </c>
      <c r="K33" s="1503">
        <v>12006</v>
      </c>
      <c r="L33" s="1503">
        <v>3663</v>
      </c>
      <c r="M33" s="1504">
        <f>L33/K33</f>
        <v>0.30509745127436283</v>
      </c>
      <c r="N33" s="1503">
        <v>13135</v>
      </c>
      <c r="O33" s="1503">
        <v>3352</v>
      </c>
      <c r="P33" s="1504">
        <f t="shared" ref="P33" si="0">O33/N33</f>
        <v>0.25519604111153404</v>
      </c>
      <c r="Q33" s="1505" t="s">
        <v>633</v>
      </c>
      <c r="R33" s="1487" t="s">
        <v>634</v>
      </c>
      <c r="S33" s="1506" t="s">
        <v>635</v>
      </c>
      <c r="T33" s="1500"/>
      <c r="U33" s="1500"/>
      <c r="V33" s="1500"/>
      <c r="W33" s="1507"/>
      <c r="X33" s="1507"/>
      <c r="Y33" s="1507"/>
      <c r="Z33" s="1180"/>
      <c r="AA33" s="1180"/>
      <c r="AB33" s="1180"/>
      <c r="AC33" s="1180"/>
      <c r="AD33" s="1180"/>
    </row>
    <row r="34" spans="1:30" ht="14.25" x14ac:dyDescent="0.2">
      <c r="A34" s="782"/>
      <c r="B34" s="1426"/>
      <c r="C34" s="1426"/>
      <c r="D34" s="1508"/>
      <c r="E34" s="1467"/>
      <c r="F34" s="1467"/>
      <c r="G34" s="1500"/>
      <c r="H34" s="1467"/>
      <c r="I34" s="1467"/>
      <c r="J34" s="1500"/>
      <c r="K34" s="1467"/>
      <c r="L34" s="1467"/>
      <c r="M34" s="1500"/>
      <c r="N34" s="1467"/>
      <c r="O34" s="1467"/>
      <c r="P34" s="1449"/>
      <c r="Q34" s="1449"/>
      <c r="R34" s="1449"/>
      <c r="S34" s="1449"/>
      <c r="T34" s="1507"/>
      <c r="U34" s="1507"/>
      <c r="V34" s="1507"/>
      <c r="W34" s="1180"/>
      <c r="X34" s="1180"/>
      <c r="Y34" s="1180"/>
      <c r="Z34" s="1180"/>
      <c r="AA34" s="1180"/>
    </row>
    <row r="35" spans="1:30" ht="14.25" x14ac:dyDescent="0.2">
      <c r="A35" s="782"/>
      <c r="B35" s="1426"/>
      <c r="C35" s="1426"/>
      <c r="D35" s="1508"/>
      <c r="E35" s="1467"/>
      <c r="F35" s="1467"/>
      <c r="G35" s="1500"/>
      <c r="H35" s="1467"/>
      <c r="I35" s="1467"/>
      <c r="J35" s="1500"/>
      <c r="K35" s="1467"/>
      <c r="L35" s="1467"/>
      <c r="M35" s="1500"/>
      <c r="N35" s="1467"/>
      <c r="O35" s="1467"/>
      <c r="P35" s="1449"/>
      <c r="Q35" s="1449"/>
      <c r="R35" s="1449"/>
      <c r="S35" s="1449"/>
      <c r="T35" s="1507"/>
      <c r="U35" s="1507"/>
      <c r="V35" s="1507"/>
      <c r="W35" s="1180"/>
      <c r="X35" s="1180"/>
      <c r="Y35" s="1180"/>
      <c r="Z35" s="1180"/>
      <c r="AA35" s="1180"/>
    </row>
    <row r="36" spans="1:30" ht="15" customHeight="1" x14ac:dyDescent="0.2">
      <c r="A36" s="782">
        <v>5</v>
      </c>
      <c r="B36" s="782" t="s">
        <v>29</v>
      </c>
      <c r="C36" s="782"/>
      <c r="D36" s="4097" t="s">
        <v>636</v>
      </c>
      <c r="E36" s="4098"/>
      <c r="F36" s="4098"/>
      <c r="G36" s="4098"/>
      <c r="H36" s="4098"/>
      <c r="I36" s="4098"/>
      <c r="J36" s="4098"/>
      <c r="K36" s="4098"/>
      <c r="L36" s="4098"/>
      <c r="M36" s="4098"/>
      <c r="N36" s="4098"/>
      <c r="O36" s="4098"/>
      <c r="P36" s="4098"/>
      <c r="Q36" s="4098"/>
      <c r="R36" s="4098"/>
      <c r="S36" s="4099"/>
      <c r="T36" s="1507"/>
      <c r="U36" s="1507"/>
      <c r="V36" s="1507"/>
      <c r="W36" s="1180"/>
      <c r="X36" s="1180"/>
      <c r="Y36" s="1180"/>
      <c r="Z36" s="1180"/>
      <c r="AA36" s="1180"/>
    </row>
    <row r="37" spans="1:30" ht="14.25" customHeight="1" x14ac:dyDescent="0.2">
      <c r="A37" s="782">
        <v>6</v>
      </c>
      <c r="B37" s="782" t="s">
        <v>95</v>
      </c>
      <c r="C37" s="782"/>
      <c r="D37" s="4097" t="s">
        <v>485</v>
      </c>
      <c r="E37" s="4098"/>
      <c r="F37" s="4098"/>
      <c r="G37" s="4098"/>
      <c r="H37" s="4098"/>
      <c r="I37" s="4098"/>
      <c r="J37" s="4098"/>
      <c r="K37" s="4098"/>
      <c r="L37" s="4098"/>
      <c r="M37" s="4098"/>
      <c r="N37" s="4098"/>
      <c r="O37" s="4098"/>
      <c r="P37" s="4098"/>
      <c r="Q37" s="4098"/>
      <c r="R37" s="4098"/>
      <c r="S37" s="4099"/>
      <c r="T37" s="1507"/>
      <c r="U37" s="1507"/>
      <c r="V37" s="1507"/>
      <c r="W37" s="1180"/>
      <c r="X37" s="1180"/>
      <c r="Y37" s="1180"/>
      <c r="Z37" s="1180"/>
      <c r="AA37" s="1180"/>
    </row>
    <row r="38" spans="1:30" ht="14.25" customHeight="1" x14ac:dyDescent="0.2">
      <c r="A38" s="818">
        <v>7</v>
      </c>
      <c r="B38" s="818" t="s">
        <v>32</v>
      </c>
      <c r="C38" s="818"/>
      <c r="D38" s="4097" t="s">
        <v>637</v>
      </c>
      <c r="E38" s="4098"/>
      <c r="F38" s="4098"/>
      <c r="G38" s="4098"/>
      <c r="H38" s="4098"/>
      <c r="I38" s="4098"/>
      <c r="J38" s="4098"/>
      <c r="K38" s="4098"/>
      <c r="L38" s="4098"/>
      <c r="M38" s="4098"/>
      <c r="N38" s="4098"/>
      <c r="O38" s="4098"/>
      <c r="P38" s="4098"/>
      <c r="Q38" s="4098"/>
      <c r="R38" s="4098"/>
      <c r="S38" s="4099"/>
      <c r="T38" s="1449"/>
      <c r="U38" s="1449"/>
      <c r="V38" s="1449"/>
      <c r="W38" s="1180"/>
      <c r="X38" s="1180"/>
      <c r="Y38" s="1180"/>
      <c r="Z38" s="1180"/>
      <c r="AA38" s="1180"/>
    </row>
    <row r="39" spans="1:30" ht="14.25" customHeight="1" x14ac:dyDescent="0.2">
      <c r="A39" s="782">
        <v>8</v>
      </c>
      <c r="B39" s="782" t="s">
        <v>31</v>
      </c>
      <c r="C39" s="782"/>
      <c r="D39" s="4097" t="s">
        <v>638</v>
      </c>
      <c r="E39" s="4098"/>
      <c r="F39" s="4098"/>
      <c r="G39" s="4098"/>
      <c r="H39" s="4098"/>
      <c r="I39" s="4098"/>
      <c r="J39" s="4098"/>
      <c r="K39" s="4098"/>
      <c r="L39" s="4098"/>
      <c r="M39" s="4098"/>
      <c r="N39" s="4098"/>
      <c r="O39" s="4098"/>
      <c r="P39" s="4098"/>
      <c r="Q39" s="4098"/>
      <c r="R39" s="4098"/>
      <c r="S39" s="4099"/>
      <c r="T39" s="1449"/>
      <c r="U39" s="1449"/>
      <c r="V39" s="1449"/>
      <c r="W39" s="1180"/>
      <c r="X39" s="1180"/>
      <c r="Y39" s="1180"/>
      <c r="Z39" s="1180"/>
      <c r="AA39" s="1180"/>
    </row>
    <row r="40" spans="1:30" ht="14.25" x14ac:dyDescent="0.2">
      <c r="A40" s="1351"/>
      <c r="B40" s="1509"/>
      <c r="C40" s="1509"/>
      <c r="D40" s="1180"/>
      <c r="E40" s="1180"/>
      <c r="F40" s="1180"/>
      <c r="G40" s="1180"/>
      <c r="H40" s="1180"/>
      <c r="I40" s="1180"/>
      <c r="J40" s="1180"/>
      <c r="K40" s="1180"/>
      <c r="L40" s="1180"/>
      <c r="M40" s="1180"/>
      <c r="N40" s="1180"/>
      <c r="O40" s="1180"/>
      <c r="P40" s="1180"/>
      <c r="Q40" s="1180"/>
      <c r="R40" s="1180"/>
      <c r="S40" s="1180"/>
      <c r="T40" s="1180"/>
      <c r="U40" s="1180"/>
      <c r="V40" s="1510"/>
      <c r="W40" s="1180"/>
      <c r="X40" s="1180"/>
      <c r="Y40" s="1180"/>
      <c r="Z40" s="1180"/>
      <c r="AA40" s="1180"/>
    </row>
    <row r="41" spans="1:30" ht="14.25" x14ac:dyDescent="0.2">
      <c r="A41" s="1351"/>
      <c r="B41" s="1509"/>
      <c r="C41" s="1509"/>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c r="AA41" s="1180"/>
    </row>
    <row r="42" spans="1:30" ht="14.25" x14ac:dyDescent="0.2">
      <c r="A42" s="1351"/>
      <c r="B42" s="1509"/>
      <c r="C42" s="1509"/>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c r="AA42" s="1180"/>
    </row>
    <row r="43" spans="1:30" ht="14.25" x14ac:dyDescent="0.2">
      <c r="A43" s="1351"/>
      <c r="B43" s="1509"/>
      <c r="C43" s="1509"/>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c r="AA43" s="1180"/>
    </row>
    <row r="44" spans="1:30" ht="14.25" x14ac:dyDescent="0.2">
      <c r="A44" s="1351"/>
      <c r="B44" s="1509"/>
      <c r="C44" s="1509"/>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c r="AA44" s="1180"/>
    </row>
    <row r="45" spans="1:30" ht="14.25" x14ac:dyDescent="0.2">
      <c r="A45" s="1351"/>
      <c r="B45" s="1509"/>
      <c r="C45" s="1509"/>
      <c r="D45" s="1180"/>
      <c r="E45" s="1180"/>
      <c r="F45" s="1180"/>
      <c r="G45" s="1180"/>
      <c r="H45" s="1180"/>
      <c r="I45" s="1180"/>
      <c r="J45" s="1180"/>
      <c r="K45" s="1180"/>
      <c r="L45" s="1180"/>
      <c r="M45" s="1180"/>
      <c r="N45" s="1180"/>
      <c r="O45" s="1180"/>
      <c r="P45" s="1180"/>
      <c r="Q45" s="1180"/>
      <c r="R45" s="1180"/>
      <c r="S45" s="1180"/>
      <c r="T45" s="1180"/>
      <c r="U45" s="1180"/>
      <c r="V45" s="1180"/>
      <c r="W45" s="1180"/>
      <c r="X45" s="1180"/>
      <c r="Y45" s="1180"/>
      <c r="Z45" s="1180"/>
      <c r="AA45" s="1180"/>
    </row>
    <row r="46" spans="1:30" ht="14.25" x14ac:dyDescent="0.2">
      <c r="A46" s="1351"/>
      <c r="B46" s="1509"/>
      <c r="C46" s="1509"/>
      <c r="D46" s="1180"/>
      <c r="E46" s="1180"/>
      <c r="F46" s="1180"/>
      <c r="G46" s="1180"/>
      <c r="H46" s="1180"/>
      <c r="I46" s="1180"/>
      <c r="J46" s="1180"/>
      <c r="K46" s="1180"/>
      <c r="L46" s="1180"/>
      <c r="M46" s="1180"/>
      <c r="N46" s="1180"/>
      <c r="O46" s="1180"/>
      <c r="P46" s="1180"/>
      <c r="Q46" s="1180"/>
      <c r="R46" s="1180"/>
      <c r="S46" s="1180"/>
      <c r="T46" s="1180"/>
      <c r="U46" s="1180"/>
      <c r="V46" s="1180"/>
      <c r="W46" s="1180"/>
      <c r="X46" s="1180"/>
      <c r="Y46" s="1180"/>
      <c r="Z46" s="1180"/>
      <c r="AA46" s="1180"/>
    </row>
  </sheetData>
  <mergeCells count="10">
    <mergeCell ref="D36:S36"/>
    <mergeCell ref="D37:S37"/>
    <mergeCell ref="D38:S38"/>
    <mergeCell ref="D39:S39"/>
    <mergeCell ref="D2:S2"/>
    <mergeCell ref="D3:S3"/>
    <mergeCell ref="D4:S4"/>
    <mergeCell ref="K28:M28"/>
    <mergeCell ref="N28:P28"/>
    <mergeCell ref="Q28:S28"/>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1"/>
  <sheetViews>
    <sheetView showGridLines="0" view="pageBreakPreview" zoomScaleNormal="100" zoomScaleSheetLayoutView="100" workbookViewId="0">
      <selection activeCell="L45" sqref="L45"/>
    </sheetView>
  </sheetViews>
  <sheetFormatPr defaultColWidth="9.140625" defaultRowHeight="12" x14ac:dyDescent="0.2"/>
  <cols>
    <col min="1" max="1" width="3.7109375" style="3024" customWidth="1"/>
    <col min="2" max="2" width="14.42578125" style="3025" customWidth="1"/>
    <col min="3" max="3" width="3.7109375" style="3025" customWidth="1"/>
    <col min="4" max="4" width="18.140625" style="733" customWidth="1"/>
    <col min="5" max="13" width="9.140625" style="733"/>
    <col min="14" max="14" width="7.7109375" style="733" customWidth="1"/>
    <col min="15" max="17" width="8.5703125" style="733" customWidth="1"/>
    <col min="18" max="257" width="9.140625" style="733"/>
    <col min="258" max="258" width="3.7109375" style="733" customWidth="1"/>
    <col min="259" max="259" width="14.42578125" style="733" customWidth="1"/>
    <col min="260" max="260" width="3.7109375" style="733" customWidth="1"/>
    <col min="261" max="261" width="18.140625" style="733" customWidth="1"/>
    <col min="262" max="263" width="9.140625" style="733"/>
    <col min="264" max="264" width="8.42578125" style="733" customWidth="1"/>
    <col min="265" max="266" width="9.140625" style="733"/>
    <col min="267" max="267" width="7.7109375" style="733" customWidth="1"/>
    <col min="268" max="269" width="9.140625" style="733"/>
    <col min="270" max="270" width="8.7109375" style="733" customWidth="1"/>
    <col min="271" max="271" width="7.7109375" style="733" customWidth="1"/>
    <col min="272" max="272" width="8.5703125" style="733" customWidth="1"/>
    <col min="273" max="273" width="9" style="733" customWidth="1"/>
    <col min="274" max="513" width="9.140625" style="733"/>
    <col min="514" max="514" width="3.7109375" style="733" customWidth="1"/>
    <col min="515" max="515" width="14.42578125" style="733" customWidth="1"/>
    <col min="516" max="516" width="3.7109375" style="733" customWidth="1"/>
    <col min="517" max="517" width="18.140625" style="733" customWidth="1"/>
    <col min="518" max="519" width="9.140625" style="733"/>
    <col min="520" max="520" width="8.42578125" style="733" customWidth="1"/>
    <col min="521" max="522" width="9.140625" style="733"/>
    <col min="523" max="523" width="7.7109375" style="733" customWidth="1"/>
    <col min="524" max="525" width="9.140625" style="733"/>
    <col min="526" max="526" width="8.7109375" style="733" customWidth="1"/>
    <col min="527" max="527" width="7.7109375" style="733" customWidth="1"/>
    <col min="528" max="528" width="8.5703125" style="733" customWidth="1"/>
    <col min="529" max="529" width="9" style="733" customWidth="1"/>
    <col min="530" max="769" width="9.140625" style="733"/>
    <col min="770" max="770" width="3.7109375" style="733" customWidth="1"/>
    <col min="771" max="771" width="14.42578125" style="733" customWidth="1"/>
    <col min="772" max="772" width="3.7109375" style="733" customWidth="1"/>
    <col min="773" max="773" width="18.140625" style="733" customWidth="1"/>
    <col min="774" max="775" width="9.140625" style="733"/>
    <col min="776" max="776" width="8.42578125" style="733" customWidth="1"/>
    <col min="777" max="778" width="9.140625" style="733"/>
    <col min="779" max="779" width="7.7109375" style="733" customWidth="1"/>
    <col min="780" max="781" width="9.140625" style="733"/>
    <col min="782" max="782" width="8.7109375" style="733" customWidth="1"/>
    <col min="783" max="783" width="7.7109375" style="733" customWidth="1"/>
    <col min="784" max="784" width="8.5703125" style="733" customWidth="1"/>
    <col min="785" max="785" width="9" style="733" customWidth="1"/>
    <col min="786" max="1025" width="9.140625" style="733"/>
    <col min="1026" max="1026" width="3.7109375" style="733" customWidth="1"/>
    <col min="1027" max="1027" width="14.42578125" style="733" customWidth="1"/>
    <col min="1028" max="1028" width="3.7109375" style="733" customWidth="1"/>
    <col min="1029" max="1029" width="18.140625" style="733" customWidth="1"/>
    <col min="1030" max="1031" width="9.140625" style="733"/>
    <col min="1032" max="1032" width="8.42578125" style="733" customWidth="1"/>
    <col min="1033" max="1034" width="9.140625" style="733"/>
    <col min="1035" max="1035" width="7.7109375" style="733" customWidth="1"/>
    <col min="1036" max="1037" width="9.140625" style="733"/>
    <col min="1038" max="1038" width="8.7109375" style="733" customWidth="1"/>
    <col min="1039" max="1039" width="7.7109375" style="733" customWidth="1"/>
    <col min="1040" max="1040" width="8.5703125" style="733" customWidth="1"/>
    <col min="1041" max="1041" width="9" style="733" customWidth="1"/>
    <col min="1042" max="1281" width="9.140625" style="733"/>
    <col min="1282" max="1282" width="3.7109375" style="733" customWidth="1"/>
    <col min="1283" max="1283" width="14.42578125" style="733" customWidth="1"/>
    <col min="1284" max="1284" width="3.7109375" style="733" customWidth="1"/>
    <col min="1285" max="1285" width="18.140625" style="733" customWidth="1"/>
    <col min="1286" max="1287" width="9.140625" style="733"/>
    <col min="1288" max="1288" width="8.42578125" style="733" customWidth="1"/>
    <col min="1289" max="1290" width="9.140625" style="733"/>
    <col min="1291" max="1291" width="7.7109375" style="733" customWidth="1"/>
    <col min="1292" max="1293" width="9.140625" style="733"/>
    <col min="1294" max="1294" width="8.7109375" style="733" customWidth="1"/>
    <col min="1295" max="1295" width="7.7109375" style="733" customWidth="1"/>
    <col min="1296" max="1296" width="8.5703125" style="733" customWidth="1"/>
    <col min="1297" max="1297" width="9" style="733" customWidth="1"/>
    <col min="1298" max="1537" width="9.140625" style="733"/>
    <col min="1538" max="1538" width="3.7109375" style="733" customWidth="1"/>
    <col min="1539" max="1539" width="14.42578125" style="733" customWidth="1"/>
    <col min="1540" max="1540" width="3.7109375" style="733" customWidth="1"/>
    <col min="1541" max="1541" width="18.140625" style="733" customWidth="1"/>
    <col min="1542" max="1543" width="9.140625" style="733"/>
    <col min="1544" max="1544" width="8.42578125" style="733" customWidth="1"/>
    <col min="1545" max="1546" width="9.140625" style="733"/>
    <col min="1547" max="1547" width="7.7109375" style="733" customWidth="1"/>
    <col min="1548" max="1549" width="9.140625" style="733"/>
    <col min="1550" max="1550" width="8.7109375" style="733" customWidth="1"/>
    <col min="1551" max="1551" width="7.7109375" style="733" customWidth="1"/>
    <col min="1552" max="1552" width="8.5703125" style="733" customWidth="1"/>
    <col min="1553" max="1553" width="9" style="733" customWidth="1"/>
    <col min="1554" max="1793" width="9.140625" style="733"/>
    <col min="1794" max="1794" width="3.7109375" style="733" customWidth="1"/>
    <col min="1795" max="1795" width="14.42578125" style="733" customWidth="1"/>
    <col min="1796" max="1796" width="3.7109375" style="733" customWidth="1"/>
    <col min="1797" max="1797" width="18.140625" style="733" customWidth="1"/>
    <col min="1798" max="1799" width="9.140625" style="733"/>
    <col min="1800" max="1800" width="8.42578125" style="733" customWidth="1"/>
    <col min="1801" max="1802" width="9.140625" style="733"/>
    <col min="1803" max="1803" width="7.7109375" style="733" customWidth="1"/>
    <col min="1804" max="1805" width="9.140625" style="733"/>
    <col min="1806" max="1806" width="8.7109375" style="733" customWidth="1"/>
    <col min="1807" max="1807" width="7.7109375" style="733" customWidth="1"/>
    <col min="1808" max="1808" width="8.5703125" style="733" customWidth="1"/>
    <col min="1809" max="1809" width="9" style="733" customWidth="1"/>
    <col min="1810" max="2049" width="9.140625" style="733"/>
    <col min="2050" max="2050" width="3.7109375" style="733" customWidth="1"/>
    <col min="2051" max="2051" width="14.42578125" style="733" customWidth="1"/>
    <col min="2052" max="2052" width="3.7109375" style="733" customWidth="1"/>
    <col min="2053" max="2053" width="18.140625" style="733" customWidth="1"/>
    <col min="2054" max="2055" width="9.140625" style="733"/>
    <col min="2056" max="2056" width="8.42578125" style="733" customWidth="1"/>
    <col min="2057" max="2058" width="9.140625" style="733"/>
    <col min="2059" max="2059" width="7.7109375" style="733" customWidth="1"/>
    <col min="2060" max="2061" width="9.140625" style="733"/>
    <col min="2062" max="2062" width="8.7109375" style="733" customWidth="1"/>
    <col min="2063" max="2063" width="7.7109375" style="733" customWidth="1"/>
    <col min="2064" max="2064" width="8.5703125" style="733" customWidth="1"/>
    <col min="2065" max="2065" width="9" style="733" customWidth="1"/>
    <col min="2066" max="2305" width="9.140625" style="733"/>
    <col min="2306" max="2306" width="3.7109375" style="733" customWidth="1"/>
    <col min="2307" max="2307" width="14.42578125" style="733" customWidth="1"/>
    <col min="2308" max="2308" width="3.7109375" style="733" customWidth="1"/>
    <col min="2309" max="2309" width="18.140625" style="733" customWidth="1"/>
    <col min="2310" max="2311" width="9.140625" style="733"/>
    <col min="2312" max="2312" width="8.42578125" style="733" customWidth="1"/>
    <col min="2313" max="2314" width="9.140625" style="733"/>
    <col min="2315" max="2315" width="7.7109375" style="733" customWidth="1"/>
    <col min="2316" max="2317" width="9.140625" style="733"/>
    <col min="2318" max="2318" width="8.7109375" style="733" customWidth="1"/>
    <col min="2319" max="2319" width="7.7109375" style="733" customWidth="1"/>
    <col min="2320" max="2320" width="8.5703125" style="733" customWidth="1"/>
    <col min="2321" max="2321" width="9" style="733" customWidth="1"/>
    <col min="2322" max="2561" width="9.140625" style="733"/>
    <col min="2562" max="2562" width="3.7109375" style="733" customWidth="1"/>
    <col min="2563" max="2563" width="14.42578125" style="733" customWidth="1"/>
    <col min="2564" max="2564" width="3.7109375" style="733" customWidth="1"/>
    <col min="2565" max="2565" width="18.140625" style="733" customWidth="1"/>
    <col min="2566" max="2567" width="9.140625" style="733"/>
    <col min="2568" max="2568" width="8.42578125" style="733" customWidth="1"/>
    <col min="2569" max="2570" width="9.140625" style="733"/>
    <col min="2571" max="2571" width="7.7109375" style="733" customWidth="1"/>
    <col min="2572" max="2573" width="9.140625" style="733"/>
    <col min="2574" max="2574" width="8.7109375" style="733" customWidth="1"/>
    <col min="2575" max="2575" width="7.7109375" style="733" customWidth="1"/>
    <col min="2576" max="2576" width="8.5703125" style="733" customWidth="1"/>
    <col min="2577" max="2577" width="9" style="733" customWidth="1"/>
    <col min="2578" max="2817" width="9.140625" style="733"/>
    <col min="2818" max="2818" width="3.7109375" style="733" customWidth="1"/>
    <col min="2819" max="2819" width="14.42578125" style="733" customWidth="1"/>
    <col min="2820" max="2820" width="3.7109375" style="733" customWidth="1"/>
    <col min="2821" max="2821" width="18.140625" style="733" customWidth="1"/>
    <col min="2822" max="2823" width="9.140625" style="733"/>
    <col min="2824" max="2824" width="8.42578125" style="733" customWidth="1"/>
    <col min="2825" max="2826" width="9.140625" style="733"/>
    <col min="2827" max="2827" width="7.7109375" style="733" customWidth="1"/>
    <col min="2828" max="2829" width="9.140625" style="733"/>
    <col min="2830" max="2830" width="8.7109375" style="733" customWidth="1"/>
    <col min="2831" max="2831" width="7.7109375" style="733" customWidth="1"/>
    <col min="2832" max="2832" width="8.5703125" style="733" customWidth="1"/>
    <col min="2833" max="2833" width="9" style="733" customWidth="1"/>
    <col min="2834" max="3073" width="9.140625" style="733"/>
    <col min="3074" max="3074" width="3.7109375" style="733" customWidth="1"/>
    <col min="3075" max="3075" width="14.42578125" style="733" customWidth="1"/>
    <col min="3076" max="3076" width="3.7109375" style="733" customWidth="1"/>
    <col min="3077" max="3077" width="18.140625" style="733" customWidth="1"/>
    <col min="3078" max="3079" width="9.140625" style="733"/>
    <col min="3080" max="3080" width="8.42578125" style="733" customWidth="1"/>
    <col min="3081" max="3082" width="9.140625" style="733"/>
    <col min="3083" max="3083" width="7.7109375" style="733" customWidth="1"/>
    <col min="3084" max="3085" width="9.140625" style="733"/>
    <col min="3086" max="3086" width="8.7109375" style="733" customWidth="1"/>
    <col min="3087" max="3087" width="7.7109375" style="733" customWidth="1"/>
    <col min="3088" max="3088" width="8.5703125" style="733" customWidth="1"/>
    <col min="3089" max="3089" width="9" style="733" customWidth="1"/>
    <col min="3090" max="3329" width="9.140625" style="733"/>
    <col min="3330" max="3330" width="3.7109375" style="733" customWidth="1"/>
    <col min="3331" max="3331" width="14.42578125" style="733" customWidth="1"/>
    <col min="3332" max="3332" width="3.7109375" style="733" customWidth="1"/>
    <col min="3333" max="3333" width="18.140625" style="733" customWidth="1"/>
    <col min="3334" max="3335" width="9.140625" style="733"/>
    <col min="3336" max="3336" width="8.42578125" style="733" customWidth="1"/>
    <col min="3337" max="3338" width="9.140625" style="733"/>
    <col min="3339" max="3339" width="7.7109375" style="733" customWidth="1"/>
    <col min="3340" max="3341" width="9.140625" style="733"/>
    <col min="3342" max="3342" width="8.7109375" style="733" customWidth="1"/>
    <col min="3343" max="3343" width="7.7109375" style="733" customWidth="1"/>
    <col min="3344" max="3344" width="8.5703125" style="733" customWidth="1"/>
    <col min="3345" max="3345" width="9" style="733" customWidth="1"/>
    <col min="3346" max="3585" width="9.140625" style="733"/>
    <col min="3586" max="3586" width="3.7109375" style="733" customWidth="1"/>
    <col min="3587" max="3587" width="14.42578125" style="733" customWidth="1"/>
    <col min="3588" max="3588" width="3.7109375" style="733" customWidth="1"/>
    <col min="3589" max="3589" width="18.140625" style="733" customWidth="1"/>
    <col min="3590" max="3591" width="9.140625" style="733"/>
    <col min="3592" max="3592" width="8.42578125" style="733" customWidth="1"/>
    <col min="3593" max="3594" width="9.140625" style="733"/>
    <col min="3595" max="3595" width="7.7109375" style="733" customWidth="1"/>
    <col min="3596" max="3597" width="9.140625" style="733"/>
    <col min="3598" max="3598" width="8.7109375" style="733" customWidth="1"/>
    <col min="3599" max="3599" width="7.7109375" style="733" customWidth="1"/>
    <col min="3600" max="3600" width="8.5703125" style="733" customWidth="1"/>
    <col min="3601" max="3601" width="9" style="733" customWidth="1"/>
    <col min="3602" max="3841" width="9.140625" style="733"/>
    <col min="3842" max="3842" width="3.7109375" style="733" customWidth="1"/>
    <col min="3843" max="3843" width="14.42578125" style="733" customWidth="1"/>
    <col min="3844" max="3844" width="3.7109375" style="733" customWidth="1"/>
    <col min="3845" max="3845" width="18.140625" style="733" customWidth="1"/>
    <col min="3846" max="3847" width="9.140625" style="733"/>
    <col min="3848" max="3848" width="8.42578125" style="733" customWidth="1"/>
    <col min="3849" max="3850" width="9.140625" style="733"/>
    <col min="3851" max="3851" width="7.7109375" style="733" customWidth="1"/>
    <col min="3852" max="3853" width="9.140625" style="733"/>
    <col min="3854" max="3854" width="8.7109375" style="733" customWidth="1"/>
    <col min="3855" max="3855" width="7.7109375" style="733" customWidth="1"/>
    <col min="3856" max="3856" width="8.5703125" style="733" customWidth="1"/>
    <col min="3857" max="3857" width="9" style="733" customWidth="1"/>
    <col min="3858" max="4097" width="9.140625" style="733"/>
    <col min="4098" max="4098" width="3.7109375" style="733" customWidth="1"/>
    <col min="4099" max="4099" width="14.42578125" style="733" customWidth="1"/>
    <col min="4100" max="4100" width="3.7109375" style="733" customWidth="1"/>
    <col min="4101" max="4101" width="18.140625" style="733" customWidth="1"/>
    <col min="4102" max="4103" width="9.140625" style="733"/>
    <col min="4104" max="4104" width="8.42578125" style="733" customWidth="1"/>
    <col min="4105" max="4106" width="9.140625" style="733"/>
    <col min="4107" max="4107" width="7.7109375" style="733" customWidth="1"/>
    <col min="4108" max="4109" width="9.140625" style="733"/>
    <col min="4110" max="4110" width="8.7109375" style="733" customWidth="1"/>
    <col min="4111" max="4111" width="7.7109375" style="733" customWidth="1"/>
    <col min="4112" max="4112" width="8.5703125" style="733" customWidth="1"/>
    <col min="4113" max="4113" width="9" style="733" customWidth="1"/>
    <col min="4114" max="4353" width="9.140625" style="733"/>
    <col min="4354" max="4354" width="3.7109375" style="733" customWidth="1"/>
    <col min="4355" max="4355" width="14.42578125" style="733" customWidth="1"/>
    <col min="4356" max="4356" width="3.7109375" style="733" customWidth="1"/>
    <col min="4357" max="4357" width="18.140625" style="733" customWidth="1"/>
    <col min="4358" max="4359" width="9.140625" style="733"/>
    <col min="4360" max="4360" width="8.42578125" style="733" customWidth="1"/>
    <col min="4361" max="4362" width="9.140625" style="733"/>
    <col min="4363" max="4363" width="7.7109375" style="733" customWidth="1"/>
    <col min="4364" max="4365" width="9.140625" style="733"/>
    <col min="4366" max="4366" width="8.7109375" style="733" customWidth="1"/>
    <col min="4367" max="4367" width="7.7109375" style="733" customWidth="1"/>
    <col min="4368" max="4368" width="8.5703125" style="733" customWidth="1"/>
    <col min="4369" max="4369" width="9" style="733" customWidth="1"/>
    <col min="4370" max="4609" width="9.140625" style="733"/>
    <col min="4610" max="4610" width="3.7109375" style="733" customWidth="1"/>
    <col min="4611" max="4611" width="14.42578125" style="733" customWidth="1"/>
    <col min="4612" max="4612" width="3.7109375" style="733" customWidth="1"/>
    <col min="4613" max="4613" width="18.140625" style="733" customWidth="1"/>
    <col min="4614" max="4615" width="9.140625" style="733"/>
    <col min="4616" max="4616" width="8.42578125" style="733" customWidth="1"/>
    <col min="4617" max="4618" width="9.140625" style="733"/>
    <col min="4619" max="4619" width="7.7109375" style="733" customWidth="1"/>
    <col min="4620" max="4621" width="9.140625" style="733"/>
    <col min="4622" max="4622" width="8.7109375" style="733" customWidth="1"/>
    <col min="4623" max="4623" width="7.7109375" style="733" customWidth="1"/>
    <col min="4624" max="4624" width="8.5703125" style="733" customWidth="1"/>
    <col min="4625" max="4625" width="9" style="733" customWidth="1"/>
    <col min="4626" max="4865" width="9.140625" style="733"/>
    <col min="4866" max="4866" width="3.7109375" style="733" customWidth="1"/>
    <col min="4867" max="4867" width="14.42578125" style="733" customWidth="1"/>
    <col min="4868" max="4868" width="3.7109375" style="733" customWidth="1"/>
    <col min="4869" max="4869" width="18.140625" style="733" customWidth="1"/>
    <col min="4870" max="4871" width="9.140625" style="733"/>
    <col min="4872" max="4872" width="8.42578125" style="733" customWidth="1"/>
    <col min="4873" max="4874" width="9.140625" style="733"/>
    <col min="4875" max="4875" width="7.7109375" style="733" customWidth="1"/>
    <col min="4876" max="4877" width="9.140625" style="733"/>
    <col min="4878" max="4878" width="8.7109375" style="733" customWidth="1"/>
    <col min="4879" max="4879" width="7.7109375" style="733" customWidth="1"/>
    <col min="4880" max="4880" width="8.5703125" style="733" customWidth="1"/>
    <col min="4881" max="4881" width="9" style="733" customWidth="1"/>
    <col min="4882" max="5121" width="9.140625" style="733"/>
    <col min="5122" max="5122" width="3.7109375" style="733" customWidth="1"/>
    <col min="5123" max="5123" width="14.42578125" style="733" customWidth="1"/>
    <col min="5124" max="5124" width="3.7109375" style="733" customWidth="1"/>
    <col min="5125" max="5125" width="18.140625" style="733" customWidth="1"/>
    <col min="5126" max="5127" width="9.140625" style="733"/>
    <col min="5128" max="5128" width="8.42578125" style="733" customWidth="1"/>
    <col min="5129" max="5130" width="9.140625" style="733"/>
    <col min="5131" max="5131" width="7.7109375" style="733" customWidth="1"/>
    <col min="5132" max="5133" width="9.140625" style="733"/>
    <col min="5134" max="5134" width="8.7109375" style="733" customWidth="1"/>
    <col min="5135" max="5135" width="7.7109375" style="733" customWidth="1"/>
    <col min="5136" max="5136" width="8.5703125" style="733" customWidth="1"/>
    <col min="5137" max="5137" width="9" style="733" customWidth="1"/>
    <col min="5138" max="5377" width="9.140625" style="733"/>
    <col min="5378" max="5378" width="3.7109375" style="733" customWidth="1"/>
    <col min="5379" max="5379" width="14.42578125" style="733" customWidth="1"/>
    <col min="5380" max="5380" width="3.7109375" style="733" customWidth="1"/>
    <col min="5381" max="5381" width="18.140625" style="733" customWidth="1"/>
    <col min="5382" max="5383" width="9.140625" style="733"/>
    <col min="5384" max="5384" width="8.42578125" style="733" customWidth="1"/>
    <col min="5385" max="5386" width="9.140625" style="733"/>
    <col min="5387" max="5387" width="7.7109375" style="733" customWidth="1"/>
    <col min="5388" max="5389" width="9.140625" style="733"/>
    <col min="5390" max="5390" width="8.7109375" style="733" customWidth="1"/>
    <col min="5391" max="5391" width="7.7109375" style="733" customWidth="1"/>
    <col min="5392" max="5392" width="8.5703125" style="733" customWidth="1"/>
    <col min="5393" max="5393" width="9" style="733" customWidth="1"/>
    <col min="5394" max="5633" width="9.140625" style="733"/>
    <col min="5634" max="5634" width="3.7109375" style="733" customWidth="1"/>
    <col min="5635" max="5635" width="14.42578125" style="733" customWidth="1"/>
    <col min="5636" max="5636" width="3.7109375" style="733" customWidth="1"/>
    <col min="5637" max="5637" width="18.140625" style="733" customWidth="1"/>
    <col min="5638" max="5639" width="9.140625" style="733"/>
    <col min="5640" max="5640" width="8.42578125" style="733" customWidth="1"/>
    <col min="5641" max="5642" width="9.140625" style="733"/>
    <col min="5643" max="5643" width="7.7109375" style="733" customWidth="1"/>
    <col min="5644" max="5645" width="9.140625" style="733"/>
    <col min="5646" max="5646" width="8.7109375" style="733" customWidth="1"/>
    <col min="5647" max="5647" width="7.7109375" style="733" customWidth="1"/>
    <col min="5648" max="5648" width="8.5703125" style="733" customWidth="1"/>
    <col min="5649" max="5649" width="9" style="733" customWidth="1"/>
    <col min="5650" max="5889" width="9.140625" style="733"/>
    <col min="5890" max="5890" width="3.7109375" style="733" customWidth="1"/>
    <col min="5891" max="5891" width="14.42578125" style="733" customWidth="1"/>
    <col min="5892" max="5892" width="3.7109375" style="733" customWidth="1"/>
    <col min="5893" max="5893" width="18.140625" style="733" customWidth="1"/>
    <col min="5894" max="5895" width="9.140625" style="733"/>
    <col min="5896" max="5896" width="8.42578125" style="733" customWidth="1"/>
    <col min="5897" max="5898" width="9.140625" style="733"/>
    <col min="5899" max="5899" width="7.7109375" style="733" customWidth="1"/>
    <col min="5900" max="5901" width="9.140625" style="733"/>
    <col min="5902" max="5902" width="8.7109375" style="733" customWidth="1"/>
    <col min="5903" max="5903" width="7.7109375" style="733" customWidth="1"/>
    <col min="5904" max="5904" width="8.5703125" style="733" customWidth="1"/>
    <col min="5905" max="5905" width="9" style="733" customWidth="1"/>
    <col min="5906" max="6145" width="9.140625" style="733"/>
    <col min="6146" max="6146" width="3.7109375" style="733" customWidth="1"/>
    <col min="6147" max="6147" width="14.42578125" style="733" customWidth="1"/>
    <col min="6148" max="6148" width="3.7109375" style="733" customWidth="1"/>
    <col min="6149" max="6149" width="18.140625" style="733" customWidth="1"/>
    <col min="6150" max="6151" width="9.140625" style="733"/>
    <col min="6152" max="6152" width="8.42578125" style="733" customWidth="1"/>
    <col min="6153" max="6154" width="9.140625" style="733"/>
    <col min="6155" max="6155" width="7.7109375" style="733" customWidth="1"/>
    <col min="6156" max="6157" width="9.140625" style="733"/>
    <col min="6158" max="6158" width="8.7109375" style="733" customWidth="1"/>
    <col min="6159" max="6159" width="7.7109375" style="733" customWidth="1"/>
    <col min="6160" max="6160" width="8.5703125" style="733" customWidth="1"/>
    <col min="6161" max="6161" width="9" style="733" customWidth="1"/>
    <col min="6162" max="6401" width="9.140625" style="733"/>
    <col min="6402" max="6402" width="3.7109375" style="733" customWidth="1"/>
    <col min="6403" max="6403" width="14.42578125" style="733" customWidth="1"/>
    <col min="6404" max="6404" width="3.7109375" style="733" customWidth="1"/>
    <col min="6405" max="6405" width="18.140625" style="733" customWidth="1"/>
    <col min="6406" max="6407" width="9.140625" style="733"/>
    <col min="6408" max="6408" width="8.42578125" style="733" customWidth="1"/>
    <col min="6409" max="6410" width="9.140625" style="733"/>
    <col min="6411" max="6411" width="7.7109375" style="733" customWidth="1"/>
    <col min="6412" max="6413" width="9.140625" style="733"/>
    <col min="6414" max="6414" width="8.7109375" style="733" customWidth="1"/>
    <col min="6415" max="6415" width="7.7109375" style="733" customWidth="1"/>
    <col min="6416" max="6416" width="8.5703125" style="733" customWidth="1"/>
    <col min="6417" max="6417" width="9" style="733" customWidth="1"/>
    <col min="6418" max="6657" width="9.140625" style="733"/>
    <col min="6658" max="6658" width="3.7109375" style="733" customWidth="1"/>
    <col min="6659" max="6659" width="14.42578125" style="733" customWidth="1"/>
    <col min="6660" max="6660" width="3.7109375" style="733" customWidth="1"/>
    <col min="6661" max="6661" width="18.140625" style="733" customWidth="1"/>
    <col min="6662" max="6663" width="9.140625" style="733"/>
    <col min="6664" max="6664" width="8.42578125" style="733" customWidth="1"/>
    <col min="6665" max="6666" width="9.140625" style="733"/>
    <col min="6667" max="6667" width="7.7109375" style="733" customWidth="1"/>
    <col min="6668" max="6669" width="9.140625" style="733"/>
    <col min="6670" max="6670" width="8.7109375" style="733" customWidth="1"/>
    <col min="6671" max="6671" width="7.7109375" style="733" customWidth="1"/>
    <col min="6672" max="6672" width="8.5703125" style="733" customWidth="1"/>
    <col min="6673" max="6673" width="9" style="733" customWidth="1"/>
    <col min="6674" max="6913" width="9.140625" style="733"/>
    <col min="6914" max="6914" width="3.7109375" style="733" customWidth="1"/>
    <col min="6915" max="6915" width="14.42578125" style="733" customWidth="1"/>
    <col min="6916" max="6916" width="3.7109375" style="733" customWidth="1"/>
    <col min="6917" max="6917" width="18.140625" style="733" customWidth="1"/>
    <col min="6918" max="6919" width="9.140625" style="733"/>
    <col min="6920" max="6920" width="8.42578125" style="733" customWidth="1"/>
    <col min="6921" max="6922" width="9.140625" style="733"/>
    <col min="6923" max="6923" width="7.7109375" style="733" customWidth="1"/>
    <col min="6924" max="6925" width="9.140625" style="733"/>
    <col min="6926" max="6926" width="8.7109375" style="733" customWidth="1"/>
    <col min="6927" max="6927" width="7.7109375" style="733" customWidth="1"/>
    <col min="6928" max="6928" width="8.5703125" style="733" customWidth="1"/>
    <col min="6929" max="6929" width="9" style="733" customWidth="1"/>
    <col min="6930" max="7169" width="9.140625" style="733"/>
    <col min="7170" max="7170" width="3.7109375" style="733" customWidth="1"/>
    <col min="7171" max="7171" width="14.42578125" style="733" customWidth="1"/>
    <col min="7172" max="7172" width="3.7109375" style="733" customWidth="1"/>
    <col min="7173" max="7173" width="18.140625" style="733" customWidth="1"/>
    <col min="7174" max="7175" width="9.140625" style="733"/>
    <col min="7176" max="7176" width="8.42578125" style="733" customWidth="1"/>
    <col min="7177" max="7178" width="9.140625" style="733"/>
    <col min="7179" max="7179" width="7.7109375" style="733" customWidth="1"/>
    <col min="7180" max="7181" width="9.140625" style="733"/>
    <col min="7182" max="7182" width="8.7109375" style="733" customWidth="1"/>
    <col min="7183" max="7183" width="7.7109375" style="733" customWidth="1"/>
    <col min="7184" max="7184" width="8.5703125" style="733" customWidth="1"/>
    <col min="7185" max="7185" width="9" style="733" customWidth="1"/>
    <col min="7186" max="7425" width="9.140625" style="733"/>
    <col min="7426" max="7426" width="3.7109375" style="733" customWidth="1"/>
    <col min="7427" max="7427" width="14.42578125" style="733" customWidth="1"/>
    <col min="7428" max="7428" width="3.7109375" style="733" customWidth="1"/>
    <col min="7429" max="7429" width="18.140625" style="733" customWidth="1"/>
    <col min="7430" max="7431" width="9.140625" style="733"/>
    <col min="7432" max="7432" width="8.42578125" style="733" customWidth="1"/>
    <col min="7433" max="7434" width="9.140625" style="733"/>
    <col min="7435" max="7435" width="7.7109375" style="733" customWidth="1"/>
    <col min="7436" max="7437" width="9.140625" style="733"/>
    <col min="7438" max="7438" width="8.7109375" style="733" customWidth="1"/>
    <col min="7439" max="7439" width="7.7109375" style="733" customWidth="1"/>
    <col min="7440" max="7440" width="8.5703125" style="733" customWidth="1"/>
    <col min="7441" max="7441" width="9" style="733" customWidth="1"/>
    <col min="7442" max="7681" width="9.140625" style="733"/>
    <col min="7682" max="7682" width="3.7109375" style="733" customWidth="1"/>
    <col min="7683" max="7683" width="14.42578125" style="733" customWidth="1"/>
    <col min="7684" max="7684" width="3.7109375" style="733" customWidth="1"/>
    <col min="7685" max="7685" width="18.140625" style="733" customWidth="1"/>
    <col min="7686" max="7687" width="9.140625" style="733"/>
    <col min="7688" max="7688" width="8.42578125" style="733" customWidth="1"/>
    <col min="7689" max="7690" width="9.140625" style="733"/>
    <col min="7691" max="7691" width="7.7109375" style="733" customWidth="1"/>
    <col min="7692" max="7693" width="9.140625" style="733"/>
    <col min="7694" max="7694" width="8.7109375" style="733" customWidth="1"/>
    <col min="7695" max="7695" width="7.7109375" style="733" customWidth="1"/>
    <col min="7696" max="7696" width="8.5703125" style="733" customWidth="1"/>
    <col min="7697" max="7697" width="9" style="733" customWidth="1"/>
    <col min="7698" max="7937" width="9.140625" style="733"/>
    <col min="7938" max="7938" width="3.7109375" style="733" customWidth="1"/>
    <col min="7939" max="7939" width="14.42578125" style="733" customWidth="1"/>
    <col min="7940" max="7940" width="3.7109375" style="733" customWidth="1"/>
    <col min="7941" max="7941" width="18.140625" style="733" customWidth="1"/>
    <col min="7942" max="7943" width="9.140625" style="733"/>
    <col min="7944" max="7944" width="8.42578125" style="733" customWidth="1"/>
    <col min="7945" max="7946" width="9.140625" style="733"/>
    <col min="7947" max="7947" width="7.7109375" style="733" customWidth="1"/>
    <col min="7948" max="7949" width="9.140625" style="733"/>
    <col min="7950" max="7950" width="8.7109375" style="733" customWidth="1"/>
    <col min="7951" max="7951" width="7.7109375" style="733" customWidth="1"/>
    <col min="7952" max="7952" width="8.5703125" style="733" customWidth="1"/>
    <col min="7953" max="7953" width="9" style="733" customWidth="1"/>
    <col min="7954" max="8193" width="9.140625" style="733"/>
    <col min="8194" max="8194" width="3.7109375" style="733" customWidth="1"/>
    <col min="8195" max="8195" width="14.42578125" style="733" customWidth="1"/>
    <col min="8196" max="8196" width="3.7109375" style="733" customWidth="1"/>
    <col min="8197" max="8197" width="18.140625" style="733" customWidth="1"/>
    <col min="8198" max="8199" width="9.140625" style="733"/>
    <col min="8200" max="8200" width="8.42578125" style="733" customWidth="1"/>
    <col min="8201" max="8202" width="9.140625" style="733"/>
    <col min="8203" max="8203" width="7.7109375" style="733" customWidth="1"/>
    <col min="8204" max="8205" width="9.140625" style="733"/>
    <col min="8206" max="8206" width="8.7109375" style="733" customWidth="1"/>
    <col min="8207" max="8207" width="7.7109375" style="733" customWidth="1"/>
    <col min="8208" max="8208" width="8.5703125" style="733" customWidth="1"/>
    <col min="8209" max="8209" width="9" style="733" customWidth="1"/>
    <col min="8210" max="8449" width="9.140625" style="733"/>
    <col min="8450" max="8450" width="3.7109375" style="733" customWidth="1"/>
    <col min="8451" max="8451" width="14.42578125" style="733" customWidth="1"/>
    <col min="8452" max="8452" width="3.7109375" style="733" customWidth="1"/>
    <col min="8453" max="8453" width="18.140625" style="733" customWidth="1"/>
    <col min="8454" max="8455" width="9.140625" style="733"/>
    <col min="8456" max="8456" width="8.42578125" style="733" customWidth="1"/>
    <col min="8457" max="8458" width="9.140625" style="733"/>
    <col min="8459" max="8459" width="7.7109375" style="733" customWidth="1"/>
    <col min="8460" max="8461" width="9.140625" style="733"/>
    <col min="8462" max="8462" width="8.7109375" style="733" customWidth="1"/>
    <col min="8463" max="8463" width="7.7109375" style="733" customWidth="1"/>
    <col min="8464" max="8464" width="8.5703125" style="733" customWidth="1"/>
    <col min="8465" max="8465" width="9" style="733" customWidth="1"/>
    <col min="8466" max="8705" width="9.140625" style="733"/>
    <col min="8706" max="8706" width="3.7109375" style="733" customWidth="1"/>
    <col min="8707" max="8707" width="14.42578125" style="733" customWidth="1"/>
    <col min="8708" max="8708" width="3.7109375" style="733" customWidth="1"/>
    <col min="8709" max="8709" width="18.140625" style="733" customWidth="1"/>
    <col min="8710" max="8711" width="9.140625" style="733"/>
    <col min="8712" max="8712" width="8.42578125" style="733" customWidth="1"/>
    <col min="8713" max="8714" width="9.140625" style="733"/>
    <col min="8715" max="8715" width="7.7109375" style="733" customWidth="1"/>
    <col min="8716" max="8717" width="9.140625" style="733"/>
    <col min="8718" max="8718" width="8.7109375" style="733" customWidth="1"/>
    <col min="8719" max="8719" width="7.7109375" style="733" customWidth="1"/>
    <col min="8720" max="8720" width="8.5703125" style="733" customWidth="1"/>
    <col min="8721" max="8721" width="9" style="733" customWidth="1"/>
    <col min="8722" max="8961" width="9.140625" style="733"/>
    <col min="8962" max="8962" width="3.7109375" style="733" customWidth="1"/>
    <col min="8963" max="8963" width="14.42578125" style="733" customWidth="1"/>
    <col min="8964" max="8964" width="3.7109375" style="733" customWidth="1"/>
    <col min="8965" max="8965" width="18.140625" style="733" customWidth="1"/>
    <col min="8966" max="8967" width="9.140625" style="733"/>
    <col min="8968" max="8968" width="8.42578125" style="733" customWidth="1"/>
    <col min="8969" max="8970" width="9.140625" style="733"/>
    <col min="8971" max="8971" width="7.7109375" style="733" customWidth="1"/>
    <col min="8972" max="8973" width="9.140625" style="733"/>
    <col min="8974" max="8974" width="8.7109375" style="733" customWidth="1"/>
    <col min="8975" max="8975" width="7.7109375" style="733" customWidth="1"/>
    <col min="8976" max="8976" width="8.5703125" style="733" customWidth="1"/>
    <col min="8977" max="8977" width="9" style="733" customWidth="1"/>
    <col min="8978" max="9217" width="9.140625" style="733"/>
    <col min="9218" max="9218" width="3.7109375" style="733" customWidth="1"/>
    <col min="9219" max="9219" width="14.42578125" style="733" customWidth="1"/>
    <col min="9220" max="9220" width="3.7109375" style="733" customWidth="1"/>
    <col min="9221" max="9221" width="18.140625" style="733" customWidth="1"/>
    <col min="9222" max="9223" width="9.140625" style="733"/>
    <col min="9224" max="9224" width="8.42578125" style="733" customWidth="1"/>
    <col min="9225" max="9226" width="9.140625" style="733"/>
    <col min="9227" max="9227" width="7.7109375" style="733" customWidth="1"/>
    <col min="9228" max="9229" width="9.140625" style="733"/>
    <col min="9230" max="9230" width="8.7109375" style="733" customWidth="1"/>
    <col min="9231" max="9231" width="7.7109375" style="733" customWidth="1"/>
    <col min="9232" max="9232" width="8.5703125" style="733" customWidth="1"/>
    <col min="9233" max="9233" width="9" style="733" customWidth="1"/>
    <col min="9234" max="9473" width="9.140625" style="733"/>
    <col min="9474" max="9474" width="3.7109375" style="733" customWidth="1"/>
    <col min="9475" max="9475" width="14.42578125" style="733" customWidth="1"/>
    <col min="9476" max="9476" width="3.7109375" style="733" customWidth="1"/>
    <col min="9477" max="9477" width="18.140625" style="733" customWidth="1"/>
    <col min="9478" max="9479" width="9.140625" style="733"/>
    <col min="9480" max="9480" width="8.42578125" style="733" customWidth="1"/>
    <col min="9481" max="9482" width="9.140625" style="733"/>
    <col min="9483" max="9483" width="7.7109375" style="733" customWidth="1"/>
    <col min="9484" max="9485" width="9.140625" style="733"/>
    <col min="9486" max="9486" width="8.7109375" style="733" customWidth="1"/>
    <col min="9487" max="9487" width="7.7109375" style="733" customWidth="1"/>
    <col min="9488" max="9488" width="8.5703125" style="733" customWidth="1"/>
    <col min="9489" max="9489" width="9" style="733" customWidth="1"/>
    <col min="9490" max="9729" width="9.140625" style="733"/>
    <col min="9730" max="9730" width="3.7109375" style="733" customWidth="1"/>
    <col min="9731" max="9731" width="14.42578125" style="733" customWidth="1"/>
    <col min="9732" max="9732" width="3.7109375" style="733" customWidth="1"/>
    <col min="9733" max="9733" width="18.140625" style="733" customWidth="1"/>
    <col min="9734" max="9735" width="9.140625" style="733"/>
    <col min="9736" max="9736" width="8.42578125" style="733" customWidth="1"/>
    <col min="9737" max="9738" width="9.140625" style="733"/>
    <col min="9739" max="9739" width="7.7109375" style="733" customWidth="1"/>
    <col min="9740" max="9741" width="9.140625" style="733"/>
    <col min="9742" max="9742" width="8.7109375" style="733" customWidth="1"/>
    <col min="9743" max="9743" width="7.7109375" style="733" customWidth="1"/>
    <col min="9744" max="9744" width="8.5703125" style="733" customWidth="1"/>
    <col min="9745" max="9745" width="9" style="733" customWidth="1"/>
    <col min="9746" max="9985" width="9.140625" style="733"/>
    <col min="9986" max="9986" width="3.7109375" style="733" customWidth="1"/>
    <col min="9987" max="9987" width="14.42578125" style="733" customWidth="1"/>
    <col min="9988" max="9988" width="3.7109375" style="733" customWidth="1"/>
    <col min="9989" max="9989" width="18.140625" style="733" customWidth="1"/>
    <col min="9990" max="9991" width="9.140625" style="733"/>
    <col min="9992" max="9992" width="8.42578125" style="733" customWidth="1"/>
    <col min="9993" max="9994" width="9.140625" style="733"/>
    <col min="9995" max="9995" width="7.7109375" style="733" customWidth="1"/>
    <col min="9996" max="9997" width="9.140625" style="733"/>
    <col min="9998" max="9998" width="8.7109375" style="733" customWidth="1"/>
    <col min="9999" max="9999" width="7.7109375" style="733" customWidth="1"/>
    <col min="10000" max="10000" width="8.5703125" style="733" customWidth="1"/>
    <col min="10001" max="10001" width="9" style="733" customWidth="1"/>
    <col min="10002" max="10241" width="9.140625" style="733"/>
    <col min="10242" max="10242" width="3.7109375" style="733" customWidth="1"/>
    <col min="10243" max="10243" width="14.42578125" style="733" customWidth="1"/>
    <col min="10244" max="10244" width="3.7109375" style="733" customWidth="1"/>
    <col min="10245" max="10245" width="18.140625" style="733" customWidth="1"/>
    <col min="10246" max="10247" width="9.140625" style="733"/>
    <col min="10248" max="10248" width="8.42578125" style="733" customWidth="1"/>
    <col min="10249" max="10250" width="9.140625" style="733"/>
    <col min="10251" max="10251" width="7.7109375" style="733" customWidth="1"/>
    <col min="10252" max="10253" width="9.140625" style="733"/>
    <col min="10254" max="10254" width="8.7109375" style="733" customWidth="1"/>
    <col min="10255" max="10255" width="7.7109375" style="733" customWidth="1"/>
    <col min="10256" max="10256" width="8.5703125" style="733" customWidth="1"/>
    <col min="10257" max="10257" width="9" style="733" customWidth="1"/>
    <col min="10258" max="10497" width="9.140625" style="733"/>
    <col min="10498" max="10498" width="3.7109375" style="733" customWidth="1"/>
    <col min="10499" max="10499" width="14.42578125" style="733" customWidth="1"/>
    <col min="10500" max="10500" width="3.7109375" style="733" customWidth="1"/>
    <col min="10501" max="10501" width="18.140625" style="733" customWidth="1"/>
    <col min="10502" max="10503" width="9.140625" style="733"/>
    <col min="10504" max="10504" width="8.42578125" style="733" customWidth="1"/>
    <col min="10505" max="10506" width="9.140625" style="733"/>
    <col min="10507" max="10507" width="7.7109375" style="733" customWidth="1"/>
    <col min="10508" max="10509" width="9.140625" style="733"/>
    <col min="10510" max="10510" width="8.7109375" style="733" customWidth="1"/>
    <col min="10511" max="10511" width="7.7109375" style="733" customWidth="1"/>
    <col min="10512" max="10512" width="8.5703125" style="733" customWidth="1"/>
    <col min="10513" max="10513" width="9" style="733" customWidth="1"/>
    <col min="10514" max="10753" width="9.140625" style="733"/>
    <col min="10754" max="10754" width="3.7109375" style="733" customWidth="1"/>
    <col min="10755" max="10755" width="14.42578125" style="733" customWidth="1"/>
    <col min="10756" max="10756" width="3.7109375" style="733" customWidth="1"/>
    <col min="10757" max="10757" width="18.140625" style="733" customWidth="1"/>
    <col min="10758" max="10759" width="9.140625" style="733"/>
    <col min="10760" max="10760" width="8.42578125" style="733" customWidth="1"/>
    <col min="10761" max="10762" width="9.140625" style="733"/>
    <col min="10763" max="10763" width="7.7109375" style="733" customWidth="1"/>
    <col min="10764" max="10765" width="9.140625" style="733"/>
    <col min="10766" max="10766" width="8.7109375" style="733" customWidth="1"/>
    <col min="10767" max="10767" width="7.7109375" style="733" customWidth="1"/>
    <col min="10768" max="10768" width="8.5703125" style="733" customWidth="1"/>
    <col min="10769" max="10769" width="9" style="733" customWidth="1"/>
    <col min="10770" max="11009" width="9.140625" style="733"/>
    <col min="11010" max="11010" width="3.7109375" style="733" customWidth="1"/>
    <col min="11011" max="11011" width="14.42578125" style="733" customWidth="1"/>
    <col min="11012" max="11012" width="3.7109375" style="733" customWidth="1"/>
    <col min="11013" max="11013" width="18.140625" style="733" customWidth="1"/>
    <col min="11014" max="11015" width="9.140625" style="733"/>
    <col min="11016" max="11016" width="8.42578125" style="733" customWidth="1"/>
    <col min="11017" max="11018" width="9.140625" style="733"/>
    <col min="11019" max="11019" width="7.7109375" style="733" customWidth="1"/>
    <col min="11020" max="11021" width="9.140625" style="733"/>
    <col min="11022" max="11022" width="8.7109375" style="733" customWidth="1"/>
    <col min="11023" max="11023" width="7.7109375" style="733" customWidth="1"/>
    <col min="11024" max="11024" width="8.5703125" style="733" customWidth="1"/>
    <col min="11025" max="11025" width="9" style="733" customWidth="1"/>
    <col min="11026" max="11265" width="9.140625" style="733"/>
    <col min="11266" max="11266" width="3.7109375" style="733" customWidth="1"/>
    <col min="11267" max="11267" width="14.42578125" style="733" customWidth="1"/>
    <col min="11268" max="11268" width="3.7109375" style="733" customWidth="1"/>
    <col min="11269" max="11269" width="18.140625" style="733" customWidth="1"/>
    <col min="11270" max="11271" width="9.140625" style="733"/>
    <col min="11272" max="11272" width="8.42578125" style="733" customWidth="1"/>
    <col min="11273" max="11274" width="9.140625" style="733"/>
    <col min="11275" max="11275" width="7.7109375" style="733" customWidth="1"/>
    <col min="11276" max="11277" width="9.140625" style="733"/>
    <col min="11278" max="11278" width="8.7109375" style="733" customWidth="1"/>
    <col min="11279" max="11279" width="7.7109375" style="733" customWidth="1"/>
    <col min="11280" max="11280" width="8.5703125" style="733" customWidth="1"/>
    <col min="11281" max="11281" width="9" style="733" customWidth="1"/>
    <col min="11282" max="11521" width="9.140625" style="733"/>
    <col min="11522" max="11522" width="3.7109375" style="733" customWidth="1"/>
    <col min="11523" max="11523" width="14.42578125" style="733" customWidth="1"/>
    <col min="11524" max="11524" width="3.7109375" style="733" customWidth="1"/>
    <col min="11525" max="11525" width="18.140625" style="733" customWidth="1"/>
    <col min="11526" max="11527" width="9.140625" style="733"/>
    <col min="11528" max="11528" width="8.42578125" style="733" customWidth="1"/>
    <col min="11529" max="11530" width="9.140625" style="733"/>
    <col min="11531" max="11531" width="7.7109375" style="733" customWidth="1"/>
    <col min="11532" max="11533" width="9.140625" style="733"/>
    <col min="11534" max="11534" width="8.7109375" style="733" customWidth="1"/>
    <col min="11535" max="11535" width="7.7109375" style="733" customWidth="1"/>
    <col min="11536" max="11536" width="8.5703125" style="733" customWidth="1"/>
    <col min="11537" max="11537" width="9" style="733" customWidth="1"/>
    <col min="11538" max="11777" width="9.140625" style="733"/>
    <col min="11778" max="11778" width="3.7109375" style="733" customWidth="1"/>
    <col min="11779" max="11779" width="14.42578125" style="733" customWidth="1"/>
    <col min="11780" max="11780" width="3.7109375" style="733" customWidth="1"/>
    <col min="11781" max="11781" width="18.140625" style="733" customWidth="1"/>
    <col min="11782" max="11783" width="9.140625" style="733"/>
    <col min="11784" max="11784" width="8.42578125" style="733" customWidth="1"/>
    <col min="11785" max="11786" width="9.140625" style="733"/>
    <col min="11787" max="11787" width="7.7109375" style="733" customWidth="1"/>
    <col min="11788" max="11789" width="9.140625" style="733"/>
    <col min="11790" max="11790" width="8.7109375" style="733" customWidth="1"/>
    <col min="11791" max="11791" width="7.7109375" style="733" customWidth="1"/>
    <col min="11792" max="11792" width="8.5703125" style="733" customWidth="1"/>
    <col min="11793" max="11793" width="9" style="733" customWidth="1"/>
    <col min="11794" max="12033" width="9.140625" style="733"/>
    <col min="12034" max="12034" width="3.7109375" style="733" customWidth="1"/>
    <col min="12035" max="12035" width="14.42578125" style="733" customWidth="1"/>
    <col min="12036" max="12036" width="3.7109375" style="733" customWidth="1"/>
    <col min="12037" max="12037" width="18.140625" style="733" customWidth="1"/>
    <col min="12038" max="12039" width="9.140625" style="733"/>
    <col min="12040" max="12040" width="8.42578125" style="733" customWidth="1"/>
    <col min="12041" max="12042" width="9.140625" style="733"/>
    <col min="12043" max="12043" width="7.7109375" style="733" customWidth="1"/>
    <col min="12044" max="12045" width="9.140625" style="733"/>
    <col min="12046" max="12046" width="8.7109375" style="733" customWidth="1"/>
    <col min="12047" max="12047" width="7.7109375" style="733" customWidth="1"/>
    <col min="12048" max="12048" width="8.5703125" style="733" customWidth="1"/>
    <col min="12049" max="12049" width="9" style="733" customWidth="1"/>
    <col min="12050" max="12289" width="9.140625" style="733"/>
    <col min="12290" max="12290" width="3.7109375" style="733" customWidth="1"/>
    <col min="12291" max="12291" width="14.42578125" style="733" customWidth="1"/>
    <col min="12292" max="12292" width="3.7109375" style="733" customWidth="1"/>
    <col min="12293" max="12293" width="18.140625" style="733" customWidth="1"/>
    <col min="12294" max="12295" width="9.140625" style="733"/>
    <col min="12296" max="12296" width="8.42578125" style="733" customWidth="1"/>
    <col min="12297" max="12298" width="9.140625" style="733"/>
    <col min="12299" max="12299" width="7.7109375" style="733" customWidth="1"/>
    <col min="12300" max="12301" width="9.140625" style="733"/>
    <col min="12302" max="12302" width="8.7109375" style="733" customWidth="1"/>
    <col min="12303" max="12303" width="7.7109375" style="733" customWidth="1"/>
    <col min="12304" max="12304" width="8.5703125" style="733" customWidth="1"/>
    <col min="12305" max="12305" width="9" style="733" customWidth="1"/>
    <col min="12306" max="12545" width="9.140625" style="733"/>
    <col min="12546" max="12546" width="3.7109375" style="733" customWidth="1"/>
    <col min="12547" max="12547" width="14.42578125" style="733" customWidth="1"/>
    <col min="12548" max="12548" width="3.7109375" style="733" customWidth="1"/>
    <col min="12549" max="12549" width="18.140625" style="733" customWidth="1"/>
    <col min="12550" max="12551" width="9.140625" style="733"/>
    <col min="12552" max="12552" width="8.42578125" style="733" customWidth="1"/>
    <col min="12553" max="12554" width="9.140625" style="733"/>
    <col min="12555" max="12555" width="7.7109375" style="733" customWidth="1"/>
    <col min="12556" max="12557" width="9.140625" style="733"/>
    <col min="12558" max="12558" width="8.7109375" style="733" customWidth="1"/>
    <col min="12559" max="12559" width="7.7109375" style="733" customWidth="1"/>
    <col min="12560" max="12560" width="8.5703125" style="733" customWidth="1"/>
    <col min="12561" max="12561" width="9" style="733" customWidth="1"/>
    <col min="12562" max="12801" width="9.140625" style="733"/>
    <col min="12802" max="12802" width="3.7109375" style="733" customWidth="1"/>
    <col min="12803" max="12803" width="14.42578125" style="733" customWidth="1"/>
    <col min="12804" max="12804" width="3.7109375" style="733" customWidth="1"/>
    <col min="12805" max="12805" width="18.140625" style="733" customWidth="1"/>
    <col min="12806" max="12807" width="9.140625" style="733"/>
    <col min="12808" max="12808" width="8.42578125" style="733" customWidth="1"/>
    <col min="12809" max="12810" width="9.140625" style="733"/>
    <col min="12811" max="12811" width="7.7109375" style="733" customWidth="1"/>
    <col min="12812" max="12813" width="9.140625" style="733"/>
    <col min="12814" max="12814" width="8.7109375" style="733" customWidth="1"/>
    <col min="12815" max="12815" width="7.7109375" style="733" customWidth="1"/>
    <col min="12816" max="12816" width="8.5703125" style="733" customWidth="1"/>
    <col min="12817" max="12817" width="9" style="733" customWidth="1"/>
    <col min="12818" max="13057" width="9.140625" style="733"/>
    <col min="13058" max="13058" width="3.7109375" style="733" customWidth="1"/>
    <col min="13059" max="13059" width="14.42578125" style="733" customWidth="1"/>
    <col min="13060" max="13060" width="3.7109375" style="733" customWidth="1"/>
    <col min="13061" max="13061" width="18.140625" style="733" customWidth="1"/>
    <col min="13062" max="13063" width="9.140625" style="733"/>
    <col min="13064" max="13064" width="8.42578125" style="733" customWidth="1"/>
    <col min="13065" max="13066" width="9.140625" style="733"/>
    <col min="13067" max="13067" width="7.7109375" style="733" customWidth="1"/>
    <col min="13068" max="13069" width="9.140625" style="733"/>
    <col min="13070" max="13070" width="8.7109375" style="733" customWidth="1"/>
    <col min="13071" max="13071" width="7.7109375" style="733" customWidth="1"/>
    <col min="13072" max="13072" width="8.5703125" style="733" customWidth="1"/>
    <col min="13073" max="13073" width="9" style="733" customWidth="1"/>
    <col min="13074" max="13313" width="9.140625" style="733"/>
    <col min="13314" max="13314" width="3.7109375" style="733" customWidth="1"/>
    <col min="13315" max="13315" width="14.42578125" style="733" customWidth="1"/>
    <col min="13316" max="13316" width="3.7109375" style="733" customWidth="1"/>
    <col min="13317" max="13317" width="18.140625" style="733" customWidth="1"/>
    <col min="13318" max="13319" width="9.140625" style="733"/>
    <col min="13320" max="13320" width="8.42578125" style="733" customWidth="1"/>
    <col min="13321" max="13322" width="9.140625" style="733"/>
    <col min="13323" max="13323" width="7.7109375" style="733" customWidth="1"/>
    <col min="13324" max="13325" width="9.140625" style="733"/>
    <col min="13326" max="13326" width="8.7109375" style="733" customWidth="1"/>
    <col min="13327" max="13327" width="7.7109375" style="733" customWidth="1"/>
    <col min="13328" max="13328" width="8.5703125" style="733" customWidth="1"/>
    <col min="13329" max="13329" width="9" style="733" customWidth="1"/>
    <col min="13330" max="13569" width="9.140625" style="733"/>
    <col min="13570" max="13570" width="3.7109375" style="733" customWidth="1"/>
    <col min="13571" max="13571" width="14.42578125" style="733" customWidth="1"/>
    <col min="13572" max="13572" width="3.7109375" style="733" customWidth="1"/>
    <col min="13573" max="13573" width="18.140625" style="733" customWidth="1"/>
    <col min="13574" max="13575" width="9.140625" style="733"/>
    <col min="13576" max="13576" width="8.42578125" style="733" customWidth="1"/>
    <col min="13577" max="13578" width="9.140625" style="733"/>
    <col min="13579" max="13579" width="7.7109375" style="733" customWidth="1"/>
    <col min="13580" max="13581" width="9.140625" style="733"/>
    <col min="13582" max="13582" width="8.7109375" style="733" customWidth="1"/>
    <col min="13583" max="13583" width="7.7109375" style="733" customWidth="1"/>
    <col min="13584" max="13584" width="8.5703125" style="733" customWidth="1"/>
    <col min="13585" max="13585" width="9" style="733" customWidth="1"/>
    <col min="13586" max="13825" width="9.140625" style="733"/>
    <col min="13826" max="13826" width="3.7109375" style="733" customWidth="1"/>
    <col min="13827" max="13827" width="14.42578125" style="733" customWidth="1"/>
    <col min="13828" max="13828" width="3.7109375" style="733" customWidth="1"/>
    <col min="13829" max="13829" width="18.140625" style="733" customWidth="1"/>
    <col min="13830" max="13831" width="9.140625" style="733"/>
    <col min="13832" max="13832" width="8.42578125" style="733" customWidth="1"/>
    <col min="13833" max="13834" width="9.140625" style="733"/>
    <col min="13835" max="13835" width="7.7109375" style="733" customWidth="1"/>
    <col min="13836" max="13837" width="9.140625" style="733"/>
    <col min="13838" max="13838" width="8.7109375" style="733" customWidth="1"/>
    <col min="13839" max="13839" width="7.7109375" style="733" customWidth="1"/>
    <col min="13840" max="13840" width="8.5703125" style="733" customWidth="1"/>
    <col min="13841" max="13841" width="9" style="733" customWidth="1"/>
    <col min="13842" max="14081" width="9.140625" style="733"/>
    <col min="14082" max="14082" width="3.7109375" style="733" customWidth="1"/>
    <col min="14083" max="14083" width="14.42578125" style="733" customWidth="1"/>
    <col min="14084" max="14084" width="3.7109375" style="733" customWidth="1"/>
    <col min="14085" max="14085" width="18.140625" style="733" customWidth="1"/>
    <col min="14086" max="14087" width="9.140625" style="733"/>
    <col min="14088" max="14088" width="8.42578125" style="733" customWidth="1"/>
    <col min="14089" max="14090" width="9.140625" style="733"/>
    <col min="14091" max="14091" width="7.7109375" style="733" customWidth="1"/>
    <col min="14092" max="14093" width="9.140625" style="733"/>
    <col min="14094" max="14094" width="8.7109375" style="733" customWidth="1"/>
    <col min="14095" max="14095" width="7.7109375" style="733" customWidth="1"/>
    <col min="14096" max="14096" width="8.5703125" style="733" customWidth="1"/>
    <col min="14097" max="14097" width="9" style="733" customWidth="1"/>
    <col min="14098" max="14337" width="9.140625" style="733"/>
    <col min="14338" max="14338" width="3.7109375" style="733" customWidth="1"/>
    <col min="14339" max="14339" width="14.42578125" style="733" customWidth="1"/>
    <col min="14340" max="14340" width="3.7109375" style="733" customWidth="1"/>
    <col min="14341" max="14341" width="18.140625" style="733" customWidth="1"/>
    <col min="14342" max="14343" width="9.140625" style="733"/>
    <col min="14344" max="14344" width="8.42578125" style="733" customWidth="1"/>
    <col min="14345" max="14346" width="9.140625" style="733"/>
    <col min="14347" max="14347" width="7.7109375" style="733" customWidth="1"/>
    <col min="14348" max="14349" width="9.140625" style="733"/>
    <col min="14350" max="14350" width="8.7109375" style="733" customWidth="1"/>
    <col min="14351" max="14351" width="7.7109375" style="733" customWidth="1"/>
    <col min="14352" max="14352" width="8.5703125" style="733" customWidth="1"/>
    <col min="14353" max="14353" width="9" style="733" customWidth="1"/>
    <col min="14354" max="14593" width="9.140625" style="733"/>
    <col min="14594" max="14594" width="3.7109375" style="733" customWidth="1"/>
    <col min="14595" max="14595" width="14.42578125" style="733" customWidth="1"/>
    <col min="14596" max="14596" width="3.7109375" style="733" customWidth="1"/>
    <col min="14597" max="14597" width="18.140625" style="733" customWidth="1"/>
    <col min="14598" max="14599" width="9.140625" style="733"/>
    <col min="14600" max="14600" width="8.42578125" style="733" customWidth="1"/>
    <col min="14601" max="14602" width="9.140625" style="733"/>
    <col min="14603" max="14603" width="7.7109375" style="733" customWidth="1"/>
    <col min="14604" max="14605" width="9.140625" style="733"/>
    <col min="14606" max="14606" width="8.7109375" style="733" customWidth="1"/>
    <col min="14607" max="14607" width="7.7109375" style="733" customWidth="1"/>
    <col min="14608" max="14608" width="8.5703125" style="733" customWidth="1"/>
    <col min="14609" max="14609" width="9" style="733" customWidth="1"/>
    <col min="14610" max="14849" width="9.140625" style="733"/>
    <col min="14850" max="14850" width="3.7109375" style="733" customWidth="1"/>
    <col min="14851" max="14851" width="14.42578125" style="733" customWidth="1"/>
    <col min="14852" max="14852" width="3.7109375" style="733" customWidth="1"/>
    <col min="14853" max="14853" width="18.140625" style="733" customWidth="1"/>
    <col min="14854" max="14855" width="9.140625" style="733"/>
    <col min="14856" max="14856" width="8.42578125" style="733" customWidth="1"/>
    <col min="14857" max="14858" width="9.140625" style="733"/>
    <col min="14859" max="14859" width="7.7109375" style="733" customWidth="1"/>
    <col min="14860" max="14861" width="9.140625" style="733"/>
    <col min="14862" max="14862" width="8.7109375" style="733" customWidth="1"/>
    <col min="14863" max="14863" width="7.7109375" style="733" customWidth="1"/>
    <col min="14864" max="14864" width="8.5703125" style="733" customWidth="1"/>
    <col min="14865" max="14865" width="9" style="733" customWidth="1"/>
    <col min="14866" max="15105" width="9.140625" style="733"/>
    <col min="15106" max="15106" width="3.7109375" style="733" customWidth="1"/>
    <col min="15107" max="15107" width="14.42578125" style="733" customWidth="1"/>
    <col min="15108" max="15108" width="3.7109375" style="733" customWidth="1"/>
    <col min="15109" max="15109" width="18.140625" style="733" customWidth="1"/>
    <col min="15110" max="15111" width="9.140625" style="733"/>
    <col min="15112" max="15112" width="8.42578125" style="733" customWidth="1"/>
    <col min="15113" max="15114" width="9.140625" style="733"/>
    <col min="15115" max="15115" width="7.7109375" style="733" customWidth="1"/>
    <col min="15116" max="15117" width="9.140625" style="733"/>
    <col min="15118" max="15118" width="8.7109375" style="733" customWidth="1"/>
    <col min="15119" max="15119" width="7.7109375" style="733" customWidth="1"/>
    <col min="15120" max="15120" width="8.5703125" style="733" customWidth="1"/>
    <col min="15121" max="15121" width="9" style="733" customWidth="1"/>
    <col min="15122" max="15361" width="9.140625" style="733"/>
    <col min="15362" max="15362" width="3.7109375" style="733" customWidth="1"/>
    <col min="15363" max="15363" width="14.42578125" style="733" customWidth="1"/>
    <col min="15364" max="15364" width="3.7109375" style="733" customWidth="1"/>
    <col min="15365" max="15365" width="18.140625" style="733" customWidth="1"/>
    <col min="15366" max="15367" width="9.140625" style="733"/>
    <col min="15368" max="15368" width="8.42578125" style="733" customWidth="1"/>
    <col min="15369" max="15370" width="9.140625" style="733"/>
    <col min="15371" max="15371" width="7.7109375" style="733" customWidth="1"/>
    <col min="15372" max="15373" width="9.140625" style="733"/>
    <col min="15374" max="15374" width="8.7109375" style="733" customWidth="1"/>
    <col min="15375" max="15375" width="7.7109375" style="733" customWidth="1"/>
    <col min="15376" max="15376" width="8.5703125" style="733" customWidth="1"/>
    <col min="15377" max="15377" width="9" style="733" customWidth="1"/>
    <col min="15378" max="15617" width="9.140625" style="733"/>
    <col min="15618" max="15618" width="3.7109375" style="733" customWidth="1"/>
    <col min="15619" max="15619" width="14.42578125" style="733" customWidth="1"/>
    <col min="15620" max="15620" width="3.7109375" style="733" customWidth="1"/>
    <col min="15621" max="15621" width="18.140625" style="733" customWidth="1"/>
    <col min="15622" max="15623" width="9.140625" style="733"/>
    <col min="15624" max="15624" width="8.42578125" style="733" customWidth="1"/>
    <col min="15625" max="15626" width="9.140625" style="733"/>
    <col min="15627" max="15627" width="7.7109375" style="733" customWidth="1"/>
    <col min="15628" max="15629" width="9.140625" style="733"/>
    <col min="15630" max="15630" width="8.7109375" style="733" customWidth="1"/>
    <col min="15631" max="15631" width="7.7109375" style="733" customWidth="1"/>
    <col min="15632" max="15632" width="8.5703125" style="733" customWidth="1"/>
    <col min="15633" max="15633" width="9" style="733" customWidth="1"/>
    <col min="15634" max="15873" width="9.140625" style="733"/>
    <col min="15874" max="15874" width="3.7109375" style="733" customWidth="1"/>
    <col min="15875" max="15875" width="14.42578125" style="733" customWidth="1"/>
    <col min="15876" max="15876" width="3.7109375" style="733" customWidth="1"/>
    <col min="15877" max="15877" width="18.140625" style="733" customWidth="1"/>
    <col min="15878" max="15879" width="9.140625" style="733"/>
    <col min="15880" max="15880" width="8.42578125" style="733" customWidth="1"/>
    <col min="15881" max="15882" width="9.140625" style="733"/>
    <col min="15883" max="15883" width="7.7109375" style="733" customWidth="1"/>
    <col min="15884" max="15885" width="9.140625" style="733"/>
    <col min="15886" max="15886" width="8.7109375" style="733" customWidth="1"/>
    <col min="15887" max="15887" width="7.7109375" style="733" customWidth="1"/>
    <col min="15888" max="15888" width="8.5703125" style="733" customWidth="1"/>
    <col min="15889" max="15889" width="9" style="733" customWidth="1"/>
    <col min="15890" max="16129" width="9.140625" style="733"/>
    <col min="16130" max="16130" width="3.7109375" style="733" customWidth="1"/>
    <col min="16131" max="16131" width="14.42578125" style="733" customWidth="1"/>
    <col min="16132" max="16132" width="3.7109375" style="733" customWidth="1"/>
    <col min="16133" max="16133" width="18.140625" style="733" customWidth="1"/>
    <col min="16134" max="16135" width="9.140625" style="733"/>
    <col min="16136" max="16136" width="8.42578125" style="733" customWidth="1"/>
    <col min="16137" max="16138" width="9.140625" style="733"/>
    <col min="16139" max="16139" width="7.7109375" style="733" customWidth="1"/>
    <col min="16140" max="16141" width="9.140625" style="733"/>
    <col min="16142" max="16142" width="8.7109375" style="733" customWidth="1"/>
    <col min="16143" max="16143" width="7.7109375" style="733" customWidth="1"/>
    <col min="16144" max="16144" width="8.5703125" style="733" customWidth="1"/>
    <col min="16145" max="16145" width="9" style="733" customWidth="1"/>
    <col min="16146" max="16384" width="9.140625" style="733"/>
  </cols>
  <sheetData>
    <row r="1" spans="1:22" s="943" customFormat="1" ht="15" x14ac:dyDescent="0.2">
      <c r="A1" s="2035"/>
      <c r="B1" s="2036"/>
      <c r="C1" s="2036"/>
    </row>
    <row r="2" spans="1:22" s="943" customFormat="1" ht="14.25" customHeight="1" x14ac:dyDescent="0.2">
      <c r="A2" s="1">
        <v>1</v>
      </c>
      <c r="B2" s="1" t="s">
        <v>0</v>
      </c>
      <c r="C2" s="1">
        <v>51</v>
      </c>
      <c r="D2" s="4322" t="s">
        <v>1283</v>
      </c>
      <c r="E2" s="4323"/>
      <c r="F2" s="4323"/>
      <c r="G2" s="4323"/>
      <c r="H2" s="4323"/>
      <c r="I2" s="4323"/>
      <c r="J2" s="4323"/>
      <c r="K2" s="4323"/>
      <c r="L2" s="4323"/>
      <c r="M2" s="4323"/>
      <c r="N2" s="4323"/>
      <c r="O2" s="4323"/>
      <c r="P2" s="4323"/>
      <c r="Q2" s="4323"/>
      <c r="R2" s="4323"/>
      <c r="S2" s="4323"/>
      <c r="T2" s="4324"/>
      <c r="U2" s="3023"/>
      <c r="V2" s="3023"/>
    </row>
    <row r="3" spans="1:22" s="943" customFormat="1" ht="14.25" customHeight="1" x14ac:dyDescent="0.2">
      <c r="A3" s="1">
        <v>2</v>
      </c>
      <c r="B3" s="1" t="s">
        <v>2</v>
      </c>
      <c r="C3" s="1"/>
      <c r="D3" s="4140" t="s">
        <v>1284</v>
      </c>
      <c r="E3" s="4141"/>
      <c r="F3" s="4141"/>
      <c r="G3" s="4141"/>
      <c r="H3" s="4141"/>
      <c r="I3" s="4141"/>
      <c r="J3" s="4141"/>
      <c r="K3" s="4141"/>
      <c r="L3" s="4141"/>
      <c r="M3" s="4141"/>
      <c r="N3" s="4141"/>
      <c r="O3" s="4141"/>
      <c r="P3" s="4141"/>
      <c r="Q3" s="4141"/>
      <c r="R3" s="4141"/>
      <c r="S3" s="4141"/>
      <c r="T3" s="4142"/>
    </row>
    <row r="4" spans="1:22" s="943" customFormat="1" ht="14.25" customHeight="1" x14ac:dyDescent="0.2">
      <c r="A4" s="1">
        <v>3</v>
      </c>
      <c r="B4" s="1" t="s">
        <v>4</v>
      </c>
      <c r="C4" s="1"/>
      <c r="D4" s="4140" t="s">
        <v>1285</v>
      </c>
      <c r="E4" s="4141"/>
      <c r="F4" s="4141"/>
      <c r="G4" s="4141"/>
      <c r="H4" s="4141"/>
      <c r="I4" s="4141"/>
      <c r="J4" s="4141"/>
      <c r="K4" s="4141"/>
      <c r="L4" s="4141"/>
      <c r="M4" s="4141"/>
      <c r="N4" s="4141"/>
      <c r="O4" s="4141"/>
      <c r="P4" s="4141"/>
      <c r="Q4" s="4141"/>
      <c r="R4" s="4141"/>
      <c r="S4" s="4141"/>
      <c r="T4" s="4142"/>
    </row>
    <row r="5" spans="1:22" ht="12.75" x14ac:dyDescent="0.2">
      <c r="C5" s="12"/>
    </row>
    <row r="6" spans="1:22" s="11" customFormat="1" ht="12.75" customHeight="1" x14ac:dyDescent="0.2">
      <c r="A6" s="1">
        <v>4</v>
      </c>
      <c r="B6" s="12" t="s">
        <v>5</v>
      </c>
      <c r="C6" s="6"/>
      <c r="D6" s="1381" t="s">
        <v>112</v>
      </c>
      <c r="E6" s="1381" t="s">
        <v>1286</v>
      </c>
      <c r="F6" s="1381"/>
      <c r="G6" s="1381"/>
      <c r="H6" s="1381"/>
      <c r="I6" s="1381"/>
      <c r="J6" s="1381"/>
      <c r="K6" s="1381"/>
      <c r="L6" s="1381"/>
      <c r="M6" s="1381"/>
      <c r="N6" s="18"/>
      <c r="O6" s="18"/>
      <c r="P6" s="18"/>
      <c r="Q6" s="18"/>
      <c r="U6" s="17"/>
    </row>
    <row r="7" spans="1:22" s="11" customFormat="1" ht="12.75" customHeight="1" x14ac:dyDescent="0.2">
      <c r="A7" s="5"/>
      <c r="B7" s="6"/>
      <c r="C7" s="6"/>
      <c r="D7" s="3026"/>
      <c r="E7" s="4325" t="s">
        <v>28</v>
      </c>
      <c r="F7" s="4325"/>
      <c r="G7" s="4325"/>
      <c r="H7" s="4326"/>
      <c r="I7" s="4327" t="s">
        <v>76</v>
      </c>
      <c r="J7" s="4325"/>
      <c r="K7" s="4325"/>
      <c r="L7" s="4326"/>
      <c r="M7" s="4327" t="s">
        <v>1287</v>
      </c>
      <c r="N7" s="4325"/>
      <c r="O7" s="4325"/>
      <c r="P7" s="4326"/>
      <c r="Q7" s="4327" t="s">
        <v>86</v>
      </c>
      <c r="R7" s="4325"/>
      <c r="S7" s="4325"/>
      <c r="T7" s="4326"/>
      <c r="U7" s="17"/>
    </row>
    <row r="8" spans="1:22" s="11" customFormat="1" ht="12.75" customHeight="1" x14ac:dyDescent="0.2">
      <c r="A8" s="5"/>
      <c r="B8" s="6"/>
      <c r="C8" s="6"/>
      <c r="D8" s="1405"/>
      <c r="E8" s="1743" t="s">
        <v>1288</v>
      </c>
      <c r="F8" s="1743" t="s">
        <v>1289</v>
      </c>
      <c r="G8" s="1743" t="s">
        <v>1290</v>
      </c>
      <c r="H8" s="2052" t="s">
        <v>257</v>
      </c>
      <c r="I8" s="1743" t="s">
        <v>1288</v>
      </c>
      <c r="J8" s="1743" t="s">
        <v>1289</v>
      </c>
      <c r="K8" s="1743" t="s">
        <v>1290</v>
      </c>
      <c r="L8" s="2052" t="s">
        <v>257</v>
      </c>
      <c r="M8" s="1743" t="s">
        <v>1288</v>
      </c>
      <c r="N8" s="1743" t="s">
        <v>1289</v>
      </c>
      <c r="O8" s="1743" t="s">
        <v>1290</v>
      </c>
      <c r="P8" s="2052" t="s">
        <v>257</v>
      </c>
      <c r="Q8" s="1743" t="s">
        <v>1288</v>
      </c>
      <c r="R8" s="1743" t="s">
        <v>1289</v>
      </c>
      <c r="S8" s="1743" t="s">
        <v>1290</v>
      </c>
      <c r="T8" s="2052" t="s">
        <v>257</v>
      </c>
      <c r="U8" s="17"/>
    </row>
    <row r="9" spans="1:22" s="11" customFormat="1" ht="12.75" customHeight="1" x14ac:dyDescent="0.2">
      <c r="A9" s="5"/>
      <c r="B9" s="6"/>
      <c r="C9" s="6"/>
      <c r="D9" s="2085" t="s">
        <v>1291</v>
      </c>
      <c r="E9" s="1970">
        <v>0.57999999999999996</v>
      </c>
      <c r="F9" s="1970">
        <v>0.51</v>
      </c>
      <c r="G9" s="1970">
        <v>0.56000000000000005</v>
      </c>
      <c r="H9" s="3027">
        <v>0.5</v>
      </c>
      <c r="I9" s="1970">
        <v>0.28000000000000003</v>
      </c>
      <c r="J9" s="3028">
        <v>0.23</v>
      </c>
      <c r="K9" s="1970">
        <v>0.23</v>
      </c>
      <c r="L9" s="3029">
        <v>0.25</v>
      </c>
      <c r="M9" s="1970">
        <v>0.15</v>
      </c>
      <c r="N9" s="1970">
        <v>0.17</v>
      </c>
      <c r="O9" s="1970">
        <v>0.22</v>
      </c>
      <c r="P9" s="3029">
        <v>0.17</v>
      </c>
      <c r="Q9" s="1970" t="s">
        <v>606</v>
      </c>
      <c r="R9" s="1970">
        <v>0.13</v>
      </c>
      <c r="S9" s="1970">
        <v>0.15</v>
      </c>
      <c r="T9" s="3029">
        <v>0.14000000000000001</v>
      </c>
      <c r="U9" s="17"/>
    </row>
    <row r="10" spans="1:22" s="11" customFormat="1" ht="12.75" customHeight="1" x14ac:dyDescent="0.2">
      <c r="A10" s="5"/>
      <c r="B10" s="6"/>
      <c r="C10" s="6"/>
      <c r="D10" s="2085" t="s">
        <v>1292</v>
      </c>
      <c r="E10" s="1970">
        <v>0.2</v>
      </c>
      <c r="F10" s="1970">
        <v>0.14000000000000001</v>
      </c>
      <c r="G10" s="1970">
        <v>0.16</v>
      </c>
      <c r="H10" s="3027">
        <v>0.16</v>
      </c>
      <c r="I10" s="1970">
        <v>0.16</v>
      </c>
      <c r="J10" s="1970">
        <v>0.13</v>
      </c>
      <c r="K10" s="1970">
        <v>0.18</v>
      </c>
      <c r="L10" s="3029">
        <v>0.16</v>
      </c>
      <c r="M10" s="1970">
        <v>0.14000000000000001</v>
      </c>
      <c r="N10" s="1970">
        <v>0.14000000000000001</v>
      </c>
      <c r="O10" s="1970">
        <v>0.1</v>
      </c>
      <c r="P10" s="3029">
        <v>0.13</v>
      </c>
      <c r="Q10" s="1970" t="s">
        <v>606</v>
      </c>
      <c r="R10" s="1970">
        <v>0.04</v>
      </c>
      <c r="S10" s="1970">
        <v>0.06</v>
      </c>
      <c r="T10" s="3029">
        <v>0.05</v>
      </c>
      <c r="U10" s="17"/>
    </row>
    <row r="11" spans="1:22" s="11" customFormat="1" ht="12.75" customHeight="1" x14ac:dyDescent="0.2">
      <c r="A11" s="5"/>
      <c r="B11" s="6"/>
      <c r="C11" s="6"/>
      <c r="D11" s="2085" t="s">
        <v>1293</v>
      </c>
      <c r="E11" s="1970">
        <v>0.15</v>
      </c>
      <c r="F11" s="1970">
        <v>0.11</v>
      </c>
      <c r="G11" s="1970">
        <v>0.1</v>
      </c>
      <c r="H11" s="3027">
        <v>0.11</v>
      </c>
      <c r="I11" s="1970">
        <v>0.13</v>
      </c>
      <c r="J11" s="1970">
        <v>0.1</v>
      </c>
      <c r="K11" s="1970">
        <v>0.09</v>
      </c>
      <c r="L11" s="3029">
        <v>0.11</v>
      </c>
      <c r="M11" s="1970">
        <v>7.0000000000000007E-2</v>
      </c>
      <c r="N11" s="1970">
        <v>7.0000000000000007E-2</v>
      </c>
      <c r="O11" s="1970">
        <v>0.06</v>
      </c>
      <c r="P11" s="3029">
        <v>0.06</v>
      </c>
      <c r="Q11" s="1970" t="s">
        <v>606</v>
      </c>
      <c r="R11" s="1970">
        <v>0.05</v>
      </c>
      <c r="S11" s="1970">
        <v>0.06</v>
      </c>
      <c r="T11" s="3029">
        <v>0.05</v>
      </c>
      <c r="U11" s="17"/>
    </row>
    <row r="12" spans="1:22" s="11" customFormat="1" ht="12.75" customHeight="1" x14ac:dyDescent="0.2">
      <c r="A12" s="5"/>
      <c r="B12" s="6"/>
      <c r="C12" s="6"/>
      <c r="D12" s="2085" t="s">
        <v>1294</v>
      </c>
      <c r="E12" s="1970">
        <v>0.08</v>
      </c>
      <c r="F12" s="1970">
        <v>0.05</v>
      </c>
      <c r="G12" s="1970">
        <v>0.09</v>
      </c>
      <c r="H12" s="3027">
        <v>0.06</v>
      </c>
      <c r="I12" s="1970">
        <v>0.06</v>
      </c>
      <c r="J12" s="1970">
        <v>0.04</v>
      </c>
      <c r="K12" s="1970">
        <v>0.05</v>
      </c>
      <c r="L12" s="3029">
        <v>0.04</v>
      </c>
      <c r="M12" s="1970">
        <v>0.02</v>
      </c>
      <c r="N12" s="1970">
        <v>0.02</v>
      </c>
      <c r="O12" s="1970">
        <v>0.02</v>
      </c>
      <c r="P12" s="3029">
        <v>0.02</v>
      </c>
      <c r="Q12" s="1970">
        <v>0.02</v>
      </c>
      <c r="R12" s="1970">
        <v>0.04</v>
      </c>
      <c r="S12" s="1970">
        <v>0.04</v>
      </c>
      <c r="T12" s="3029">
        <v>0.04</v>
      </c>
      <c r="U12" s="17"/>
    </row>
    <row r="13" spans="1:22" s="11" customFormat="1" ht="12.75" customHeight="1" x14ac:dyDescent="0.2">
      <c r="A13" s="5"/>
      <c r="B13" s="6"/>
      <c r="C13" s="6"/>
      <c r="D13" s="2085" t="s">
        <v>1295</v>
      </c>
      <c r="E13" s="1970">
        <v>0.12</v>
      </c>
      <c r="F13" s="1970">
        <v>0.17</v>
      </c>
      <c r="G13" s="1970">
        <v>0.12</v>
      </c>
      <c r="H13" s="3027">
        <v>0.09</v>
      </c>
      <c r="I13" s="1970">
        <v>0.03</v>
      </c>
      <c r="J13" s="1970">
        <v>0.02</v>
      </c>
      <c r="K13" s="1970">
        <v>0.02</v>
      </c>
      <c r="L13" s="3029">
        <v>0.02</v>
      </c>
      <c r="M13" s="1970">
        <v>0.02</v>
      </c>
      <c r="N13" s="1970">
        <v>0.01</v>
      </c>
      <c r="O13" s="1970">
        <v>0.01</v>
      </c>
      <c r="P13" s="3029">
        <v>0.01</v>
      </c>
      <c r="Q13" s="1970">
        <v>0.01</v>
      </c>
      <c r="R13" s="1970">
        <v>0.01</v>
      </c>
      <c r="S13" s="1970">
        <v>0.01</v>
      </c>
      <c r="T13" s="3029">
        <v>0.01</v>
      </c>
      <c r="U13" s="17"/>
    </row>
    <row r="14" spans="1:22" s="11" customFormat="1" ht="12.75" customHeight="1" x14ac:dyDescent="0.2">
      <c r="A14" s="5"/>
      <c r="B14" s="6"/>
      <c r="C14" s="6"/>
      <c r="D14" s="2085" t="s">
        <v>1296</v>
      </c>
      <c r="E14" s="1970">
        <v>7.0000000000000007E-2</v>
      </c>
      <c r="F14" s="1970">
        <v>0.04</v>
      </c>
      <c r="G14" s="1970">
        <v>7.0000000000000007E-2</v>
      </c>
      <c r="H14" s="3027">
        <v>0.05</v>
      </c>
      <c r="I14" s="1970">
        <v>0.04</v>
      </c>
      <c r="J14" s="1970">
        <v>0.02</v>
      </c>
      <c r="K14" s="1970">
        <v>0.02</v>
      </c>
      <c r="L14" s="3029">
        <v>0.02</v>
      </c>
      <c r="M14" s="1970">
        <v>0.06</v>
      </c>
      <c r="N14" s="1970">
        <v>0.02</v>
      </c>
      <c r="O14" s="1970">
        <v>0.03</v>
      </c>
      <c r="P14" s="3029">
        <v>0.03</v>
      </c>
      <c r="Q14" s="1970" t="s">
        <v>606</v>
      </c>
      <c r="R14" s="1970">
        <v>0.02</v>
      </c>
      <c r="S14" s="1970">
        <v>0.02</v>
      </c>
      <c r="T14" s="3029">
        <v>0.02</v>
      </c>
      <c r="U14" s="17"/>
    </row>
    <row r="15" spans="1:22" s="11" customFormat="1" ht="12.75" customHeight="1" x14ac:dyDescent="0.2">
      <c r="A15" s="5"/>
      <c r="B15" s="6"/>
      <c r="C15" s="6"/>
      <c r="D15" s="2085" t="s">
        <v>1297</v>
      </c>
      <c r="E15" s="1970">
        <v>7.0000000000000007E-2</v>
      </c>
      <c r="F15" s="1970">
        <v>0.04</v>
      </c>
      <c r="G15" s="1970">
        <v>7.0000000000000007E-2</v>
      </c>
      <c r="H15" s="3027">
        <v>0.06</v>
      </c>
      <c r="I15" s="1970">
        <v>7.0000000000000007E-2</v>
      </c>
      <c r="J15" s="1970">
        <v>0.03</v>
      </c>
      <c r="K15" s="1970">
        <v>0.01</v>
      </c>
      <c r="L15" s="3029">
        <v>0.04</v>
      </c>
      <c r="M15" s="1970">
        <v>0.06</v>
      </c>
      <c r="N15" s="1970">
        <v>0.02</v>
      </c>
      <c r="O15" s="1970">
        <v>0.04</v>
      </c>
      <c r="P15" s="3029">
        <v>0.03</v>
      </c>
      <c r="Q15" s="1970" t="s">
        <v>606</v>
      </c>
      <c r="R15" s="1970">
        <v>0.03</v>
      </c>
      <c r="S15" s="1970">
        <v>0.03</v>
      </c>
      <c r="T15" s="3029">
        <v>0.03</v>
      </c>
      <c r="U15" s="17"/>
    </row>
    <row r="16" spans="1:22" s="11" customFormat="1" ht="12.75" customHeight="1" x14ac:dyDescent="0.2">
      <c r="A16" s="5"/>
      <c r="B16" s="6"/>
      <c r="C16" s="6"/>
      <c r="D16" s="2085" t="s">
        <v>1298</v>
      </c>
      <c r="E16" s="1970">
        <v>0.08</v>
      </c>
      <c r="F16" s="1970">
        <v>0.05</v>
      </c>
      <c r="G16" s="1970">
        <v>0.06</v>
      </c>
      <c r="H16" s="3027">
        <v>7.0000000000000007E-2</v>
      </c>
      <c r="I16" s="1970">
        <v>0.08</v>
      </c>
      <c r="J16" s="1970">
        <v>0.08</v>
      </c>
      <c r="K16" s="1970">
        <v>0.06</v>
      </c>
      <c r="L16" s="3029">
        <v>7.0000000000000007E-2</v>
      </c>
      <c r="M16" s="1970">
        <v>0.06</v>
      </c>
      <c r="N16" s="1970">
        <v>0.01</v>
      </c>
      <c r="O16" s="1970">
        <v>0.02</v>
      </c>
      <c r="P16" s="3029">
        <v>0.03</v>
      </c>
      <c r="Q16" s="1970" t="s">
        <v>606</v>
      </c>
      <c r="R16" s="1970">
        <v>0.03</v>
      </c>
      <c r="S16" s="1970">
        <v>0.04</v>
      </c>
      <c r="T16" s="3029">
        <v>0.03</v>
      </c>
      <c r="U16" s="17"/>
    </row>
    <row r="17" spans="2:20" x14ac:dyDescent="0.2">
      <c r="B17" s="3030"/>
      <c r="C17" s="3030"/>
      <c r="D17" s="2096" t="s">
        <v>1299</v>
      </c>
      <c r="E17" s="3031">
        <v>0.06</v>
      </c>
      <c r="F17" s="3031">
        <v>0</v>
      </c>
      <c r="G17" s="3031">
        <v>7.0000000000000007E-2</v>
      </c>
      <c r="H17" s="3032">
        <v>0.05</v>
      </c>
      <c r="I17" s="3031">
        <v>0.05</v>
      </c>
      <c r="J17" s="3031">
        <v>0.02</v>
      </c>
      <c r="K17" s="3031">
        <v>0.05</v>
      </c>
      <c r="L17" s="3033">
        <v>0.04</v>
      </c>
      <c r="M17" s="3031">
        <v>0.05</v>
      </c>
      <c r="N17" s="3031">
        <v>0.01</v>
      </c>
      <c r="O17" s="3031">
        <v>0.06</v>
      </c>
      <c r="P17" s="3033">
        <v>0.04</v>
      </c>
      <c r="Q17" s="3031" t="s">
        <v>606</v>
      </c>
      <c r="R17" s="3031">
        <v>0.03</v>
      </c>
      <c r="S17" s="3031">
        <v>0.04</v>
      </c>
      <c r="T17" s="3033">
        <v>0.04</v>
      </c>
    </row>
    <row r="18" spans="2:20" x14ac:dyDescent="0.2">
      <c r="B18" s="3030"/>
      <c r="C18" s="3030"/>
      <c r="D18" s="2085"/>
      <c r="E18" s="17"/>
      <c r="F18" s="17"/>
      <c r="G18" s="17"/>
      <c r="H18" s="17"/>
      <c r="I18" s="17"/>
      <c r="J18" s="17"/>
      <c r="K18" s="17"/>
      <c r="L18" s="17"/>
      <c r="M18" s="17"/>
      <c r="N18" s="17"/>
      <c r="O18" s="17"/>
      <c r="P18" s="17"/>
      <c r="Q18" s="17"/>
    </row>
    <row r="19" spans="2:20" x14ac:dyDescent="0.2">
      <c r="B19" s="3030"/>
      <c r="C19" s="3030"/>
      <c r="D19" s="3034"/>
      <c r="E19" s="3034"/>
      <c r="F19" s="3034"/>
      <c r="G19" s="3034"/>
      <c r="H19" s="3034"/>
      <c r="I19" s="3034"/>
      <c r="J19" s="3034"/>
      <c r="K19" s="3034"/>
      <c r="L19" s="3034"/>
      <c r="M19" s="3034"/>
      <c r="N19" s="3034"/>
      <c r="O19" s="3034"/>
      <c r="P19" s="3034"/>
      <c r="Q19" s="3034"/>
    </row>
    <row r="20" spans="2:20" x14ac:dyDescent="0.2">
      <c r="B20" s="3035"/>
      <c r="C20" s="3035"/>
      <c r="D20" s="3036"/>
      <c r="E20" s="3036"/>
      <c r="F20" s="3036"/>
      <c r="G20" s="3036"/>
      <c r="H20" s="3036"/>
      <c r="I20" s="3036"/>
      <c r="J20" s="3036"/>
      <c r="K20" s="3036"/>
      <c r="L20" s="3036"/>
      <c r="M20" s="3036"/>
      <c r="N20" s="3036"/>
      <c r="O20" s="3036"/>
      <c r="P20" s="3036"/>
      <c r="Q20" s="3036"/>
    </row>
    <row r="21" spans="2:20" x14ac:dyDescent="0.2">
      <c r="B21" s="3030"/>
      <c r="C21" s="3030"/>
      <c r="D21" s="3036"/>
      <c r="E21" s="3036"/>
      <c r="F21" s="3036"/>
      <c r="G21" s="3036"/>
      <c r="H21" s="3036"/>
      <c r="I21" s="3036"/>
      <c r="J21" s="3036"/>
      <c r="K21" s="3036"/>
      <c r="L21" s="3036"/>
      <c r="M21" s="3036"/>
      <c r="N21" s="3036"/>
      <c r="O21" s="3036"/>
      <c r="P21" s="3036"/>
      <c r="Q21" s="3036"/>
    </row>
    <row r="22" spans="2:20" ht="16.5" customHeight="1" x14ac:dyDescent="0.2">
      <c r="B22" s="3035"/>
      <c r="C22" s="3035"/>
      <c r="D22" s="3036"/>
      <c r="E22" s="3036"/>
      <c r="F22" s="3036"/>
      <c r="G22" s="3036"/>
      <c r="H22" s="3036"/>
      <c r="I22" s="3036"/>
      <c r="J22" s="3036"/>
      <c r="K22" s="3036"/>
      <c r="L22" s="3036"/>
      <c r="M22" s="3036"/>
      <c r="N22" s="3036"/>
      <c r="O22" s="3036"/>
      <c r="P22" s="3036"/>
      <c r="Q22" s="3036"/>
    </row>
    <row r="23" spans="2:20" x14ac:dyDescent="0.2">
      <c r="B23" s="3030"/>
      <c r="C23" s="3030"/>
      <c r="D23" s="3036"/>
      <c r="E23" s="3036"/>
      <c r="F23" s="3036"/>
      <c r="G23" s="3036"/>
      <c r="H23" s="3036"/>
      <c r="I23" s="3036"/>
      <c r="J23" s="3036"/>
      <c r="K23" s="3036"/>
      <c r="L23" s="3036"/>
      <c r="M23" s="3036"/>
      <c r="N23" s="3036"/>
      <c r="O23" s="3036"/>
      <c r="P23" s="3036"/>
      <c r="Q23" s="3036"/>
    </row>
    <row r="39" spans="1:20" s="943" customFormat="1" ht="15" customHeight="1" x14ac:dyDescent="0.2">
      <c r="A39" s="1">
        <v>5</v>
      </c>
      <c r="B39" s="1" t="s">
        <v>29</v>
      </c>
      <c r="C39" s="1"/>
      <c r="D39" s="4140" t="s">
        <v>392</v>
      </c>
      <c r="E39" s="4141"/>
      <c r="F39" s="4141"/>
      <c r="G39" s="4141"/>
      <c r="H39" s="4141"/>
      <c r="I39" s="4141"/>
      <c r="J39" s="4141"/>
      <c r="K39" s="4141"/>
      <c r="L39" s="4141"/>
      <c r="M39" s="4141"/>
      <c r="N39" s="4141"/>
      <c r="O39" s="4141"/>
      <c r="P39" s="4141"/>
      <c r="Q39" s="4141"/>
      <c r="R39" s="4141"/>
      <c r="S39" s="4141"/>
      <c r="T39" s="4142"/>
    </row>
    <row r="40" spans="1:20" s="943" customFormat="1" ht="29.25" customHeight="1" x14ac:dyDescent="0.2">
      <c r="A40" s="40">
        <v>6</v>
      </c>
      <c r="B40" s="40" t="s">
        <v>34</v>
      </c>
      <c r="C40" s="40"/>
      <c r="D40" s="4247" t="s">
        <v>1300</v>
      </c>
      <c r="E40" s="4248"/>
      <c r="F40" s="4248"/>
      <c r="G40" s="4248"/>
      <c r="H40" s="4248"/>
      <c r="I40" s="4248"/>
      <c r="J40" s="4248"/>
      <c r="K40" s="4248"/>
      <c r="L40" s="4248"/>
      <c r="M40" s="4248"/>
      <c r="N40" s="4248"/>
      <c r="O40" s="4248"/>
      <c r="P40" s="4248"/>
      <c r="Q40" s="4248"/>
      <c r="R40" s="4248"/>
      <c r="S40" s="4248"/>
      <c r="T40" s="4249"/>
    </row>
    <row r="41" spans="1:20" s="943" customFormat="1" ht="14.25" customHeight="1" x14ac:dyDescent="0.2">
      <c r="A41" s="1">
        <v>7</v>
      </c>
      <c r="B41" s="1" t="s">
        <v>31</v>
      </c>
      <c r="C41" s="1"/>
      <c r="D41" s="4247" t="s">
        <v>1301</v>
      </c>
      <c r="E41" s="4248"/>
      <c r="F41" s="4248"/>
      <c r="G41" s="4248"/>
      <c r="H41" s="4248"/>
      <c r="I41" s="4248"/>
      <c r="J41" s="4248"/>
      <c r="K41" s="4248"/>
      <c r="L41" s="4248"/>
      <c r="M41" s="4248"/>
      <c r="N41" s="4248"/>
      <c r="O41" s="4248"/>
      <c r="P41" s="4248"/>
      <c r="Q41" s="4248"/>
      <c r="R41" s="4248"/>
      <c r="S41" s="4248"/>
      <c r="T41" s="4249"/>
    </row>
  </sheetData>
  <mergeCells count="10">
    <mergeCell ref="D39:T39"/>
    <mergeCell ref="D40:T40"/>
    <mergeCell ref="D41:T41"/>
    <mergeCell ref="D2:T2"/>
    <mergeCell ref="D3:T3"/>
    <mergeCell ref="D4:T4"/>
    <mergeCell ref="E7:H7"/>
    <mergeCell ref="I7:L7"/>
    <mergeCell ref="M7:P7"/>
    <mergeCell ref="Q7:T7"/>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A31"/>
  <sheetViews>
    <sheetView showGridLines="0" view="pageBreakPreview" zoomScaleNormal="100" zoomScaleSheetLayoutView="100" workbookViewId="0">
      <selection activeCell="B5" sqref="B5"/>
    </sheetView>
  </sheetViews>
  <sheetFormatPr defaultColWidth="9.140625" defaultRowHeight="12" x14ac:dyDescent="0.2"/>
  <cols>
    <col min="1" max="1" width="3.7109375" style="3024" customWidth="1"/>
    <col min="2" max="2" width="14.42578125" style="3025" customWidth="1"/>
    <col min="3" max="3" width="3.7109375" style="3025" customWidth="1"/>
    <col min="4" max="4" width="22.7109375" style="3037" customWidth="1"/>
    <col min="5" max="5" width="11.42578125" style="733" customWidth="1"/>
    <col min="6" max="6" width="5.42578125" style="3038" customWidth="1"/>
    <col min="7" max="7" width="11.42578125" style="733" customWidth="1"/>
    <col min="8" max="8" width="5.42578125" style="3038" customWidth="1"/>
    <col min="9" max="9" width="11.42578125" style="733" customWidth="1"/>
    <col min="10" max="10" width="5.42578125" style="3038" customWidth="1"/>
    <col min="11" max="11" width="11.42578125" style="3038" customWidth="1"/>
    <col min="12" max="12" width="5.42578125" style="3038" customWidth="1"/>
    <col min="13" max="13" width="11.42578125" style="3038" customWidth="1"/>
    <col min="14" max="15" width="5.42578125" style="3038" customWidth="1"/>
    <col min="16" max="16" width="5.42578125" style="3040" customWidth="1"/>
    <col min="17" max="17" width="22.7109375" style="3037" customWidth="1"/>
    <col min="18" max="18" width="5.85546875" style="733" customWidth="1"/>
    <col min="19" max="19" width="3.42578125" style="733" customWidth="1"/>
    <col min="20" max="20" width="11.5703125" style="733" bestFit="1" customWidth="1"/>
    <col min="21" max="21" width="5.5703125" style="733" customWidth="1"/>
    <col min="22" max="22" width="11" style="733" bestFit="1" customWidth="1"/>
    <col min="23" max="23" width="6.140625" style="733" customWidth="1"/>
    <col min="24" max="258" width="9.140625" style="733"/>
    <col min="259" max="259" width="3.7109375" style="733" customWidth="1"/>
    <col min="260" max="260" width="14.42578125" style="733" customWidth="1"/>
    <col min="261" max="261" width="3.7109375" style="733" customWidth="1"/>
    <col min="262" max="262" width="22.7109375" style="733" customWidth="1"/>
    <col min="263" max="263" width="11.42578125" style="733" customWidth="1"/>
    <col min="264" max="264" width="5.42578125" style="733" customWidth="1"/>
    <col min="265" max="265" width="11.42578125" style="733" customWidth="1"/>
    <col min="266" max="266" width="5.42578125" style="733" customWidth="1"/>
    <col min="267" max="267" width="11.42578125" style="733" customWidth="1"/>
    <col min="268" max="268" width="5.42578125" style="733" customWidth="1"/>
    <col min="269" max="269" width="11.42578125" style="733" customWidth="1"/>
    <col min="270" max="272" width="5.42578125" style="733" customWidth="1"/>
    <col min="273" max="273" width="22.7109375" style="733" customWidth="1"/>
    <col min="274" max="274" width="5.85546875" style="733" customWidth="1"/>
    <col min="275" max="275" width="3.42578125" style="733" customWidth="1"/>
    <col min="276" max="276" width="11.5703125" style="733" bestFit="1" customWidth="1"/>
    <col min="277" max="277" width="5.5703125" style="733" customWidth="1"/>
    <col min="278" max="278" width="11" style="733" bestFit="1" customWidth="1"/>
    <col min="279" max="279" width="6.140625" style="733" customWidth="1"/>
    <col min="280" max="514" width="9.140625" style="733"/>
    <col min="515" max="515" width="3.7109375" style="733" customWidth="1"/>
    <col min="516" max="516" width="14.42578125" style="733" customWidth="1"/>
    <col min="517" max="517" width="3.7109375" style="733" customWidth="1"/>
    <col min="518" max="518" width="22.7109375" style="733" customWidth="1"/>
    <col min="519" max="519" width="11.42578125" style="733" customWidth="1"/>
    <col min="520" max="520" width="5.42578125" style="733" customWidth="1"/>
    <col min="521" max="521" width="11.42578125" style="733" customWidth="1"/>
    <col min="522" max="522" width="5.42578125" style="733" customWidth="1"/>
    <col min="523" max="523" width="11.42578125" style="733" customWidth="1"/>
    <col min="524" max="524" width="5.42578125" style="733" customWidth="1"/>
    <col min="525" max="525" width="11.42578125" style="733" customWidth="1"/>
    <col min="526" max="528" width="5.42578125" style="733" customWidth="1"/>
    <col min="529" max="529" width="22.7109375" style="733" customWidth="1"/>
    <col min="530" max="530" width="5.85546875" style="733" customWidth="1"/>
    <col min="531" max="531" width="3.42578125" style="733" customWidth="1"/>
    <col min="532" max="532" width="11.5703125" style="733" bestFit="1" customWidth="1"/>
    <col min="533" max="533" width="5.5703125" style="733" customWidth="1"/>
    <col min="534" max="534" width="11" style="733" bestFit="1" customWidth="1"/>
    <col min="535" max="535" width="6.140625" style="733" customWidth="1"/>
    <col min="536" max="770" width="9.140625" style="733"/>
    <col min="771" max="771" width="3.7109375" style="733" customWidth="1"/>
    <col min="772" max="772" width="14.42578125" style="733" customWidth="1"/>
    <col min="773" max="773" width="3.7109375" style="733" customWidth="1"/>
    <col min="774" max="774" width="22.7109375" style="733" customWidth="1"/>
    <col min="775" max="775" width="11.42578125" style="733" customWidth="1"/>
    <col min="776" max="776" width="5.42578125" style="733" customWidth="1"/>
    <col min="777" max="777" width="11.42578125" style="733" customWidth="1"/>
    <col min="778" max="778" width="5.42578125" style="733" customWidth="1"/>
    <col min="779" max="779" width="11.42578125" style="733" customWidth="1"/>
    <col min="780" max="780" width="5.42578125" style="733" customWidth="1"/>
    <col min="781" max="781" width="11.42578125" style="733" customWidth="1"/>
    <col min="782" max="784" width="5.42578125" style="733" customWidth="1"/>
    <col min="785" max="785" width="22.7109375" style="733" customWidth="1"/>
    <col min="786" max="786" width="5.85546875" style="733" customWidth="1"/>
    <col min="787" max="787" width="3.42578125" style="733" customWidth="1"/>
    <col min="788" max="788" width="11.5703125" style="733" bestFit="1" customWidth="1"/>
    <col min="789" max="789" width="5.5703125" style="733" customWidth="1"/>
    <col min="790" max="790" width="11" style="733" bestFit="1" customWidth="1"/>
    <col min="791" max="791" width="6.140625" style="733" customWidth="1"/>
    <col min="792" max="1026" width="9.140625" style="733"/>
    <col min="1027" max="1027" width="3.7109375" style="733" customWidth="1"/>
    <col min="1028" max="1028" width="14.42578125" style="733" customWidth="1"/>
    <col min="1029" max="1029" width="3.7109375" style="733" customWidth="1"/>
    <col min="1030" max="1030" width="22.7109375" style="733" customWidth="1"/>
    <col min="1031" max="1031" width="11.42578125" style="733" customWidth="1"/>
    <col min="1032" max="1032" width="5.42578125" style="733" customWidth="1"/>
    <col min="1033" max="1033" width="11.42578125" style="733" customWidth="1"/>
    <col min="1034" max="1034" width="5.42578125" style="733" customWidth="1"/>
    <col min="1035" max="1035" width="11.42578125" style="733" customWidth="1"/>
    <col min="1036" max="1036" width="5.42578125" style="733" customWidth="1"/>
    <col min="1037" max="1037" width="11.42578125" style="733" customWidth="1"/>
    <col min="1038" max="1040" width="5.42578125" style="733" customWidth="1"/>
    <col min="1041" max="1041" width="22.7109375" style="733" customWidth="1"/>
    <col min="1042" max="1042" width="5.85546875" style="733" customWidth="1"/>
    <col min="1043" max="1043" width="3.42578125" style="733" customWidth="1"/>
    <col min="1044" max="1044" width="11.5703125" style="733" bestFit="1" customWidth="1"/>
    <col min="1045" max="1045" width="5.5703125" style="733" customWidth="1"/>
    <col min="1046" max="1046" width="11" style="733" bestFit="1" customWidth="1"/>
    <col min="1047" max="1047" width="6.140625" style="733" customWidth="1"/>
    <col min="1048" max="1282" width="9.140625" style="733"/>
    <col min="1283" max="1283" width="3.7109375" style="733" customWidth="1"/>
    <col min="1284" max="1284" width="14.42578125" style="733" customWidth="1"/>
    <col min="1285" max="1285" width="3.7109375" style="733" customWidth="1"/>
    <col min="1286" max="1286" width="22.7109375" style="733" customWidth="1"/>
    <col min="1287" max="1287" width="11.42578125" style="733" customWidth="1"/>
    <col min="1288" max="1288" width="5.42578125" style="733" customWidth="1"/>
    <col min="1289" max="1289" width="11.42578125" style="733" customWidth="1"/>
    <col min="1290" max="1290" width="5.42578125" style="733" customWidth="1"/>
    <col min="1291" max="1291" width="11.42578125" style="733" customWidth="1"/>
    <col min="1292" max="1292" width="5.42578125" style="733" customWidth="1"/>
    <col min="1293" max="1293" width="11.42578125" style="733" customWidth="1"/>
    <col min="1294" max="1296" width="5.42578125" style="733" customWidth="1"/>
    <col min="1297" max="1297" width="22.7109375" style="733" customWidth="1"/>
    <col min="1298" max="1298" width="5.85546875" style="733" customWidth="1"/>
    <col min="1299" max="1299" width="3.42578125" style="733" customWidth="1"/>
    <col min="1300" max="1300" width="11.5703125" style="733" bestFit="1" customWidth="1"/>
    <col min="1301" max="1301" width="5.5703125" style="733" customWidth="1"/>
    <col min="1302" max="1302" width="11" style="733" bestFit="1" customWidth="1"/>
    <col min="1303" max="1303" width="6.140625" style="733" customWidth="1"/>
    <col min="1304" max="1538" width="9.140625" style="733"/>
    <col min="1539" max="1539" width="3.7109375" style="733" customWidth="1"/>
    <col min="1540" max="1540" width="14.42578125" style="733" customWidth="1"/>
    <col min="1541" max="1541" width="3.7109375" style="733" customWidth="1"/>
    <col min="1542" max="1542" width="22.7109375" style="733" customWidth="1"/>
    <col min="1543" max="1543" width="11.42578125" style="733" customWidth="1"/>
    <col min="1544" max="1544" width="5.42578125" style="733" customWidth="1"/>
    <col min="1545" max="1545" width="11.42578125" style="733" customWidth="1"/>
    <col min="1546" max="1546" width="5.42578125" style="733" customWidth="1"/>
    <col min="1547" max="1547" width="11.42578125" style="733" customWidth="1"/>
    <col min="1548" max="1548" width="5.42578125" style="733" customWidth="1"/>
    <col min="1549" max="1549" width="11.42578125" style="733" customWidth="1"/>
    <col min="1550" max="1552" width="5.42578125" style="733" customWidth="1"/>
    <col min="1553" max="1553" width="22.7109375" style="733" customWidth="1"/>
    <col min="1554" max="1554" width="5.85546875" style="733" customWidth="1"/>
    <col min="1555" max="1555" width="3.42578125" style="733" customWidth="1"/>
    <col min="1556" max="1556" width="11.5703125" style="733" bestFit="1" customWidth="1"/>
    <col min="1557" max="1557" width="5.5703125" style="733" customWidth="1"/>
    <col min="1558" max="1558" width="11" style="733" bestFit="1" customWidth="1"/>
    <col min="1559" max="1559" width="6.140625" style="733" customWidth="1"/>
    <col min="1560" max="1794" width="9.140625" style="733"/>
    <col min="1795" max="1795" width="3.7109375" style="733" customWidth="1"/>
    <col min="1796" max="1796" width="14.42578125" style="733" customWidth="1"/>
    <col min="1797" max="1797" width="3.7109375" style="733" customWidth="1"/>
    <col min="1798" max="1798" width="22.7109375" style="733" customWidth="1"/>
    <col min="1799" max="1799" width="11.42578125" style="733" customWidth="1"/>
    <col min="1800" max="1800" width="5.42578125" style="733" customWidth="1"/>
    <col min="1801" max="1801" width="11.42578125" style="733" customWidth="1"/>
    <col min="1802" max="1802" width="5.42578125" style="733" customWidth="1"/>
    <col min="1803" max="1803" width="11.42578125" style="733" customWidth="1"/>
    <col min="1804" max="1804" width="5.42578125" style="733" customWidth="1"/>
    <col min="1805" max="1805" width="11.42578125" style="733" customWidth="1"/>
    <col min="1806" max="1808" width="5.42578125" style="733" customWidth="1"/>
    <col min="1809" max="1809" width="22.7109375" style="733" customWidth="1"/>
    <col min="1810" max="1810" width="5.85546875" style="733" customWidth="1"/>
    <col min="1811" max="1811" width="3.42578125" style="733" customWidth="1"/>
    <col min="1812" max="1812" width="11.5703125" style="733" bestFit="1" customWidth="1"/>
    <col min="1813" max="1813" width="5.5703125" style="733" customWidth="1"/>
    <col min="1814" max="1814" width="11" style="733" bestFit="1" customWidth="1"/>
    <col min="1815" max="1815" width="6.140625" style="733" customWidth="1"/>
    <col min="1816" max="2050" width="9.140625" style="733"/>
    <col min="2051" max="2051" width="3.7109375" style="733" customWidth="1"/>
    <col min="2052" max="2052" width="14.42578125" style="733" customWidth="1"/>
    <col min="2053" max="2053" width="3.7109375" style="733" customWidth="1"/>
    <col min="2054" max="2054" width="22.7109375" style="733" customWidth="1"/>
    <col min="2055" max="2055" width="11.42578125" style="733" customWidth="1"/>
    <col min="2056" max="2056" width="5.42578125" style="733" customWidth="1"/>
    <col min="2057" max="2057" width="11.42578125" style="733" customWidth="1"/>
    <col min="2058" max="2058" width="5.42578125" style="733" customWidth="1"/>
    <col min="2059" max="2059" width="11.42578125" style="733" customWidth="1"/>
    <col min="2060" max="2060" width="5.42578125" style="733" customWidth="1"/>
    <col min="2061" max="2061" width="11.42578125" style="733" customWidth="1"/>
    <col min="2062" max="2064" width="5.42578125" style="733" customWidth="1"/>
    <col min="2065" max="2065" width="22.7109375" style="733" customWidth="1"/>
    <col min="2066" max="2066" width="5.85546875" style="733" customWidth="1"/>
    <col min="2067" max="2067" width="3.42578125" style="733" customWidth="1"/>
    <col min="2068" max="2068" width="11.5703125" style="733" bestFit="1" customWidth="1"/>
    <col min="2069" max="2069" width="5.5703125" style="733" customWidth="1"/>
    <col min="2070" max="2070" width="11" style="733" bestFit="1" customWidth="1"/>
    <col min="2071" max="2071" width="6.140625" style="733" customWidth="1"/>
    <col min="2072" max="2306" width="9.140625" style="733"/>
    <col min="2307" max="2307" width="3.7109375" style="733" customWidth="1"/>
    <col min="2308" max="2308" width="14.42578125" style="733" customWidth="1"/>
    <col min="2309" max="2309" width="3.7109375" style="733" customWidth="1"/>
    <col min="2310" max="2310" width="22.7109375" style="733" customWidth="1"/>
    <col min="2311" max="2311" width="11.42578125" style="733" customWidth="1"/>
    <col min="2312" max="2312" width="5.42578125" style="733" customWidth="1"/>
    <col min="2313" max="2313" width="11.42578125" style="733" customWidth="1"/>
    <col min="2314" max="2314" width="5.42578125" style="733" customWidth="1"/>
    <col min="2315" max="2315" width="11.42578125" style="733" customWidth="1"/>
    <col min="2316" max="2316" width="5.42578125" style="733" customWidth="1"/>
    <col min="2317" max="2317" width="11.42578125" style="733" customWidth="1"/>
    <col min="2318" max="2320" width="5.42578125" style="733" customWidth="1"/>
    <col min="2321" max="2321" width="22.7109375" style="733" customWidth="1"/>
    <col min="2322" max="2322" width="5.85546875" style="733" customWidth="1"/>
    <col min="2323" max="2323" width="3.42578125" style="733" customWidth="1"/>
    <col min="2324" max="2324" width="11.5703125" style="733" bestFit="1" customWidth="1"/>
    <col min="2325" max="2325" width="5.5703125" style="733" customWidth="1"/>
    <col min="2326" max="2326" width="11" style="733" bestFit="1" customWidth="1"/>
    <col min="2327" max="2327" width="6.140625" style="733" customWidth="1"/>
    <col min="2328" max="2562" width="9.140625" style="733"/>
    <col min="2563" max="2563" width="3.7109375" style="733" customWidth="1"/>
    <col min="2564" max="2564" width="14.42578125" style="733" customWidth="1"/>
    <col min="2565" max="2565" width="3.7109375" style="733" customWidth="1"/>
    <col min="2566" max="2566" width="22.7109375" style="733" customWidth="1"/>
    <col min="2567" max="2567" width="11.42578125" style="733" customWidth="1"/>
    <col min="2568" max="2568" width="5.42578125" style="733" customWidth="1"/>
    <col min="2569" max="2569" width="11.42578125" style="733" customWidth="1"/>
    <col min="2570" max="2570" width="5.42578125" style="733" customWidth="1"/>
    <col min="2571" max="2571" width="11.42578125" style="733" customWidth="1"/>
    <col min="2572" max="2572" width="5.42578125" style="733" customWidth="1"/>
    <col min="2573" max="2573" width="11.42578125" style="733" customWidth="1"/>
    <col min="2574" max="2576" width="5.42578125" style="733" customWidth="1"/>
    <col min="2577" max="2577" width="22.7109375" style="733" customWidth="1"/>
    <col min="2578" max="2578" width="5.85546875" style="733" customWidth="1"/>
    <col min="2579" max="2579" width="3.42578125" style="733" customWidth="1"/>
    <col min="2580" max="2580" width="11.5703125" style="733" bestFit="1" customWidth="1"/>
    <col min="2581" max="2581" width="5.5703125" style="733" customWidth="1"/>
    <col min="2582" max="2582" width="11" style="733" bestFit="1" customWidth="1"/>
    <col min="2583" max="2583" width="6.140625" style="733" customWidth="1"/>
    <col min="2584" max="2818" width="9.140625" style="733"/>
    <col min="2819" max="2819" width="3.7109375" style="733" customWidth="1"/>
    <col min="2820" max="2820" width="14.42578125" style="733" customWidth="1"/>
    <col min="2821" max="2821" width="3.7109375" style="733" customWidth="1"/>
    <col min="2822" max="2822" width="22.7109375" style="733" customWidth="1"/>
    <col min="2823" max="2823" width="11.42578125" style="733" customWidth="1"/>
    <col min="2824" max="2824" width="5.42578125" style="733" customWidth="1"/>
    <col min="2825" max="2825" width="11.42578125" style="733" customWidth="1"/>
    <col min="2826" max="2826" width="5.42578125" style="733" customWidth="1"/>
    <col min="2827" max="2827" width="11.42578125" style="733" customWidth="1"/>
    <col min="2828" max="2828" width="5.42578125" style="733" customWidth="1"/>
    <col min="2829" max="2829" width="11.42578125" style="733" customWidth="1"/>
    <col min="2830" max="2832" width="5.42578125" style="733" customWidth="1"/>
    <col min="2833" max="2833" width="22.7109375" style="733" customWidth="1"/>
    <col min="2834" max="2834" width="5.85546875" style="733" customWidth="1"/>
    <col min="2835" max="2835" width="3.42578125" style="733" customWidth="1"/>
    <col min="2836" max="2836" width="11.5703125" style="733" bestFit="1" customWidth="1"/>
    <col min="2837" max="2837" width="5.5703125" style="733" customWidth="1"/>
    <col min="2838" max="2838" width="11" style="733" bestFit="1" customWidth="1"/>
    <col min="2839" max="2839" width="6.140625" style="733" customWidth="1"/>
    <col min="2840" max="3074" width="9.140625" style="733"/>
    <col min="3075" max="3075" width="3.7109375" style="733" customWidth="1"/>
    <col min="3076" max="3076" width="14.42578125" style="733" customWidth="1"/>
    <col min="3077" max="3077" width="3.7109375" style="733" customWidth="1"/>
    <col min="3078" max="3078" width="22.7109375" style="733" customWidth="1"/>
    <col min="3079" max="3079" width="11.42578125" style="733" customWidth="1"/>
    <col min="3080" max="3080" width="5.42578125" style="733" customWidth="1"/>
    <col min="3081" max="3081" width="11.42578125" style="733" customWidth="1"/>
    <col min="3082" max="3082" width="5.42578125" style="733" customWidth="1"/>
    <col min="3083" max="3083" width="11.42578125" style="733" customWidth="1"/>
    <col min="3084" max="3084" width="5.42578125" style="733" customWidth="1"/>
    <col min="3085" max="3085" width="11.42578125" style="733" customWidth="1"/>
    <col min="3086" max="3088" width="5.42578125" style="733" customWidth="1"/>
    <col min="3089" max="3089" width="22.7109375" style="733" customWidth="1"/>
    <col min="3090" max="3090" width="5.85546875" style="733" customWidth="1"/>
    <col min="3091" max="3091" width="3.42578125" style="733" customWidth="1"/>
    <col min="3092" max="3092" width="11.5703125" style="733" bestFit="1" customWidth="1"/>
    <col min="3093" max="3093" width="5.5703125" style="733" customWidth="1"/>
    <col min="3094" max="3094" width="11" style="733" bestFit="1" customWidth="1"/>
    <col min="3095" max="3095" width="6.140625" style="733" customWidth="1"/>
    <col min="3096" max="3330" width="9.140625" style="733"/>
    <col min="3331" max="3331" width="3.7109375" style="733" customWidth="1"/>
    <col min="3332" max="3332" width="14.42578125" style="733" customWidth="1"/>
    <col min="3333" max="3333" width="3.7109375" style="733" customWidth="1"/>
    <col min="3334" max="3334" width="22.7109375" style="733" customWidth="1"/>
    <col min="3335" max="3335" width="11.42578125" style="733" customWidth="1"/>
    <col min="3336" max="3336" width="5.42578125" style="733" customWidth="1"/>
    <col min="3337" max="3337" width="11.42578125" style="733" customWidth="1"/>
    <col min="3338" max="3338" width="5.42578125" style="733" customWidth="1"/>
    <col min="3339" max="3339" width="11.42578125" style="733" customWidth="1"/>
    <col min="3340" max="3340" width="5.42578125" style="733" customWidth="1"/>
    <col min="3341" max="3341" width="11.42578125" style="733" customWidth="1"/>
    <col min="3342" max="3344" width="5.42578125" style="733" customWidth="1"/>
    <col min="3345" max="3345" width="22.7109375" style="733" customWidth="1"/>
    <col min="3346" max="3346" width="5.85546875" style="733" customWidth="1"/>
    <col min="3347" max="3347" width="3.42578125" style="733" customWidth="1"/>
    <col min="3348" max="3348" width="11.5703125" style="733" bestFit="1" customWidth="1"/>
    <col min="3349" max="3349" width="5.5703125" style="733" customWidth="1"/>
    <col min="3350" max="3350" width="11" style="733" bestFit="1" customWidth="1"/>
    <col min="3351" max="3351" width="6.140625" style="733" customWidth="1"/>
    <col min="3352" max="3586" width="9.140625" style="733"/>
    <col min="3587" max="3587" width="3.7109375" style="733" customWidth="1"/>
    <col min="3588" max="3588" width="14.42578125" style="733" customWidth="1"/>
    <col min="3589" max="3589" width="3.7109375" style="733" customWidth="1"/>
    <col min="3590" max="3590" width="22.7109375" style="733" customWidth="1"/>
    <col min="3591" max="3591" width="11.42578125" style="733" customWidth="1"/>
    <col min="3592" max="3592" width="5.42578125" style="733" customWidth="1"/>
    <col min="3593" max="3593" width="11.42578125" style="733" customWidth="1"/>
    <col min="3594" max="3594" width="5.42578125" style="733" customWidth="1"/>
    <col min="3595" max="3595" width="11.42578125" style="733" customWidth="1"/>
    <col min="3596" max="3596" width="5.42578125" style="733" customWidth="1"/>
    <col min="3597" max="3597" width="11.42578125" style="733" customWidth="1"/>
    <col min="3598" max="3600" width="5.42578125" style="733" customWidth="1"/>
    <col min="3601" max="3601" width="22.7109375" style="733" customWidth="1"/>
    <col min="3602" max="3602" width="5.85546875" style="733" customWidth="1"/>
    <col min="3603" max="3603" width="3.42578125" style="733" customWidth="1"/>
    <col min="3604" max="3604" width="11.5703125" style="733" bestFit="1" customWidth="1"/>
    <col min="3605" max="3605" width="5.5703125" style="733" customWidth="1"/>
    <col min="3606" max="3606" width="11" style="733" bestFit="1" customWidth="1"/>
    <col min="3607" max="3607" width="6.140625" style="733" customWidth="1"/>
    <col min="3608" max="3842" width="9.140625" style="733"/>
    <col min="3843" max="3843" width="3.7109375" style="733" customWidth="1"/>
    <col min="3844" max="3844" width="14.42578125" style="733" customWidth="1"/>
    <col min="3845" max="3845" width="3.7109375" style="733" customWidth="1"/>
    <col min="3846" max="3846" width="22.7109375" style="733" customWidth="1"/>
    <col min="3847" max="3847" width="11.42578125" style="733" customWidth="1"/>
    <col min="3848" max="3848" width="5.42578125" style="733" customWidth="1"/>
    <col min="3849" max="3849" width="11.42578125" style="733" customWidth="1"/>
    <col min="3850" max="3850" width="5.42578125" style="733" customWidth="1"/>
    <col min="3851" max="3851" width="11.42578125" style="733" customWidth="1"/>
    <col min="3852" max="3852" width="5.42578125" style="733" customWidth="1"/>
    <col min="3853" max="3853" width="11.42578125" style="733" customWidth="1"/>
    <col min="3854" max="3856" width="5.42578125" style="733" customWidth="1"/>
    <col min="3857" max="3857" width="22.7109375" style="733" customWidth="1"/>
    <col min="3858" max="3858" width="5.85546875" style="733" customWidth="1"/>
    <col min="3859" max="3859" width="3.42578125" style="733" customWidth="1"/>
    <col min="3860" max="3860" width="11.5703125" style="733" bestFit="1" customWidth="1"/>
    <col min="3861" max="3861" width="5.5703125" style="733" customWidth="1"/>
    <col min="3862" max="3862" width="11" style="733" bestFit="1" customWidth="1"/>
    <col min="3863" max="3863" width="6.140625" style="733" customWidth="1"/>
    <col min="3864" max="4098" width="9.140625" style="733"/>
    <col min="4099" max="4099" width="3.7109375" style="733" customWidth="1"/>
    <col min="4100" max="4100" width="14.42578125" style="733" customWidth="1"/>
    <col min="4101" max="4101" width="3.7109375" style="733" customWidth="1"/>
    <col min="4102" max="4102" width="22.7109375" style="733" customWidth="1"/>
    <col min="4103" max="4103" width="11.42578125" style="733" customWidth="1"/>
    <col min="4104" max="4104" width="5.42578125" style="733" customWidth="1"/>
    <col min="4105" max="4105" width="11.42578125" style="733" customWidth="1"/>
    <col min="4106" max="4106" width="5.42578125" style="733" customWidth="1"/>
    <col min="4107" max="4107" width="11.42578125" style="733" customWidth="1"/>
    <col min="4108" max="4108" width="5.42578125" style="733" customWidth="1"/>
    <col min="4109" max="4109" width="11.42578125" style="733" customWidth="1"/>
    <col min="4110" max="4112" width="5.42578125" style="733" customWidth="1"/>
    <col min="4113" max="4113" width="22.7109375" style="733" customWidth="1"/>
    <col min="4114" max="4114" width="5.85546875" style="733" customWidth="1"/>
    <col min="4115" max="4115" width="3.42578125" style="733" customWidth="1"/>
    <col min="4116" max="4116" width="11.5703125" style="733" bestFit="1" customWidth="1"/>
    <col min="4117" max="4117" width="5.5703125" style="733" customWidth="1"/>
    <col min="4118" max="4118" width="11" style="733" bestFit="1" customWidth="1"/>
    <col min="4119" max="4119" width="6.140625" style="733" customWidth="1"/>
    <col min="4120" max="4354" width="9.140625" style="733"/>
    <col min="4355" max="4355" width="3.7109375" style="733" customWidth="1"/>
    <col min="4356" max="4356" width="14.42578125" style="733" customWidth="1"/>
    <col min="4357" max="4357" width="3.7109375" style="733" customWidth="1"/>
    <col min="4358" max="4358" width="22.7109375" style="733" customWidth="1"/>
    <col min="4359" max="4359" width="11.42578125" style="733" customWidth="1"/>
    <col min="4360" max="4360" width="5.42578125" style="733" customWidth="1"/>
    <col min="4361" max="4361" width="11.42578125" style="733" customWidth="1"/>
    <col min="4362" max="4362" width="5.42578125" style="733" customWidth="1"/>
    <col min="4363" max="4363" width="11.42578125" style="733" customWidth="1"/>
    <col min="4364" max="4364" width="5.42578125" style="733" customWidth="1"/>
    <col min="4365" max="4365" width="11.42578125" style="733" customWidth="1"/>
    <col min="4366" max="4368" width="5.42578125" style="733" customWidth="1"/>
    <col min="4369" max="4369" width="22.7109375" style="733" customWidth="1"/>
    <col min="4370" max="4370" width="5.85546875" style="733" customWidth="1"/>
    <col min="4371" max="4371" width="3.42578125" style="733" customWidth="1"/>
    <col min="4372" max="4372" width="11.5703125" style="733" bestFit="1" customWidth="1"/>
    <col min="4373" max="4373" width="5.5703125" style="733" customWidth="1"/>
    <col min="4374" max="4374" width="11" style="733" bestFit="1" customWidth="1"/>
    <col min="4375" max="4375" width="6.140625" style="733" customWidth="1"/>
    <col min="4376" max="4610" width="9.140625" style="733"/>
    <col min="4611" max="4611" width="3.7109375" style="733" customWidth="1"/>
    <col min="4612" max="4612" width="14.42578125" style="733" customWidth="1"/>
    <col min="4613" max="4613" width="3.7109375" style="733" customWidth="1"/>
    <col min="4614" max="4614" width="22.7109375" style="733" customWidth="1"/>
    <col min="4615" max="4615" width="11.42578125" style="733" customWidth="1"/>
    <col min="4616" max="4616" width="5.42578125" style="733" customWidth="1"/>
    <col min="4617" max="4617" width="11.42578125" style="733" customWidth="1"/>
    <col min="4618" max="4618" width="5.42578125" style="733" customWidth="1"/>
    <col min="4619" max="4619" width="11.42578125" style="733" customWidth="1"/>
    <col min="4620" max="4620" width="5.42578125" style="733" customWidth="1"/>
    <col min="4621" max="4621" width="11.42578125" style="733" customWidth="1"/>
    <col min="4622" max="4624" width="5.42578125" style="733" customWidth="1"/>
    <col min="4625" max="4625" width="22.7109375" style="733" customWidth="1"/>
    <col min="4626" max="4626" width="5.85546875" style="733" customWidth="1"/>
    <col min="4627" max="4627" width="3.42578125" style="733" customWidth="1"/>
    <col min="4628" max="4628" width="11.5703125" style="733" bestFit="1" customWidth="1"/>
    <col min="4629" max="4629" width="5.5703125" style="733" customWidth="1"/>
    <col min="4630" max="4630" width="11" style="733" bestFit="1" customWidth="1"/>
    <col min="4631" max="4631" width="6.140625" style="733" customWidth="1"/>
    <col min="4632" max="4866" width="9.140625" style="733"/>
    <col min="4867" max="4867" width="3.7109375" style="733" customWidth="1"/>
    <col min="4868" max="4868" width="14.42578125" style="733" customWidth="1"/>
    <col min="4869" max="4869" width="3.7109375" style="733" customWidth="1"/>
    <col min="4870" max="4870" width="22.7109375" style="733" customWidth="1"/>
    <col min="4871" max="4871" width="11.42578125" style="733" customWidth="1"/>
    <col min="4872" max="4872" width="5.42578125" style="733" customWidth="1"/>
    <col min="4873" max="4873" width="11.42578125" style="733" customWidth="1"/>
    <col min="4874" max="4874" width="5.42578125" style="733" customWidth="1"/>
    <col min="4875" max="4875" width="11.42578125" style="733" customWidth="1"/>
    <col min="4876" max="4876" width="5.42578125" style="733" customWidth="1"/>
    <col min="4877" max="4877" width="11.42578125" style="733" customWidth="1"/>
    <col min="4878" max="4880" width="5.42578125" style="733" customWidth="1"/>
    <col min="4881" max="4881" width="22.7109375" style="733" customWidth="1"/>
    <col min="4882" max="4882" width="5.85546875" style="733" customWidth="1"/>
    <col min="4883" max="4883" width="3.42578125" style="733" customWidth="1"/>
    <col min="4884" max="4884" width="11.5703125" style="733" bestFit="1" customWidth="1"/>
    <col min="4885" max="4885" width="5.5703125" style="733" customWidth="1"/>
    <col min="4886" max="4886" width="11" style="733" bestFit="1" customWidth="1"/>
    <col min="4887" max="4887" width="6.140625" style="733" customWidth="1"/>
    <col min="4888" max="5122" width="9.140625" style="733"/>
    <col min="5123" max="5123" width="3.7109375" style="733" customWidth="1"/>
    <col min="5124" max="5124" width="14.42578125" style="733" customWidth="1"/>
    <col min="5125" max="5125" width="3.7109375" style="733" customWidth="1"/>
    <col min="5126" max="5126" width="22.7109375" style="733" customWidth="1"/>
    <col min="5127" max="5127" width="11.42578125" style="733" customWidth="1"/>
    <col min="5128" max="5128" width="5.42578125" style="733" customWidth="1"/>
    <col min="5129" max="5129" width="11.42578125" style="733" customWidth="1"/>
    <col min="5130" max="5130" width="5.42578125" style="733" customWidth="1"/>
    <col min="5131" max="5131" width="11.42578125" style="733" customWidth="1"/>
    <col min="5132" max="5132" width="5.42578125" style="733" customWidth="1"/>
    <col min="5133" max="5133" width="11.42578125" style="733" customWidth="1"/>
    <col min="5134" max="5136" width="5.42578125" style="733" customWidth="1"/>
    <col min="5137" max="5137" width="22.7109375" style="733" customWidth="1"/>
    <col min="5138" max="5138" width="5.85546875" style="733" customWidth="1"/>
    <col min="5139" max="5139" width="3.42578125" style="733" customWidth="1"/>
    <col min="5140" max="5140" width="11.5703125" style="733" bestFit="1" customWidth="1"/>
    <col min="5141" max="5141" width="5.5703125" style="733" customWidth="1"/>
    <col min="5142" max="5142" width="11" style="733" bestFit="1" customWidth="1"/>
    <col min="5143" max="5143" width="6.140625" style="733" customWidth="1"/>
    <col min="5144" max="5378" width="9.140625" style="733"/>
    <col min="5379" max="5379" width="3.7109375" style="733" customWidth="1"/>
    <col min="5380" max="5380" width="14.42578125" style="733" customWidth="1"/>
    <col min="5381" max="5381" width="3.7109375" style="733" customWidth="1"/>
    <col min="5382" max="5382" width="22.7109375" style="733" customWidth="1"/>
    <col min="5383" max="5383" width="11.42578125" style="733" customWidth="1"/>
    <col min="5384" max="5384" width="5.42578125" style="733" customWidth="1"/>
    <col min="5385" max="5385" width="11.42578125" style="733" customWidth="1"/>
    <col min="5386" max="5386" width="5.42578125" style="733" customWidth="1"/>
    <col min="5387" max="5387" width="11.42578125" style="733" customWidth="1"/>
    <col min="5388" max="5388" width="5.42578125" style="733" customWidth="1"/>
    <col min="5389" max="5389" width="11.42578125" style="733" customWidth="1"/>
    <col min="5390" max="5392" width="5.42578125" style="733" customWidth="1"/>
    <col min="5393" max="5393" width="22.7109375" style="733" customWidth="1"/>
    <col min="5394" max="5394" width="5.85546875" style="733" customWidth="1"/>
    <col min="5395" max="5395" width="3.42578125" style="733" customWidth="1"/>
    <col min="5396" max="5396" width="11.5703125" style="733" bestFit="1" customWidth="1"/>
    <col min="5397" max="5397" width="5.5703125" style="733" customWidth="1"/>
    <col min="5398" max="5398" width="11" style="733" bestFit="1" customWidth="1"/>
    <col min="5399" max="5399" width="6.140625" style="733" customWidth="1"/>
    <col min="5400" max="5634" width="9.140625" style="733"/>
    <col min="5635" max="5635" width="3.7109375" style="733" customWidth="1"/>
    <col min="5636" max="5636" width="14.42578125" style="733" customWidth="1"/>
    <col min="5637" max="5637" width="3.7109375" style="733" customWidth="1"/>
    <col min="5638" max="5638" width="22.7109375" style="733" customWidth="1"/>
    <col min="5639" max="5639" width="11.42578125" style="733" customWidth="1"/>
    <col min="5640" max="5640" width="5.42578125" style="733" customWidth="1"/>
    <col min="5641" max="5641" width="11.42578125" style="733" customWidth="1"/>
    <col min="5642" max="5642" width="5.42578125" style="733" customWidth="1"/>
    <col min="5643" max="5643" width="11.42578125" style="733" customWidth="1"/>
    <col min="5644" max="5644" width="5.42578125" style="733" customWidth="1"/>
    <col min="5645" max="5645" width="11.42578125" style="733" customWidth="1"/>
    <col min="5646" max="5648" width="5.42578125" style="733" customWidth="1"/>
    <col min="5649" max="5649" width="22.7109375" style="733" customWidth="1"/>
    <col min="5650" max="5650" width="5.85546875" style="733" customWidth="1"/>
    <col min="5651" max="5651" width="3.42578125" style="733" customWidth="1"/>
    <col min="5652" max="5652" width="11.5703125" style="733" bestFit="1" customWidth="1"/>
    <col min="5653" max="5653" width="5.5703125" style="733" customWidth="1"/>
    <col min="5654" max="5654" width="11" style="733" bestFit="1" customWidth="1"/>
    <col min="5655" max="5655" width="6.140625" style="733" customWidth="1"/>
    <col min="5656" max="5890" width="9.140625" style="733"/>
    <col min="5891" max="5891" width="3.7109375" style="733" customWidth="1"/>
    <col min="5892" max="5892" width="14.42578125" style="733" customWidth="1"/>
    <col min="5893" max="5893" width="3.7109375" style="733" customWidth="1"/>
    <col min="5894" max="5894" width="22.7109375" style="733" customWidth="1"/>
    <col min="5895" max="5895" width="11.42578125" style="733" customWidth="1"/>
    <col min="5896" max="5896" width="5.42578125" style="733" customWidth="1"/>
    <col min="5897" max="5897" width="11.42578125" style="733" customWidth="1"/>
    <col min="5898" max="5898" width="5.42578125" style="733" customWidth="1"/>
    <col min="5899" max="5899" width="11.42578125" style="733" customWidth="1"/>
    <col min="5900" max="5900" width="5.42578125" style="733" customWidth="1"/>
    <col min="5901" max="5901" width="11.42578125" style="733" customWidth="1"/>
    <col min="5902" max="5904" width="5.42578125" style="733" customWidth="1"/>
    <col min="5905" max="5905" width="22.7109375" style="733" customWidth="1"/>
    <col min="5906" max="5906" width="5.85546875" style="733" customWidth="1"/>
    <col min="5907" max="5907" width="3.42578125" style="733" customWidth="1"/>
    <col min="5908" max="5908" width="11.5703125" style="733" bestFit="1" customWidth="1"/>
    <col min="5909" max="5909" width="5.5703125" style="733" customWidth="1"/>
    <col min="5910" max="5910" width="11" style="733" bestFit="1" customWidth="1"/>
    <col min="5911" max="5911" width="6.140625" style="733" customWidth="1"/>
    <col min="5912" max="6146" width="9.140625" style="733"/>
    <col min="6147" max="6147" width="3.7109375" style="733" customWidth="1"/>
    <col min="6148" max="6148" width="14.42578125" style="733" customWidth="1"/>
    <col min="6149" max="6149" width="3.7109375" style="733" customWidth="1"/>
    <col min="6150" max="6150" width="22.7109375" style="733" customWidth="1"/>
    <col min="6151" max="6151" width="11.42578125" style="733" customWidth="1"/>
    <col min="6152" max="6152" width="5.42578125" style="733" customWidth="1"/>
    <col min="6153" max="6153" width="11.42578125" style="733" customWidth="1"/>
    <col min="6154" max="6154" width="5.42578125" style="733" customWidth="1"/>
    <col min="6155" max="6155" width="11.42578125" style="733" customWidth="1"/>
    <col min="6156" max="6156" width="5.42578125" style="733" customWidth="1"/>
    <col min="6157" max="6157" width="11.42578125" style="733" customWidth="1"/>
    <col min="6158" max="6160" width="5.42578125" style="733" customWidth="1"/>
    <col min="6161" max="6161" width="22.7109375" style="733" customWidth="1"/>
    <col min="6162" max="6162" width="5.85546875" style="733" customWidth="1"/>
    <col min="6163" max="6163" width="3.42578125" style="733" customWidth="1"/>
    <col min="6164" max="6164" width="11.5703125" style="733" bestFit="1" customWidth="1"/>
    <col min="6165" max="6165" width="5.5703125" style="733" customWidth="1"/>
    <col min="6166" max="6166" width="11" style="733" bestFit="1" customWidth="1"/>
    <col min="6167" max="6167" width="6.140625" style="733" customWidth="1"/>
    <col min="6168" max="6402" width="9.140625" style="733"/>
    <col min="6403" max="6403" width="3.7109375" style="733" customWidth="1"/>
    <col min="6404" max="6404" width="14.42578125" style="733" customWidth="1"/>
    <col min="6405" max="6405" width="3.7109375" style="733" customWidth="1"/>
    <col min="6406" max="6406" width="22.7109375" style="733" customWidth="1"/>
    <col min="6407" max="6407" width="11.42578125" style="733" customWidth="1"/>
    <col min="6408" max="6408" width="5.42578125" style="733" customWidth="1"/>
    <col min="6409" max="6409" width="11.42578125" style="733" customWidth="1"/>
    <col min="6410" max="6410" width="5.42578125" style="733" customWidth="1"/>
    <col min="6411" max="6411" width="11.42578125" style="733" customWidth="1"/>
    <col min="6412" max="6412" width="5.42578125" style="733" customWidth="1"/>
    <col min="6413" max="6413" width="11.42578125" style="733" customWidth="1"/>
    <col min="6414" max="6416" width="5.42578125" style="733" customWidth="1"/>
    <col min="6417" max="6417" width="22.7109375" style="733" customWidth="1"/>
    <col min="6418" max="6418" width="5.85546875" style="733" customWidth="1"/>
    <col min="6419" max="6419" width="3.42578125" style="733" customWidth="1"/>
    <col min="6420" max="6420" width="11.5703125" style="733" bestFit="1" customWidth="1"/>
    <col min="6421" max="6421" width="5.5703125" style="733" customWidth="1"/>
    <col min="6422" max="6422" width="11" style="733" bestFit="1" customWidth="1"/>
    <col min="6423" max="6423" width="6.140625" style="733" customWidth="1"/>
    <col min="6424" max="6658" width="9.140625" style="733"/>
    <col min="6659" max="6659" width="3.7109375" style="733" customWidth="1"/>
    <col min="6660" max="6660" width="14.42578125" style="733" customWidth="1"/>
    <col min="6661" max="6661" width="3.7109375" style="733" customWidth="1"/>
    <col min="6662" max="6662" width="22.7109375" style="733" customWidth="1"/>
    <col min="6663" max="6663" width="11.42578125" style="733" customWidth="1"/>
    <col min="6664" max="6664" width="5.42578125" style="733" customWidth="1"/>
    <col min="6665" max="6665" width="11.42578125" style="733" customWidth="1"/>
    <col min="6666" max="6666" width="5.42578125" style="733" customWidth="1"/>
    <col min="6667" max="6667" width="11.42578125" style="733" customWidth="1"/>
    <col min="6668" max="6668" width="5.42578125" style="733" customWidth="1"/>
    <col min="6669" max="6669" width="11.42578125" style="733" customWidth="1"/>
    <col min="6670" max="6672" width="5.42578125" style="733" customWidth="1"/>
    <col min="6673" max="6673" width="22.7109375" style="733" customWidth="1"/>
    <col min="6674" max="6674" width="5.85546875" style="733" customWidth="1"/>
    <col min="6675" max="6675" width="3.42578125" style="733" customWidth="1"/>
    <col min="6676" max="6676" width="11.5703125" style="733" bestFit="1" customWidth="1"/>
    <col min="6677" max="6677" width="5.5703125" style="733" customWidth="1"/>
    <col min="6678" max="6678" width="11" style="733" bestFit="1" customWidth="1"/>
    <col min="6679" max="6679" width="6.140625" style="733" customWidth="1"/>
    <col min="6680" max="6914" width="9.140625" style="733"/>
    <col min="6915" max="6915" width="3.7109375" style="733" customWidth="1"/>
    <col min="6916" max="6916" width="14.42578125" style="733" customWidth="1"/>
    <col min="6917" max="6917" width="3.7109375" style="733" customWidth="1"/>
    <col min="6918" max="6918" width="22.7109375" style="733" customWidth="1"/>
    <col min="6919" max="6919" width="11.42578125" style="733" customWidth="1"/>
    <col min="6920" max="6920" width="5.42578125" style="733" customWidth="1"/>
    <col min="6921" max="6921" width="11.42578125" style="733" customWidth="1"/>
    <col min="6922" max="6922" width="5.42578125" style="733" customWidth="1"/>
    <col min="6923" max="6923" width="11.42578125" style="733" customWidth="1"/>
    <col min="6924" max="6924" width="5.42578125" style="733" customWidth="1"/>
    <col min="6925" max="6925" width="11.42578125" style="733" customWidth="1"/>
    <col min="6926" max="6928" width="5.42578125" style="733" customWidth="1"/>
    <col min="6929" max="6929" width="22.7109375" style="733" customWidth="1"/>
    <col min="6930" max="6930" width="5.85546875" style="733" customWidth="1"/>
    <col min="6931" max="6931" width="3.42578125" style="733" customWidth="1"/>
    <col min="6932" max="6932" width="11.5703125" style="733" bestFit="1" customWidth="1"/>
    <col min="6933" max="6933" width="5.5703125" style="733" customWidth="1"/>
    <col min="6934" max="6934" width="11" style="733" bestFit="1" customWidth="1"/>
    <col min="6935" max="6935" width="6.140625" style="733" customWidth="1"/>
    <col min="6936" max="7170" width="9.140625" style="733"/>
    <col min="7171" max="7171" width="3.7109375" style="733" customWidth="1"/>
    <col min="7172" max="7172" width="14.42578125" style="733" customWidth="1"/>
    <col min="7173" max="7173" width="3.7109375" style="733" customWidth="1"/>
    <col min="7174" max="7174" width="22.7109375" style="733" customWidth="1"/>
    <col min="7175" max="7175" width="11.42578125" style="733" customWidth="1"/>
    <col min="7176" max="7176" width="5.42578125" style="733" customWidth="1"/>
    <col min="7177" max="7177" width="11.42578125" style="733" customWidth="1"/>
    <col min="7178" max="7178" width="5.42578125" style="733" customWidth="1"/>
    <col min="7179" max="7179" width="11.42578125" style="733" customWidth="1"/>
    <col min="7180" max="7180" width="5.42578125" style="733" customWidth="1"/>
    <col min="7181" max="7181" width="11.42578125" style="733" customWidth="1"/>
    <col min="7182" max="7184" width="5.42578125" style="733" customWidth="1"/>
    <col min="7185" max="7185" width="22.7109375" style="733" customWidth="1"/>
    <col min="7186" max="7186" width="5.85546875" style="733" customWidth="1"/>
    <col min="7187" max="7187" width="3.42578125" style="733" customWidth="1"/>
    <col min="7188" max="7188" width="11.5703125" style="733" bestFit="1" customWidth="1"/>
    <col min="7189" max="7189" width="5.5703125" style="733" customWidth="1"/>
    <col min="7190" max="7190" width="11" style="733" bestFit="1" customWidth="1"/>
    <col min="7191" max="7191" width="6.140625" style="733" customWidth="1"/>
    <col min="7192" max="7426" width="9.140625" style="733"/>
    <col min="7427" max="7427" width="3.7109375" style="733" customWidth="1"/>
    <col min="7428" max="7428" width="14.42578125" style="733" customWidth="1"/>
    <col min="7429" max="7429" width="3.7109375" style="733" customWidth="1"/>
    <col min="7430" max="7430" width="22.7109375" style="733" customWidth="1"/>
    <col min="7431" max="7431" width="11.42578125" style="733" customWidth="1"/>
    <col min="7432" max="7432" width="5.42578125" style="733" customWidth="1"/>
    <col min="7433" max="7433" width="11.42578125" style="733" customWidth="1"/>
    <col min="7434" max="7434" width="5.42578125" style="733" customWidth="1"/>
    <col min="7435" max="7435" width="11.42578125" style="733" customWidth="1"/>
    <col min="7436" max="7436" width="5.42578125" style="733" customWidth="1"/>
    <col min="7437" max="7437" width="11.42578125" style="733" customWidth="1"/>
    <col min="7438" max="7440" width="5.42578125" style="733" customWidth="1"/>
    <col min="7441" max="7441" width="22.7109375" style="733" customWidth="1"/>
    <col min="7442" max="7442" width="5.85546875" style="733" customWidth="1"/>
    <col min="7443" max="7443" width="3.42578125" style="733" customWidth="1"/>
    <col min="7444" max="7444" width="11.5703125" style="733" bestFit="1" customWidth="1"/>
    <col min="7445" max="7445" width="5.5703125" style="733" customWidth="1"/>
    <col min="7446" max="7446" width="11" style="733" bestFit="1" customWidth="1"/>
    <col min="7447" max="7447" width="6.140625" style="733" customWidth="1"/>
    <col min="7448" max="7682" width="9.140625" style="733"/>
    <col min="7683" max="7683" width="3.7109375" style="733" customWidth="1"/>
    <col min="7684" max="7684" width="14.42578125" style="733" customWidth="1"/>
    <col min="7685" max="7685" width="3.7109375" style="733" customWidth="1"/>
    <col min="7686" max="7686" width="22.7109375" style="733" customWidth="1"/>
    <col min="7687" max="7687" width="11.42578125" style="733" customWidth="1"/>
    <col min="7688" max="7688" width="5.42578125" style="733" customWidth="1"/>
    <col min="7689" max="7689" width="11.42578125" style="733" customWidth="1"/>
    <col min="7690" max="7690" width="5.42578125" style="733" customWidth="1"/>
    <col min="7691" max="7691" width="11.42578125" style="733" customWidth="1"/>
    <col min="7692" max="7692" width="5.42578125" style="733" customWidth="1"/>
    <col min="7693" max="7693" width="11.42578125" style="733" customWidth="1"/>
    <col min="7694" max="7696" width="5.42578125" style="733" customWidth="1"/>
    <col min="7697" max="7697" width="22.7109375" style="733" customWidth="1"/>
    <col min="7698" max="7698" width="5.85546875" style="733" customWidth="1"/>
    <col min="7699" max="7699" width="3.42578125" style="733" customWidth="1"/>
    <col min="7700" max="7700" width="11.5703125" style="733" bestFit="1" customWidth="1"/>
    <col min="7701" max="7701" width="5.5703125" style="733" customWidth="1"/>
    <col min="7702" max="7702" width="11" style="733" bestFit="1" customWidth="1"/>
    <col min="7703" max="7703" width="6.140625" style="733" customWidth="1"/>
    <col min="7704" max="7938" width="9.140625" style="733"/>
    <col min="7939" max="7939" width="3.7109375" style="733" customWidth="1"/>
    <col min="7940" max="7940" width="14.42578125" style="733" customWidth="1"/>
    <col min="7941" max="7941" width="3.7109375" style="733" customWidth="1"/>
    <col min="7942" max="7942" width="22.7109375" style="733" customWidth="1"/>
    <col min="7943" max="7943" width="11.42578125" style="733" customWidth="1"/>
    <col min="7944" max="7944" width="5.42578125" style="733" customWidth="1"/>
    <col min="7945" max="7945" width="11.42578125" style="733" customWidth="1"/>
    <col min="7946" max="7946" width="5.42578125" style="733" customWidth="1"/>
    <col min="7947" max="7947" width="11.42578125" style="733" customWidth="1"/>
    <col min="7948" max="7948" width="5.42578125" style="733" customWidth="1"/>
    <col min="7949" max="7949" width="11.42578125" style="733" customWidth="1"/>
    <col min="7950" max="7952" width="5.42578125" style="733" customWidth="1"/>
    <col min="7953" max="7953" width="22.7109375" style="733" customWidth="1"/>
    <col min="7954" max="7954" width="5.85546875" style="733" customWidth="1"/>
    <col min="7955" max="7955" width="3.42578125" style="733" customWidth="1"/>
    <col min="7956" max="7956" width="11.5703125" style="733" bestFit="1" customWidth="1"/>
    <col min="7957" max="7957" width="5.5703125" style="733" customWidth="1"/>
    <col min="7958" max="7958" width="11" style="733" bestFit="1" customWidth="1"/>
    <col min="7959" max="7959" width="6.140625" style="733" customWidth="1"/>
    <col min="7960" max="8194" width="9.140625" style="733"/>
    <col min="8195" max="8195" width="3.7109375" style="733" customWidth="1"/>
    <col min="8196" max="8196" width="14.42578125" style="733" customWidth="1"/>
    <col min="8197" max="8197" width="3.7109375" style="733" customWidth="1"/>
    <col min="8198" max="8198" width="22.7109375" style="733" customWidth="1"/>
    <col min="8199" max="8199" width="11.42578125" style="733" customWidth="1"/>
    <col min="8200" max="8200" width="5.42578125" style="733" customWidth="1"/>
    <col min="8201" max="8201" width="11.42578125" style="733" customWidth="1"/>
    <col min="8202" max="8202" width="5.42578125" style="733" customWidth="1"/>
    <col min="8203" max="8203" width="11.42578125" style="733" customWidth="1"/>
    <col min="8204" max="8204" width="5.42578125" style="733" customWidth="1"/>
    <col min="8205" max="8205" width="11.42578125" style="733" customWidth="1"/>
    <col min="8206" max="8208" width="5.42578125" style="733" customWidth="1"/>
    <col min="8209" max="8209" width="22.7109375" style="733" customWidth="1"/>
    <col min="8210" max="8210" width="5.85546875" style="733" customWidth="1"/>
    <col min="8211" max="8211" width="3.42578125" style="733" customWidth="1"/>
    <col min="8212" max="8212" width="11.5703125" style="733" bestFit="1" customWidth="1"/>
    <col min="8213" max="8213" width="5.5703125" style="733" customWidth="1"/>
    <col min="8214" max="8214" width="11" style="733" bestFit="1" customWidth="1"/>
    <col min="8215" max="8215" width="6.140625" style="733" customWidth="1"/>
    <col min="8216" max="8450" width="9.140625" style="733"/>
    <col min="8451" max="8451" width="3.7109375" style="733" customWidth="1"/>
    <col min="8452" max="8452" width="14.42578125" style="733" customWidth="1"/>
    <col min="8453" max="8453" width="3.7109375" style="733" customWidth="1"/>
    <col min="8454" max="8454" width="22.7109375" style="733" customWidth="1"/>
    <col min="8455" max="8455" width="11.42578125" style="733" customWidth="1"/>
    <col min="8456" max="8456" width="5.42578125" style="733" customWidth="1"/>
    <col min="8457" max="8457" width="11.42578125" style="733" customWidth="1"/>
    <col min="8458" max="8458" width="5.42578125" style="733" customWidth="1"/>
    <col min="8459" max="8459" width="11.42578125" style="733" customWidth="1"/>
    <col min="8460" max="8460" width="5.42578125" style="733" customWidth="1"/>
    <col min="8461" max="8461" width="11.42578125" style="733" customWidth="1"/>
    <col min="8462" max="8464" width="5.42578125" style="733" customWidth="1"/>
    <col min="8465" max="8465" width="22.7109375" style="733" customWidth="1"/>
    <col min="8466" max="8466" width="5.85546875" style="733" customWidth="1"/>
    <col min="8467" max="8467" width="3.42578125" style="733" customWidth="1"/>
    <col min="8468" max="8468" width="11.5703125" style="733" bestFit="1" customWidth="1"/>
    <col min="8469" max="8469" width="5.5703125" style="733" customWidth="1"/>
    <col min="8470" max="8470" width="11" style="733" bestFit="1" customWidth="1"/>
    <col min="8471" max="8471" width="6.140625" style="733" customWidth="1"/>
    <col min="8472" max="8706" width="9.140625" style="733"/>
    <col min="8707" max="8707" width="3.7109375" style="733" customWidth="1"/>
    <col min="8708" max="8708" width="14.42578125" style="733" customWidth="1"/>
    <col min="8709" max="8709" width="3.7109375" style="733" customWidth="1"/>
    <col min="8710" max="8710" width="22.7109375" style="733" customWidth="1"/>
    <col min="8711" max="8711" width="11.42578125" style="733" customWidth="1"/>
    <col min="8712" max="8712" width="5.42578125" style="733" customWidth="1"/>
    <col min="8713" max="8713" width="11.42578125" style="733" customWidth="1"/>
    <col min="8714" max="8714" width="5.42578125" style="733" customWidth="1"/>
    <col min="8715" max="8715" width="11.42578125" style="733" customWidth="1"/>
    <col min="8716" max="8716" width="5.42578125" style="733" customWidth="1"/>
    <col min="8717" max="8717" width="11.42578125" style="733" customWidth="1"/>
    <col min="8718" max="8720" width="5.42578125" style="733" customWidth="1"/>
    <col min="8721" max="8721" width="22.7109375" style="733" customWidth="1"/>
    <col min="8722" max="8722" width="5.85546875" style="733" customWidth="1"/>
    <col min="8723" max="8723" width="3.42578125" style="733" customWidth="1"/>
    <col min="8724" max="8724" width="11.5703125" style="733" bestFit="1" customWidth="1"/>
    <col min="8725" max="8725" width="5.5703125" style="733" customWidth="1"/>
    <col min="8726" max="8726" width="11" style="733" bestFit="1" customWidth="1"/>
    <col min="8727" max="8727" width="6.140625" style="733" customWidth="1"/>
    <col min="8728" max="8962" width="9.140625" style="733"/>
    <col min="8963" max="8963" width="3.7109375" style="733" customWidth="1"/>
    <col min="8964" max="8964" width="14.42578125" style="733" customWidth="1"/>
    <col min="8965" max="8965" width="3.7109375" style="733" customWidth="1"/>
    <col min="8966" max="8966" width="22.7109375" style="733" customWidth="1"/>
    <col min="8967" max="8967" width="11.42578125" style="733" customWidth="1"/>
    <col min="8968" max="8968" width="5.42578125" style="733" customWidth="1"/>
    <col min="8969" max="8969" width="11.42578125" style="733" customWidth="1"/>
    <col min="8970" max="8970" width="5.42578125" style="733" customWidth="1"/>
    <col min="8971" max="8971" width="11.42578125" style="733" customWidth="1"/>
    <col min="8972" max="8972" width="5.42578125" style="733" customWidth="1"/>
    <col min="8973" max="8973" width="11.42578125" style="733" customWidth="1"/>
    <col min="8974" max="8976" width="5.42578125" style="733" customWidth="1"/>
    <col min="8977" max="8977" width="22.7109375" style="733" customWidth="1"/>
    <col min="8978" max="8978" width="5.85546875" style="733" customWidth="1"/>
    <col min="8979" max="8979" width="3.42578125" style="733" customWidth="1"/>
    <col min="8980" max="8980" width="11.5703125" style="733" bestFit="1" customWidth="1"/>
    <col min="8981" max="8981" width="5.5703125" style="733" customWidth="1"/>
    <col min="8982" max="8982" width="11" style="733" bestFit="1" customWidth="1"/>
    <col min="8983" max="8983" width="6.140625" style="733" customWidth="1"/>
    <col min="8984" max="9218" width="9.140625" style="733"/>
    <col min="9219" max="9219" width="3.7109375" style="733" customWidth="1"/>
    <col min="9220" max="9220" width="14.42578125" style="733" customWidth="1"/>
    <col min="9221" max="9221" width="3.7109375" style="733" customWidth="1"/>
    <col min="9222" max="9222" width="22.7109375" style="733" customWidth="1"/>
    <col min="9223" max="9223" width="11.42578125" style="733" customWidth="1"/>
    <col min="9224" max="9224" width="5.42578125" style="733" customWidth="1"/>
    <col min="9225" max="9225" width="11.42578125" style="733" customWidth="1"/>
    <col min="9226" max="9226" width="5.42578125" style="733" customWidth="1"/>
    <col min="9227" max="9227" width="11.42578125" style="733" customWidth="1"/>
    <col min="9228" max="9228" width="5.42578125" style="733" customWidth="1"/>
    <col min="9229" max="9229" width="11.42578125" style="733" customWidth="1"/>
    <col min="9230" max="9232" width="5.42578125" style="733" customWidth="1"/>
    <col min="9233" max="9233" width="22.7109375" style="733" customWidth="1"/>
    <col min="9234" max="9234" width="5.85546875" style="733" customWidth="1"/>
    <col min="9235" max="9235" width="3.42578125" style="733" customWidth="1"/>
    <col min="9236" max="9236" width="11.5703125" style="733" bestFit="1" customWidth="1"/>
    <col min="9237" max="9237" width="5.5703125" style="733" customWidth="1"/>
    <col min="9238" max="9238" width="11" style="733" bestFit="1" customWidth="1"/>
    <col min="9239" max="9239" width="6.140625" style="733" customWidth="1"/>
    <col min="9240" max="9474" width="9.140625" style="733"/>
    <col min="9475" max="9475" width="3.7109375" style="733" customWidth="1"/>
    <col min="9476" max="9476" width="14.42578125" style="733" customWidth="1"/>
    <col min="9477" max="9477" width="3.7109375" style="733" customWidth="1"/>
    <col min="9478" max="9478" width="22.7109375" style="733" customWidth="1"/>
    <col min="9479" max="9479" width="11.42578125" style="733" customWidth="1"/>
    <col min="9480" max="9480" width="5.42578125" style="733" customWidth="1"/>
    <col min="9481" max="9481" width="11.42578125" style="733" customWidth="1"/>
    <col min="9482" max="9482" width="5.42578125" style="733" customWidth="1"/>
    <col min="9483" max="9483" width="11.42578125" style="733" customWidth="1"/>
    <col min="9484" max="9484" width="5.42578125" style="733" customWidth="1"/>
    <col min="9485" max="9485" width="11.42578125" style="733" customWidth="1"/>
    <col min="9486" max="9488" width="5.42578125" style="733" customWidth="1"/>
    <col min="9489" max="9489" width="22.7109375" style="733" customWidth="1"/>
    <col min="9490" max="9490" width="5.85546875" style="733" customWidth="1"/>
    <col min="9491" max="9491" width="3.42578125" style="733" customWidth="1"/>
    <col min="9492" max="9492" width="11.5703125" style="733" bestFit="1" customWidth="1"/>
    <col min="9493" max="9493" width="5.5703125" style="733" customWidth="1"/>
    <col min="9494" max="9494" width="11" style="733" bestFit="1" customWidth="1"/>
    <col min="9495" max="9495" width="6.140625" style="733" customWidth="1"/>
    <col min="9496" max="9730" width="9.140625" style="733"/>
    <col min="9731" max="9731" width="3.7109375" style="733" customWidth="1"/>
    <col min="9732" max="9732" width="14.42578125" style="733" customWidth="1"/>
    <col min="9733" max="9733" width="3.7109375" style="733" customWidth="1"/>
    <col min="9734" max="9734" width="22.7109375" style="733" customWidth="1"/>
    <col min="9735" max="9735" width="11.42578125" style="733" customWidth="1"/>
    <col min="9736" max="9736" width="5.42578125" style="733" customWidth="1"/>
    <col min="9737" max="9737" width="11.42578125" style="733" customWidth="1"/>
    <col min="9738" max="9738" width="5.42578125" style="733" customWidth="1"/>
    <col min="9739" max="9739" width="11.42578125" style="733" customWidth="1"/>
    <col min="9740" max="9740" width="5.42578125" style="733" customWidth="1"/>
    <col min="9741" max="9741" width="11.42578125" style="733" customWidth="1"/>
    <col min="9742" max="9744" width="5.42578125" style="733" customWidth="1"/>
    <col min="9745" max="9745" width="22.7109375" style="733" customWidth="1"/>
    <col min="9746" max="9746" width="5.85546875" style="733" customWidth="1"/>
    <col min="9747" max="9747" width="3.42578125" style="733" customWidth="1"/>
    <col min="9748" max="9748" width="11.5703125" style="733" bestFit="1" customWidth="1"/>
    <col min="9749" max="9749" width="5.5703125" style="733" customWidth="1"/>
    <col min="9750" max="9750" width="11" style="733" bestFit="1" customWidth="1"/>
    <col min="9751" max="9751" width="6.140625" style="733" customWidth="1"/>
    <col min="9752" max="9986" width="9.140625" style="733"/>
    <col min="9987" max="9987" width="3.7109375" style="733" customWidth="1"/>
    <col min="9988" max="9988" width="14.42578125" style="733" customWidth="1"/>
    <col min="9989" max="9989" width="3.7109375" style="733" customWidth="1"/>
    <col min="9990" max="9990" width="22.7109375" style="733" customWidth="1"/>
    <col min="9991" max="9991" width="11.42578125" style="733" customWidth="1"/>
    <col min="9992" max="9992" width="5.42578125" style="733" customWidth="1"/>
    <col min="9993" max="9993" width="11.42578125" style="733" customWidth="1"/>
    <col min="9994" max="9994" width="5.42578125" style="733" customWidth="1"/>
    <col min="9995" max="9995" width="11.42578125" style="733" customWidth="1"/>
    <col min="9996" max="9996" width="5.42578125" style="733" customWidth="1"/>
    <col min="9997" max="9997" width="11.42578125" style="733" customWidth="1"/>
    <col min="9998" max="10000" width="5.42578125" style="733" customWidth="1"/>
    <col min="10001" max="10001" width="22.7109375" style="733" customWidth="1"/>
    <col min="10002" max="10002" width="5.85546875" style="733" customWidth="1"/>
    <col min="10003" max="10003" width="3.42578125" style="733" customWidth="1"/>
    <col min="10004" max="10004" width="11.5703125" style="733" bestFit="1" customWidth="1"/>
    <col min="10005" max="10005" width="5.5703125" style="733" customWidth="1"/>
    <col min="10006" max="10006" width="11" style="733" bestFit="1" customWidth="1"/>
    <col min="10007" max="10007" width="6.140625" style="733" customWidth="1"/>
    <col min="10008" max="10242" width="9.140625" style="733"/>
    <col min="10243" max="10243" width="3.7109375" style="733" customWidth="1"/>
    <col min="10244" max="10244" width="14.42578125" style="733" customWidth="1"/>
    <col min="10245" max="10245" width="3.7109375" style="733" customWidth="1"/>
    <col min="10246" max="10246" width="22.7109375" style="733" customWidth="1"/>
    <col min="10247" max="10247" width="11.42578125" style="733" customWidth="1"/>
    <col min="10248" max="10248" width="5.42578125" style="733" customWidth="1"/>
    <col min="10249" max="10249" width="11.42578125" style="733" customWidth="1"/>
    <col min="10250" max="10250" width="5.42578125" style="733" customWidth="1"/>
    <col min="10251" max="10251" width="11.42578125" style="733" customWidth="1"/>
    <col min="10252" max="10252" width="5.42578125" style="733" customWidth="1"/>
    <col min="10253" max="10253" width="11.42578125" style="733" customWidth="1"/>
    <col min="10254" max="10256" width="5.42578125" style="733" customWidth="1"/>
    <col min="10257" max="10257" width="22.7109375" style="733" customWidth="1"/>
    <col min="10258" max="10258" width="5.85546875" style="733" customWidth="1"/>
    <col min="10259" max="10259" width="3.42578125" style="733" customWidth="1"/>
    <col min="10260" max="10260" width="11.5703125" style="733" bestFit="1" customWidth="1"/>
    <col min="10261" max="10261" width="5.5703125" style="733" customWidth="1"/>
    <col min="10262" max="10262" width="11" style="733" bestFit="1" customWidth="1"/>
    <col min="10263" max="10263" width="6.140625" style="733" customWidth="1"/>
    <col min="10264" max="10498" width="9.140625" style="733"/>
    <col min="10499" max="10499" width="3.7109375" style="733" customWidth="1"/>
    <col min="10500" max="10500" width="14.42578125" style="733" customWidth="1"/>
    <col min="10501" max="10501" width="3.7109375" style="733" customWidth="1"/>
    <col min="10502" max="10502" width="22.7109375" style="733" customWidth="1"/>
    <col min="10503" max="10503" width="11.42578125" style="733" customWidth="1"/>
    <col min="10504" max="10504" width="5.42578125" style="733" customWidth="1"/>
    <col min="10505" max="10505" width="11.42578125" style="733" customWidth="1"/>
    <col min="10506" max="10506" width="5.42578125" style="733" customWidth="1"/>
    <col min="10507" max="10507" width="11.42578125" style="733" customWidth="1"/>
    <col min="10508" max="10508" width="5.42578125" style="733" customWidth="1"/>
    <col min="10509" max="10509" width="11.42578125" style="733" customWidth="1"/>
    <col min="10510" max="10512" width="5.42578125" style="733" customWidth="1"/>
    <col min="10513" max="10513" width="22.7109375" style="733" customWidth="1"/>
    <col min="10514" max="10514" width="5.85546875" style="733" customWidth="1"/>
    <col min="10515" max="10515" width="3.42578125" style="733" customWidth="1"/>
    <col min="10516" max="10516" width="11.5703125" style="733" bestFit="1" customWidth="1"/>
    <col min="10517" max="10517" width="5.5703125" style="733" customWidth="1"/>
    <col min="10518" max="10518" width="11" style="733" bestFit="1" customWidth="1"/>
    <col min="10519" max="10519" width="6.140625" style="733" customWidth="1"/>
    <col min="10520" max="10754" width="9.140625" style="733"/>
    <col min="10755" max="10755" width="3.7109375" style="733" customWidth="1"/>
    <col min="10756" max="10756" width="14.42578125" style="733" customWidth="1"/>
    <col min="10757" max="10757" width="3.7109375" style="733" customWidth="1"/>
    <col min="10758" max="10758" width="22.7109375" style="733" customWidth="1"/>
    <col min="10759" max="10759" width="11.42578125" style="733" customWidth="1"/>
    <col min="10760" max="10760" width="5.42578125" style="733" customWidth="1"/>
    <col min="10761" max="10761" width="11.42578125" style="733" customWidth="1"/>
    <col min="10762" max="10762" width="5.42578125" style="733" customWidth="1"/>
    <col min="10763" max="10763" width="11.42578125" style="733" customWidth="1"/>
    <col min="10764" max="10764" width="5.42578125" style="733" customWidth="1"/>
    <col min="10765" max="10765" width="11.42578125" style="733" customWidth="1"/>
    <col min="10766" max="10768" width="5.42578125" style="733" customWidth="1"/>
    <col min="10769" max="10769" width="22.7109375" style="733" customWidth="1"/>
    <col min="10770" max="10770" width="5.85546875" style="733" customWidth="1"/>
    <col min="10771" max="10771" width="3.42578125" style="733" customWidth="1"/>
    <col min="10772" max="10772" width="11.5703125" style="733" bestFit="1" customWidth="1"/>
    <col min="10773" max="10773" width="5.5703125" style="733" customWidth="1"/>
    <col min="10774" max="10774" width="11" style="733" bestFit="1" customWidth="1"/>
    <col min="10775" max="10775" width="6.140625" style="733" customWidth="1"/>
    <col min="10776" max="11010" width="9.140625" style="733"/>
    <col min="11011" max="11011" width="3.7109375" style="733" customWidth="1"/>
    <col min="11012" max="11012" width="14.42578125" style="733" customWidth="1"/>
    <col min="11013" max="11013" width="3.7109375" style="733" customWidth="1"/>
    <col min="11014" max="11014" width="22.7109375" style="733" customWidth="1"/>
    <col min="11015" max="11015" width="11.42578125" style="733" customWidth="1"/>
    <col min="11016" max="11016" width="5.42578125" style="733" customWidth="1"/>
    <col min="11017" max="11017" width="11.42578125" style="733" customWidth="1"/>
    <col min="11018" max="11018" width="5.42578125" style="733" customWidth="1"/>
    <col min="11019" max="11019" width="11.42578125" style="733" customWidth="1"/>
    <col min="11020" max="11020" width="5.42578125" style="733" customWidth="1"/>
    <col min="11021" max="11021" width="11.42578125" style="733" customWidth="1"/>
    <col min="11022" max="11024" width="5.42578125" style="733" customWidth="1"/>
    <col min="11025" max="11025" width="22.7109375" style="733" customWidth="1"/>
    <col min="11026" max="11026" width="5.85546875" style="733" customWidth="1"/>
    <col min="11027" max="11027" width="3.42578125" style="733" customWidth="1"/>
    <col min="11028" max="11028" width="11.5703125" style="733" bestFit="1" customWidth="1"/>
    <col min="11029" max="11029" width="5.5703125" style="733" customWidth="1"/>
    <col min="11030" max="11030" width="11" style="733" bestFit="1" customWidth="1"/>
    <col min="11031" max="11031" width="6.140625" style="733" customWidth="1"/>
    <col min="11032" max="11266" width="9.140625" style="733"/>
    <col min="11267" max="11267" width="3.7109375" style="733" customWidth="1"/>
    <col min="11268" max="11268" width="14.42578125" style="733" customWidth="1"/>
    <col min="11269" max="11269" width="3.7109375" style="733" customWidth="1"/>
    <col min="11270" max="11270" width="22.7109375" style="733" customWidth="1"/>
    <col min="11271" max="11271" width="11.42578125" style="733" customWidth="1"/>
    <col min="11272" max="11272" width="5.42578125" style="733" customWidth="1"/>
    <col min="11273" max="11273" width="11.42578125" style="733" customWidth="1"/>
    <col min="11274" max="11274" width="5.42578125" style="733" customWidth="1"/>
    <col min="11275" max="11275" width="11.42578125" style="733" customWidth="1"/>
    <col min="11276" max="11276" width="5.42578125" style="733" customWidth="1"/>
    <col min="11277" max="11277" width="11.42578125" style="733" customWidth="1"/>
    <col min="11278" max="11280" width="5.42578125" style="733" customWidth="1"/>
    <col min="11281" max="11281" width="22.7109375" style="733" customWidth="1"/>
    <col min="11282" max="11282" width="5.85546875" style="733" customWidth="1"/>
    <col min="11283" max="11283" width="3.42578125" style="733" customWidth="1"/>
    <col min="11284" max="11284" width="11.5703125" style="733" bestFit="1" customWidth="1"/>
    <col min="11285" max="11285" width="5.5703125" style="733" customWidth="1"/>
    <col min="11286" max="11286" width="11" style="733" bestFit="1" customWidth="1"/>
    <col min="11287" max="11287" width="6.140625" style="733" customWidth="1"/>
    <col min="11288" max="11522" width="9.140625" style="733"/>
    <col min="11523" max="11523" width="3.7109375" style="733" customWidth="1"/>
    <col min="11524" max="11524" width="14.42578125" style="733" customWidth="1"/>
    <col min="11525" max="11525" width="3.7109375" style="733" customWidth="1"/>
    <col min="11526" max="11526" width="22.7109375" style="733" customWidth="1"/>
    <col min="11527" max="11527" width="11.42578125" style="733" customWidth="1"/>
    <col min="11528" max="11528" width="5.42578125" style="733" customWidth="1"/>
    <col min="11529" max="11529" width="11.42578125" style="733" customWidth="1"/>
    <col min="11530" max="11530" width="5.42578125" style="733" customWidth="1"/>
    <col min="11531" max="11531" width="11.42578125" style="733" customWidth="1"/>
    <col min="11532" max="11532" width="5.42578125" style="733" customWidth="1"/>
    <col min="11533" max="11533" width="11.42578125" style="733" customWidth="1"/>
    <col min="11534" max="11536" width="5.42578125" style="733" customWidth="1"/>
    <col min="11537" max="11537" width="22.7109375" style="733" customWidth="1"/>
    <col min="11538" max="11538" width="5.85546875" style="733" customWidth="1"/>
    <col min="11539" max="11539" width="3.42578125" style="733" customWidth="1"/>
    <col min="11540" max="11540" width="11.5703125" style="733" bestFit="1" customWidth="1"/>
    <col min="11541" max="11541" width="5.5703125" style="733" customWidth="1"/>
    <col min="11542" max="11542" width="11" style="733" bestFit="1" customWidth="1"/>
    <col min="11543" max="11543" width="6.140625" style="733" customWidth="1"/>
    <col min="11544" max="11778" width="9.140625" style="733"/>
    <col min="11779" max="11779" width="3.7109375" style="733" customWidth="1"/>
    <col min="11780" max="11780" width="14.42578125" style="733" customWidth="1"/>
    <col min="11781" max="11781" width="3.7109375" style="733" customWidth="1"/>
    <col min="11782" max="11782" width="22.7109375" style="733" customWidth="1"/>
    <col min="11783" max="11783" width="11.42578125" style="733" customWidth="1"/>
    <col min="11784" max="11784" width="5.42578125" style="733" customWidth="1"/>
    <col min="11785" max="11785" width="11.42578125" style="733" customWidth="1"/>
    <col min="11786" max="11786" width="5.42578125" style="733" customWidth="1"/>
    <col min="11787" max="11787" width="11.42578125" style="733" customWidth="1"/>
    <col min="11788" max="11788" width="5.42578125" style="733" customWidth="1"/>
    <col min="11789" max="11789" width="11.42578125" style="733" customWidth="1"/>
    <col min="11790" max="11792" width="5.42578125" style="733" customWidth="1"/>
    <col min="11793" max="11793" width="22.7109375" style="733" customWidth="1"/>
    <col min="11794" max="11794" width="5.85546875" style="733" customWidth="1"/>
    <col min="11795" max="11795" width="3.42578125" style="733" customWidth="1"/>
    <col min="11796" max="11796" width="11.5703125" style="733" bestFit="1" customWidth="1"/>
    <col min="11797" max="11797" width="5.5703125" style="733" customWidth="1"/>
    <col min="11798" max="11798" width="11" style="733" bestFit="1" customWidth="1"/>
    <col min="11799" max="11799" width="6.140625" style="733" customWidth="1"/>
    <col min="11800" max="12034" width="9.140625" style="733"/>
    <col min="12035" max="12035" width="3.7109375" style="733" customWidth="1"/>
    <col min="12036" max="12036" width="14.42578125" style="733" customWidth="1"/>
    <col min="12037" max="12037" width="3.7109375" style="733" customWidth="1"/>
    <col min="12038" max="12038" width="22.7109375" style="733" customWidth="1"/>
    <col min="12039" max="12039" width="11.42578125" style="733" customWidth="1"/>
    <col min="12040" max="12040" width="5.42578125" style="733" customWidth="1"/>
    <col min="12041" max="12041" width="11.42578125" style="733" customWidth="1"/>
    <col min="12042" max="12042" width="5.42578125" style="733" customWidth="1"/>
    <col min="12043" max="12043" width="11.42578125" style="733" customWidth="1"/>
    <col min="12044" max="12044" width="5.42578125" style="733" customWidth="1"/>
    <col min="12045" max="12045" width="11.42578125" style="733" customWidth="1"/>
    <col min="12046" max="12048" width="5.42578125" style="733" customWidth="1"/>
    <col min="12049" max="12049" width="22.7109375" style="733" customWidth="1"/>
    <col min="12050" max="12050" width="5.85546875" style="733" customWidth="1"/>
    <col min="12051" max="12051" width="3.42578125" style="733" customWidth="1"/>
    <col min="12052" max="12052" width="11.5703125" style="733" bestFit="1" customWidth="1"/>
    <col min="12053" max="12053" width="5.5703125" style="733" customWidth="1"/>
    <col min="12054" max="12054" width="11" style="733" bestFit="1" customWidth="1"/>
    <col min="12055" max="12055" width="6.140625" style="733" customWidth="1"/>
    <col min="12056" max="12290" width="9.140625" style="733"/>
    <col min="12291" max="12291" width="3.7109375" style="733" customWidth="1"/>
    <col min="12292" max="12292" width="14.42578125" style="733" customWidth="1"/>
    <col min="12293" max="12293" width="3.7109375" style="733" customWidth="1"/>
    <col min="12294" max="12294" width="22.7109375" style="733" customWidth="1"/>
    <col min="12295" max="12295" width="11.42578125" style="733" customWidth="1"/>
    <col min="12296" max="12296" width="5.42578125" style="733" customWidth="1"/>
    <col min="12297" max="12297" width="11.42578125" style="733" customWidth="1"/>
    <col min="12298" max="12298" width="5.42578125" style="733" customWidth="1"/>
    <col min="12299" max="12299" width="11.42578125" style="733" customWidth="1"/>
    <col min="12300" max="12300" width="5.42578125" style="733" customWidth="1"/>
    <col min="12301" max="12301" width="11.42578125" style="733" customWidth="1"/>
    <col min="12302" max="12304" width="5.42578125" style="733" customWidth="1"/>
    <col min="12305" max="12305" width="22.7109375" style="733" customWidth="1"/>
    <col min="12306" max="12306" width="5.85546875" style="733" customWidth="1"/>
    <col min="12307" max="12307" width="3.42578125" style="733" customWidth="1"/>
    <col min="12308" max="12308" width="11.5703125" style="733" bestFit="1" customWidth="1"/>
    <col min="12309" max="12309" width="5.5703125" style="733" customWidth="1"/>
    <col min="12310" max="12310" width="11" style="733" bestFit="1" customWidth="1"/>
    <col min="12311" max="12311" width="6.140625" style="733" customWidth="1"/>
    <col min="12312" max="12546" width="9.140625" style="733"/>
    <col min="12547" max="12547" width="3.7109375" style="733" customWidth="1"/>
    <col min="12548" max="12548" width="14.42578125" style="733" customWidth="1"/>
    <col min="12549" max="12549" width="3.7109375" style="733" customWidth="1"/>
    <col min="12550" max="12550" width="22.7109375" style="733" customWidth="1"/>
    <col min="12551" max="12551" width="11.42578125" style="733" customWidth="1"/>
    <col min="12552" max="12552" width="5.42578125" style="733" customWidth="1"/>
    <col min="12553" max="12553" width="11.42578125" style="733" customWidth="1"/>
    <col min="12554" max="12554" width="5.42578125" style="733" customWidth="1"/>
    <col min="12555" max="12555" width="11.42578125" style="733" customWidth="1"/>
    <col min="12556" max="12556" width="5.42578125" style="733" customWidth="1"/>
    <col min="12557" max="12557" width="11.42578125" style="733" customWidth="1"/>
    <col min="12558" max="12560" width="5.42578125" style="733" customWidth="1"/>
    <col min="12561" max="12561" width="22.7109375" style="733" customWidth="1"/>
    <col min="12562" max="12562" width="5.85546875" style="733" customWidth="1"/>
    <col min="12563" max="12563" width="3.42578125" style="733" customWidth="1"/>
    <col min="12564" max="12564" width="11.5703125" style="733" bestFit="1" customWidth="1"/>
    <col min="12565" max="12565" width="5.5703125" style="733" customWidth="1"/>
    <col min="12566" max="12566" width="11" style="733" bestFit="1" customWidth="1"/>
    <col min="12567" max="12567" width="6.140625" style="733" customWidth="1"/>
    <col min="12568" max="12802" width="9.140625" style="733"/>
    <col min="12803" max="12803" width="3.7109375" style="733" customWidth="1"/>
    <col min="12804" max="12804" width="14.42578125" style="733" customWidth="1"/>
    <col min="12805" max="12805" width="3.7109375" style="733" customWidth="1"/>
    <col min="12806" max="12806" width="22.7109375" style="733" customWidth="1"/>
    <col min="12807" max="12807" width="11.42578125" style="733" customWidth="1"/>
    <col min="12808" max="12808" width="5.42578125" style="733" customWidth="1"/>
    <col min="12809" max="12809" width="11.42578125" style="733" customWidth="1"/>
    <col min="12810" max="12810" width="5.42578125" style="733" customWidth="1"/>
    <col min="12811" max="12811" width="11.42578125" style="733" customWidth="1"/>
    <col min="12812" max="12812" width="5.42578125" style="733" customWidth="1"/>
    <col min="12813" max="12813" width="11.42578125" style="733" customWidth="1"/>
    <col min="12814" max="12816" width="5.42578125" style="733" customWidth="1"/>
    <col min="12817" max="12817" width="22.7109375" style="733" customWidth="1"/>
    <col min="12818" max="12818" width="5.85546875" style="733" customWidth="1"/>
    <col min="12819" max="12819" width="3.42578125" style="733" customWidth="1"/>
    <col min="12820" max="12820" width="11.5703125" style="733" bestFit="1" customWidth="1"/>
    <col min="12821" max="12821" width="5.5703125" style="733" customWidth="1"/>
    <col min="12822" max="12822" width="11" style="733" bestFit="1" customWidth="1"/>
    <col min="12823" max="12823" width="6.140625" style="733" customWidth="1"/>
    <col min="12824" max="13058" width="9.140625" style="733"/>
    <col min="13059" max="13059" width="3.7109375" style="733" customWidth="1"/>
    <col min="13060" max="13060" width="14.42578125" style="733" customWidth="1"/>
    <col min="13061" max="13061" width="3.7109375" style="733" customWidth="1"/>
    <col min="13062" max="13062" width="22.7109375" style="733" customWidth="1"/>
    <col min="13063" max="13063" width="11.42578125" style="733" customWidth="1"/>
    <col min="13064" max="13064" width="5.42578125" style="733" customWidth="1"/>
    <col min="13065" max="13065" width="11.42578125" style="733" customWidth="1"/>
    <col min="13066" max="13066" width="5.42578125" style="733" customWidth="1"/>
    <col min="13067" max="13067" width="11.42578125" style="733" customWidth="1"/>
    <col min="13068" max="13068" width="5.42578125" style="733" customWidth="1"/>
    <col min="13069" max="13069" width="11.42578125" style="733" customWidth="1"/>
    <col min="13070" max="13072" width="5.42578125" style="733" customWidth="1"/>
    <col min="13073" max="13073" width="22.7109375" style="733" customWidth="1"/>
    <col min="13074" max="13074" width="5.85546875" style="733" customWidth="1"/>
    <col min="13075" max="13075" width="3.42578125" style="733" customWidth="1"/>
    <col min="13076" max="13076" width="11.5703125" style="733" bestFit="1" customWidth="1"/>
    <col min="13077" max="13077" width="5.5703125" style="733" customWidth="1"/>
    <col min="13078" max="13078" width="11" style="733" bestFit="1" customWidth="1"/>
    <col min="13079" max="13079" width="6.140625" style="733" customWidth="1"/>
    <col min="13080" max="13314" width="9.140625" style="733"/>
    <col min="13315" max="13315" width="3.7109375" style="733" customWidth="1"/>
    <col min="13316" max="13316" width="14.42578125" style="733" customWidth="1"/>
    <col min="13317" max="13317" width="3.7109375" style="733" customWidth="1"/>
    <col min="13318" max="13318" width="22.7109375" style="733" customWidth="1"/>
    <col min="13319" max="13319" width="11.42578125" style="733" customWidth="1"/>
    <col min="13320" max="13320" width="5.42578125" style="733" customWidth="1"/>
    <col min="13321" max="13321" width="11.42578125" style="733" customWidth="1"/>
    <col min="13322" max="13322" width="5.42578125" style="733" customWidth="1"/>
    <col min="13323" max="13323" width="11.42578125" style="733" customWidth="1"/>
    <col min="13324" max="13324" width="5.42578125" style="733" customWidth="1"/>
    <col min="13325" max="13325" width="11.42578125" style="733" customWidth="1"/>
    <col min="13326" max="13328" width="5.42578125" style="733" customWidth="1"/>
    <col min="13329" max="13329" width="22.7109375" style="733" customWidth="1"/>
    <col min="13330" max="13330" width="5.85546875" style="733" customWidth="1"/>
    <col min="13331" max="13331" width="3.42578125" style="733" customWidth="1"/>
    <col min="13332" max="13332" width="11.5703125" style="733" bestFit="1" customWidth="1"/>
    <col min="13333" max="13333" width="5.5703125" style="733" customWidth="1"/>
    <col min="13334" max="13334" width="11" style="733" bestFit="1" customWidth="1"/>
    <col min="13335" max="13335" width="6.140625" style="733" customWidth="1"/>
    <col min="13336" max="13570" width="9.140625" style="733"/>
    <col min="13571" max="13571" width="3.7109375" style="733" customWidth="1"/>
    <col min="13572" max="13572" width="14.42578125" style="733" customWidth="1"/>
    <col min="13573" max="13573" width="3.7109375" style="733" customWidth="1"/>
    <col min="13574" max="13574" width="22.7109375" style="733" customWidth="1"/>
    <col min="13575" max="13575" width="11.42578125" style="733" customWidth="1"/>
    <col min="13576" max="13576" width="5.42578125" style="733" customWidth="1"/>
    <col min="13577" max="13577" width="11.42578125" style="733" customWidth="1"/>
    <col min="13578" max="13578" width="5.42578125" style="733" customWidth="1"/>
    <col min="13579" max="13579" width="11.42578125" style="733" customWidth="1"/>
    <col min="13580" max="13580" width="5.42578125" style="733" customWidth="1"/>
    <col min="13581" max="13581" width="11.42578125" style="733" customWidth="1"/>
    <col min="13582" max="13584" width="5.42578125" style="733" customWidth="1"/>
    <col min="13585" max="13585" width="22.7109375" style="733" customWidth="1"/>
    <col min="13586" max="13586" width="5.85546875" style="733" customWidth="1"/>
    <col min="13587" max="13587" width="3.42578125" style="733" customWidth="1"/>
    <col min="13588" max="13588" width="11.5703125" style="733" bestFit="1" customWidth="1"/>
    <col min="13589" max="13589" width="5.5703125" style="733" customWidth="1"/>
    <col min="13590" max="13590" width="11" style="733" bestFit="1" customWidth="1"/>
    <col min="13591" max="13591" width="6.140625" style="733" customWidth="1"/>
    <col min="13592" max="13826" width="9.140625" style="733"/>
    <col min="13827" max="13827" width="3.7109375" style="733" customWidth="1"/>
    <col min="13828" max="13828" width="14.42578125" style="733" customWidth="1"/>
    <col min="13829" max="13829" width="3.7109375" style="733" customWidth="1"/>
    <col min="13830" max="13830" width="22.7109375" style="733" customWidth="1"/>
    <col min="13831" max="13831" width="11.42578125" style="733" customWidth="1"/>
    <col min="13832" max="13832" width="5.42578125" style="733" customWidth="1"/>
    <col min="13833" max="13833" width="11.42578125" style="733" customWidth="1"/>
    <col min="13834" max="13834" width="5.42578125" style="733" customWidth="1"/>
    <col min="13835" max="13835" width="11.42578125" style="733" customWidth="1"/>
    <col min="13836" max="13836" width="5.42578125" style="733" customWidth="1"/>
    <col min="13837" max="13837" width="11.42578125" style="733" customWidth="1"/>
    <col min="13838" max="13840" width="5.42578125" style="733" customWidth="1"/>
    <col min="13841" max="13841" width="22.7109375" style="733" customWidth="1"/>
    <col min="13842" max="13842" width="5.85546875" style="733" customWidth="1"/>
    <col min="13843" max="13843" width="3.42578125" style="733" customWidth="1"/>
    <col min="13844" max="13844" width="11.5703125" style="733" bestFit="1" customWidth="1"/>
    <col min="13845" max="13845" width="5.5703125" style="733" customWidth="1"/>
    <col min="13846" max="13846" width="11" style="733" bestFit="1" customWidth="1"/>
    <col min="13847" max="13847" width="6.140625" style="733" customWidth="1"/>
    <col min="13848" max="14082" width="9.140625" style="733"/>
    <col min="14083" max="14083" width="3.7109375" style="733" customWidth="1"/>
    <col min="14084" max="14084" width="14.42578125" style="733" customWidth="1"/>
    <col min="14085" max="14085" width="3.7109375" style="733" customWidth="1"/>
    <col min="14086" max="14086" width="22.7109375" style="733" customWidth="1"/>
    <col min="14087" max="14087" width="11.42578125" style="733" customWidth="1"/>
    <col min="14088" max="14088" width="5.42578125" style="733" customWidth="1"/>
    <col min="14089" max="14089" width="11.42578125" style="733" customWidth="1"/>
    <col min="14090" max="14090" width="5.42578125" style="733" customWidth="1"/>
    <col min="14091" max="14091" width="11.42578125" style="733" customWidth="1"/>
    <col min="14092" max="14092" width="5.42578125" style="733" customWidth="1"/>
    <col min="14093" max="14093" width="11.42578125" style="733" customWidth="1"/>
    <col min="14094" max="14096" width="5.42578125" style="733" customWidth="1"/>
    <col min="14097" max="14097" width="22.7109375" style="733" customWidth="1"/>
    <col min="14098" max="14098" width="5.85546875" style="733" customWidth="1"/>
    <col min="14099" max="14099" width="3.42578125" style="733" customWidth="1"/>
    <col min="14100" max="14100" width="11.5703125" style="733" bestFit="1" customWidth="1"/>
    <col min="14101" max="14101" width="5.5703125" style="733" customWidth="1"/>
    <col min="14102" max="14102" width="11" style="733" bestFit="1" customWidth="1"/>
    <col min="14103" max="14103" width="6.140625" style="733" customWidth="1"/>
    <col min="14104" max="14338" width="9.140625" style="733"/>
    <col min="14339" max="14339" width="3.7109375" style="733" customWidth="1"/>
    <col min="14340" max="14340" width="14.42578125" style="733" customWidth="1"/>
    <col min="14341" max="14341" width="3.7109375" style="733" customWidth="1"/>
    <col min="14342" max="14342" width="22.7109375" style="733" customWidth="1"/>
    <col min="14343" max="14343" width="11.42578125" style="733" customWidth="1"/>
    <col min="14344" max="14344" width="5.42578125" style="733" customWidth="1"/>
    <col min="14345" max="14345" width="11.42578125" style="733" customWidth="1"/>
    <col min="14346" max="14346" width="5.42578125" style="733" customWidth="1"/>
    <col min="14347" max="14347" width="11.42578125" style="733" customWidth="1"/>
    <col min="14348" max="14348" width="5.42578125" style="733" customWidth="1"/>
    <col min="14349" max="14349" width="11.42578125" style="733" customWidth="1"/>
    <col min="14350" max="14352" width="5.42578125" style="733" customWidth="1"/>
    <col min="14353" max="14353" width="22.7109375" style="733" customWidth="1"/>
    <col min="14354" max="14354" width="5.85546875" style="733" customWidth="1"/>
    <col min="14355" max="14355" width="3.42578125" style="733" customWidth="1"/>
    <col min="14356" max="14356" width="11.5703125" style="733" bestFit="1" customWidth="1"/>
    <col min="14357" max="14357" width="5.5703125" style="733" customWidth="1"/>
    <col min="14358" max="14358" width="11" style="733" bestFit="1" customWidth="1"/>
    <col min="14359" max="14359" width="6.140625" style="733" customWidth="1"/>
    <col min="14360" max="14594" width="9.140625" style="733"/>
    <col min="14595" max="14595" width="3.7109375" style="733" customWidth="1"/>
    <col min="14596" max="14596" width="14.42578125" style="733" customWidth="1"/>
    <col min="14597" max="14597" width="3.7109375" style="733" customWidth="1"/>
    <col min="14598" max="14598" width="22.7109375" style="733" customWidth="1"/>
    <col min="14599" max="14599" width="11.42578125" style="733" customWidth="1"/>
    <col min="14600" max="14600" width="5.42578125" style="733" customWidth="1"/>
    <col min="14601" max="14601" width="11.42578125" style="733" customWidth="1"/>
    <col min="14602" max="14602" width="5.42578125" style="733" customWidth="1"/>
    <col min="14603" max="14603" width="11.42578125" style="733" customWidth="1"/>
    <col min="14604" max="14604" width="5.42578125" style="733" customWidth="1"/>
    <col min="14605" max="14605" width="11.42578125" style="733" customWidth="1"/>
    <col min="14606" max="14608" width="5.42578125" style="733" customWidth="1"/>
    <col min="14609" max="14609" width="22.7109375" style="733" customWidth="1"/>
    <col min="14610" max="14610" width="5.85546875" style="733" customWidth="1"/>
    <col min="14611" max="14611" width="3.42578125" style="733" customWidth="1"/>
    <col min="14612" max="14612" width="11.5703125" style="733" bestFit="1" customWidth="1"/>
    <col min="14613" max="14613" width="5.5703125" style="733" customWidth="1"/>
    <col min="14614" max="14614" width="11" style="733" bestFit="1" customWidth="1"/>
    <col min="14615" max="14615" width="6.140625" style="733" customWidth="1"/>
    <col min="14616" max="14850" width="9.140625" style="733"/>
    <col min="14851" max="14851" width="3.7109375" style="733" customWidth="1"/>
    <col min="14852" max="14852" width="14.42578125" style="733" customWidth="1"/>
    <col min="14853" max="14853" width="3.7109375" style="733" customWidth="1"/>
    <col min="14854" max="14854" width="22.7109375" style="733" customWidth="1"/>
    <col min="14855" max="14855" width="11.42578125" style="733" customWidth="1"/>
    <col min="14856" max="14856" width="5.42578125" style="733" customWidth="1"/>
    <col min="14857" max="14857" width="11.42578125" style="733" customWidth="1"/>
    <col min="14858" max="14858" width="5.42578125" style="733" customWidth="1"/>
    <col min="14859" max="14859" width="11.42578125" style="733" customWidth="1"/>
    <col min="14860" max="14860" width="5.42578125" style="733" customWidth="1"/>
    <col min="14861" max="14861" width="11.42578125" style="733" customWidth="1"/>
    <col min="14862" max="14864" width="5.42578125" style="733" customWidth="1"/>
    <col min="14865" max="14865" width="22.7109375" style="733" customWidth="1"/>
    <col min="14866" max="14866" width="5.85546875" style="733" customWidth="1"/>
    <col min="14867" max="14867" width="3.42578125" style="733" customWidth="1"/>
    <col min="14868" max="14868" width="11.5703125" style="733" bestFit="1" customWidth="1"/>
    <col min="14869" max="14869" width="5.5703125" style="733" customWidth="1"/>
    <col min="14870" max="14870" width="11" style="733" bestFit="1" customWidth="1"/>
    <col min="14871" max="14871" width="6.140625" style="733" customWidth="1"/>
    <col min="14872" max="15106" width="9.140625" style="733"/>
    <col min="15107" max="15107" width="3.7109375" style="733" customWidth="1"/>
    <col min="15108" max="15108" width="14.42578125" style="733" customWidth="1"/>
    <col min="15109" max="15109" width="3.7109375" style="733" customWidth="1"/>
    <col min="15110" max="15110" width="22.7109375" style="733" customWidth="1"/>
    <col min="15111" max="15111" width="11.42578125" style="733" customWidth="1"/>
    <col min="15112" max="15112" width="5.42578125" style="733" customWidth="1"/>
    <col min="15113" max="15113" width="11.42578125" style="733" customWidth="1"/>
    <col min="15114" max="15114" width="5.42578125" style="733" customWidth="1"/>
    <col min="15115" max="15115" width="11.42578125" style="733" customWidth="1"/>
    <col min="15116" max="15116" width="5.42578125" style="733" customWidth="1"/>
    <col min="15117" max="15117" width="11.42578125" style="733" customWidth="1"/>
    <col min="15118" max="15120" width="5.42578125" style="733" customWidth="1"/>
    <col min="15121" max="15121" width="22.7109375" style="733" customWidth="1"/>
    <col min="15122" max="15122" width="5.85546875" style="733" customWidth="1"/>
    <col min="15123" max="15123" width="3.42578125" style="733" customWidth="1"/>
    <col min="15124" max="15124" width="11.5703125" style="733" bestFit="1" customWidth="1"/>
    <col min="15125" max="15125" width="5.5703125" style="733" customWidth="1"/>
    <col min="15126" max="15126" width="11" style="733" bestFit="1" customWidth="1"/>
    <col min="15127" max="15127" width="6.140625" style="733" customWidth="1"/>
    <col min="15128" max="15362" width="9.140625" style="733"/>
    <col min="15363" max="15363" width="3.7109375" style="733" customWidth="1"/>
    <col min="15364" max="15364" width="14.42578125" style="733" customWidth="1"/>
    <col min="15365" max="15365" width="3.7109375" style="733" customWidth="1"/>
    <col min="15366" max="15366" width="22.7109375" style="733" customWidth="1"/>
    <col min="15367" max="15367" width="11.42578125" style="733" customWidth="1"/>
    <col min="15368" max="15368" width="5.42578125" style="733" customWidth="1"/>
    <col min="15369" max="15369" width="11.42578125" style="733" customWidth="1"/>
    <col min="15370" max="15370" width="5.42578125" style="733" customWidth="1"/>
    <col min="15371" max="15371" width="11.42578125" style="733" customWidth="1"/>
    <col min="15372" max="15372" width="5.42578125" style="733" customWidth="1"/>
    <col min="15373" max="15373" width="11.42578125" style="733" customWidth="1"/>
    <col min="15374" max="15376" width="5.42578125" style="733" customWidth="1"/>
    <col min="15377" max="15377" width="22.7109375" style="733" customWidth="1"/>
    <col min="15378" max="15378" width="5.85546875" style="733" customWidth="1"/>
    <col min="15379" max="15379" width="3.42578125" style="733" customWidth="1"/>
    <col min="15380" max="15380" width="11.5703125" style="733" bestFit="1" customWidth="1"/>
    <col min="15381" max="15381" width="5.5703125" style="733" customWidth="1"/>
    <col min="15382" max="15382" width="11" style="733" bestFit="1" customWidth="1"/>
    <col min="15383" max="15383" width="6.140625" style="733" customWidth="1"/>
    <col min="15384" max="15618" width="9.140625" style="733"/>
    <col min="15619" max="15619" width="3.7109375" style="733" customWidth="1"/>
    <col min="15620" max="15620" width="14.42578125" style="733" customWidth="1"/>
    <col min="15621" max="15621" width="3.7109375" style="733" customWidth="1"/>
    <col min="15622" max="15622" width="22.7109375" style="733" customWidth="1"/>
    <col min="15623" max="15623" width="11.42578125" style="733" customWidth="1"/>
    <col min="15624" max="15624" width="5.42578125" style="733" customWidth="1"/>
    <col min="15625" max="15625" width="11.42578125" style="733" customWidth="1"/>
    <col min="15626" max="15626" width="5.42578125" style="733" customWidth="1"/>
    <col min="15627" max="15627" width="11.42578125" style="733" customWidth="1"/>
    <col min="15628" max="15628" width="5.42578125" style="733" customWidth="1"/>
    <col min="15629" max="15629" width="11.42578125" style="733" customWidth="1"/>
    <col min="15630" max="15632" width="5.42578125" style="733" customWidth="1"/>
    <col min="15633" max="15633" width="22.7109375" style="733" customWidth="1"/>
    <col min="15634" max="15634" width="5.85546875" style="733" customWidth="1"/>
    <col min="15635" max="15635" width="3.42578125" style="733" customWidth="1"/>
    <col min="15636" max="15636" width="11.5703125" style="733" bestFit="1" customWidth="1"/>
    <col min="15637" max="15637" width="5.5703125" style="733" customWidth="1"/>
    <col min="15638" max="15638" width="11" style="733" bestFit="1" customWidth="1"/>
    <col min="15639" max="15639" width="6.140625" style="733" customWidth="1"/>
    <col min="15640" max="15874" width="9.140625" style="733"/>
    <col min="15875" max="15875" width="3.7109375" style="733" customWidth="1"/>
    <col min="15876" max="15876" width="14.42578125" style="733" customWidth="1"/>
    <col min="15877" max="15877" width="3.7109375" style="733" customWidth="1"/>
    <col min="15878" max="15878" width="22.7109375" style="733" customWidth="1"/>
    <col min="15879" max="15879" width="11.42578125" style="733" customWidth="1"/>
    <col min="15880" max="15880" width="5.42578125" style="733" customWidth="1"/>
    <col min="15881" max="15881" width="11.42578125" style="733" customWidth="1"/>
    <col min="15882" max="15882" width="5.42578125" style="733" customWidth="1"/>
    <col min="15883" max="15883" width="11.42578125" style="733" customWidth="1"/>
    <col min="15884" max="15884" width="5.42578125" style="733" customWidth="1"/>
    <col min="15885" max="15885" width="11.42578125" style="733" customWidth="1"/>
    <col min="15886" max="15888" width="5.42578125" style="733" customWidth="1"/>
    <col min="15889" max="15889" width="22.7109375" style="733" customWidth="1"/>
    <col min="15890" max="15890" width="5.85546875" style="733" customWidth="1"/>
    <col min="15891" max="15891" width="3.42578125" style="733" customWidth="1"/>
    <col min="15892" max="15892" width="11.5703125" style="733" bestFit="1" customWidth="1"/>
    <col min="15893" max="15893" width="5.5703125" style="733" customWidth="1"/>
    <col min="15894" max="15894" width="11" style="733" bestFit="1" customWidth="1"/>
    <col min="15895" max="15895" width="6.140625" style="733" customWidth="1"/>
    <col min="15896" max="16130" width="9.140625" style="733"/>
    <col min="16131" max="16131" width="3.7109375" style="733" customWidth="1"/>
    <col min="16132" max="16132" width="14.42578125" style="733" customWidth="1"/>
    <col min="16133" max="16133" width="3.7109375" style="733" customWidth="1"/>
    <col min="16134" max="16134" width="22.7109375" style="733" customWidth="1"/>
    <col min="16135" max="16135" width="11.42578125" style="733" customWidth="1"/>
    <col min="16136" max="16136" width="5.42578125" style="733" customWidth="1"/>
    <col min="16137" max="16137" width="11.42578125" style="733" customWidth="1"/>
    <col min="16138" max="16138" width="5.42578125" style="733" customWidth="1"/>
    <col min="16139" max="16139" width="11.42578125" style="733" customWidth="1"/>
    <col min="16140" max="16140" width="5.42578125" style="733" customWidth="1"/>
    <col min="16141" max="16141" width="11.42578125" style="733" customWidth="1"/>
    <col min="16142" max="16144" width="5.42578125" style="733" customWidth="1"/>
    <col min="16145" max="16145" width="22.7109375" style="733" customWidth="1"/>
    <col min="16146" max="16146" width="5.85546875" style="733" customWidth="1"/>
    <col min="16147" max="16147" width="3.42578125" style="733" customWidth="1"/>
    <col min="16148" max="16148" width="11.5703125" style="733" bestFit="1" customWidth="1"/>
    <col min="16149" max="16149" width="5.5703125" style="733" customWidth="1"/>
    <col min="16150" max="16150" width="11" style="733" bestFit="1" customWidth="1"/>
    <col min="16151" max="16151" width="6.140625" style="733" customWidth="1"/>
    <col min="16152" max="16384" width="9.140625" style="733"/>
  </cols>
  <sheetData>
    <row r="2" spans="1:27" s="943" customFormat="1" ht="15" customHeight="1" x14ac:dyDescent="0.2">
      <c r="A2" s="1">
        <v>1</v>
      </c>
      <c r="B2" s="1" t="s">
        <v>0</v>
      </c>
      <c r="C2" s="1">
        <v>52</v>
      </c>
      <c r="D2" s="4193" t="s">
        <v>1302</v>
      </c>
      <c r="E2" s="4194"/>
      <c r="F2" s="4194"/>
      <c r="G2" s="4194"/>
      <c r="H2" s="4194"/>
      <c r="I2" s="4194"/>
      <c r="J2" s="4194"/>
      <c r="K2" s="4194"/>
      <c r="L2" s="4194"/>
      <c r="M2" s="4194"/>
      <c r="N2" s="4194"/>
      <c r="O2" s="4194"/>
      <c r="P2" s="4194"/>
      <c r="Q2" s="4194"/>
      <c r="R2" s="4194"/>
      <c r="S2" s="4194"/>
      <c r="T2" s="4194"/>
      <c r="U2" s="4194"/>
      <c r="V2" s="4194"/>
      <c r="W2" s="4194"/>
      <c r="X2" s="4194"/>
      <c r="Y2" s="4194"/>
      <c r="Z2" s="4194"/>
      <c r="AA2" s="4195"/>
    </row>
    <row r="3" spans="1:27" s="943" customFormat="1" ht="15" customHeight="1" x14ac:dyDescent="0.2">
      <c r="A3" s="1">
        <v>2</v>
      </c>
      <c r="B3" s="1" t="s">
        <v>2</v>
      </c>
      <c r="C3" s="1"/>
      <c r="D3" s="4140" t="s">
        <v>1284</v>
      </c>
      <c r="E3" s="4141"/>
      <c r="F3" s="4141"/>
      <c r="G3" s="4141"/>
      <c r="H3" s="4141"/>
      <c r="I3" s="4141"/>
      <c r="J3" s="4141"/>
      <c r="K3" s="4141"/>
      <c r="L3" s="4141"/>
      <c r="M3" s="4141"/>
      <c r="N3" s="4141"/>
      <c r="O3" s="4141"/>
      <c r="P3" s="4141"/>
      <c r="Q3" s="4141"/>
      <c r="R3" s="4141"/>
      <c r="S3" s="4141"/>
      <c r="T3" s="4141"/>
      <c r="U3" s="4141"/>
      <c r="V3" s="4141"/>
      <c r="W3" s="4141"/>
      <c r="X3" s="4141"/>
      <c r="Y3" s="4141"/>
      <c r="Z3" s="4141"/>
      <c r="AA3" s="4142"/>
    </row>
    <row r="4" spans="1:27" s="943" customFormat="1" ht="15" customHeight="1" x14ac:dyDescent="0.2">
      <c r="A4" s="1">
        <v>3</v>
      </c>
      <c r="B4" s="1" t="s">
        <v>4</v>
      </c>
      <c r="C4" s="1"/>
      <c r="D4" s="4140" t="s">
        <v>1303</v>
      </c>
      <c r="E4" s="4141"/>
      <c r="F4" s="4141"/>
      <c r="G4" s="4141"/>
      <c r="H4" s="4141"/>
      <c r="I4" s="4141"/>
      <c r="J4" s="4141"/>
      <c r="K4" s="4141"/>
      <c r="L4" s="4141"/>
      <c r="M4" s="4141"/>
      <c r="N4" s="4141"/>
      <c r="O4" s="4141"/>
      <c r="P4" s="4141"/>
      <c r="Q4" s="4141"/>
      <c r="R4" s="4141"/>
      <c r="S4" s="4141"/>
      <c r="T4" s="4141"/>
      <c r="U4" s="4141"/>
      <c r="V4" s="4141"/>
      <c r="W4" s="4141"/>
      <c r="X4" s="4141"/>
      <c r="Y4" s="4141"/>
      <c r="Z4" s="4141"/>
      <c r="AA4" s="4142"/>
    </row>
    <row r="5" spans="1:27" ht="12.75" x14ac:dyDescent="0.2">
      <c r="C5" s="1"/>
      <c r="H5" s="3039"/>
      <c r="I5" s="3"/>
    </row>
    <row r="6" spans="1:27" s="11" customFormat="1" ht="12.75" x14ac:dyDescent="0.2">
      <c r="A6" s="1">
        <v>4</v>
      </c>
      <c r="B6" s="1" t="s">
        <v>5</v>
      </c>
      <c r="C6" s="6"/>
      <c r="D6" s="7" t="s">
        <v>112</v>
      </c>
      <c r="E6" s="1738" t="s">
        <v>1304</v>
      </c>
      <c r="F6" s="2300"/>
      <c r="G6" s="1738"/>
      <c r="H6" s="2300"/>
      <c r="I6" s="932"/>
      <c r="J6" s="3041"/>
      <c r="K6" s="932"/>
      <c r="L6" s="3041"/>
      <c r="M6" s="3041"/>
      <c r="N6" s="3041"/>
      <c r="O6" s="3041"/>
      <c r="P6" s="3042"/>
      <c r="Q6" s="7" t="s">
        <v>112</v>
      </c>
      <c r="R6" s="1738" t="s">
        <v>1305</v>
      </c>
      <c r="S6" s="2300"/>
      <c r="T6" s="1738"/>
      <c r="U6" s="2300"/>
      <c r="V6" s="932"/>
      <c r="W6" s="3041"/>
    </row>
    <row r="7" spans="1:27" s="15" customFormat="1" ht="14.25" customHeight="1" x14ac:dyDescent="0.2">
      <c r="A7" s="3043"/>
      <c r="B7" s="3044"/>
      <c r="C7" s="3044"/>
      <c r="D7" s="3045"/>
      <c r="E7" s="2093">
        <v>1994</v>
      </c>
      <c r="F7" s="2093" t="s">
        <v>69</v>
      </c>
      <c r="G7" s="2093">
        <v>1999</v>
      </c>
      <c r="H7" s="2093" t="s">
        <v>69</v>
      </c>
      <c r="I7" s="2093">
        <v>2004</v>
      </c>
      <c r="J7" s="2093" t="s">
        <v>69</v>
      </c>
      <c r="K7" s="2093">
        <v>2009</v>
      </c>
      <c r="L7" s="2093" t="s">
        <v>69</v>
      </c>
      <c r="M7" s="2093">
        <v>2014</v>
      </c>
      <c r="N7" s="2163" t="s">
        <v>69</v>
      </c>
      <c r="O7" s="1743"/>
      <c r="P7" s="3046"/>
      <c r="Q7" s="3045"/>
      <c r="R7" s="1775">
        <v>1995</v>
      </c>
      <c r="S7" s="2092" t="s">
        <v>69</v>
      </c>
      <c r="T7" s="3047">
        <v>2000</v>
      </c>
      <c r="U7" s="3047" t="s">
        <v>69</v>
      </c>
      <c r="V7" s="3047">
        <v>2006</v>
      </c>
      <c r="W7" s="3047" t="s">
        <v>69</v>
      </c>
      <c r="X7" s="3047">
        <v>2011</v>
      </c>
      <c r="Y7" s="3047" t="s">
        <v>69</v>
      </c>
      <c r="Z7" s="3047">
        <v>2016</v>
      </c>
      <c r="AA7" s="3048" t="s">
        <v>69</v>
      </c>
    </row>
    <row r="8" spans="1:27" s="11" customFormat="1" ht="22.5" customHeight="1" x14ac:dyDescent="0.2">
      <c r="A8" s="5"/>
      <c r="B8" s="2095"/>
      <c r="C8" s="6"/>
      <c r="D8" s="3049" t="s">
        <v>1306</v>
      </c>
      <c r="E8" s="2291">
        <v>22709152</v>
      </c>
      <c r="F8" s="1379"/>
      <c r="G8" s="2291">
        <v>22798845</v>
      </c>
      <c r="H8" s="1379"/>
      <c r="I8" s="2291">
        <v>27436898</v>
      </c>
      <c r="J8" s="2291"/>
      <c r="K8" s="2291">
        <v>27574414</v>
      </c>
      <c r="L8" s="2291"/>
      <c r="M8" s="2291">
        <v>31434035</v>
      </c>
      <c r="N8" s="2292"/>
      <c r="O8" s="1844"/>
      <c r="P8" s="2296"/>
      <c r="Q8" s="3050" t="s">
        <v>1306</v>
      </c>
      <c r="R8" s="3051"/>
      <c r="S8" s="1478"/>
      <c r="T8" s="3052">
        <v>23532308</v>
      </c>
      <c r="U8" s="3053"/>
      <c r="V8" s="3052">
        <v>25364801</v>
      </c>
      <c r="W8" s="3053"/>
      <c r="X8" s="3052">
        <v>33702588.646421582</v>
      </c>
      <c r="Y8" s="3053"/>
      <c r="Z8" s="3052">
        <v>36198770.139200002</v>
      </c>
      <c r="AA8" s="3054"/>
    </row>
    <row r="9" spans="1:27" s="11" customFormat="1" ht="15.75" customHeight="1" x14ac:dyDescent="0.2">
      <c r="A9" s="5"/>
      <c r="B9" s="6"/>
      <c r="C9" s="6"/>
      <c r="D9" s="3049" t="s">
        <v>1307</v>
      </c>
      <c r="E9" s="2291" t="s">
        <v>1308</v>
      </c>
      <c r="F9" s="1379"/>
      <c r="G9" s="3055">
        <v>18177751</v>
      </c>
      <c r="H9" s="3056">
        <f>G9/G8</f>
        <v>0.79731017075645716</v>
      </c>
      <c r="I9" s="2291">
        <v>20674926</v>
      </c>
      <c r="J9" s="3056">
        <f>I9/I8</f>
        <v>0.75354458802157587</v>
      </c>
      <c r="K9" s="2291">
        <v>23181997</v>
      </c>
      <c r="L9" s="3056">
        <f>K9/K8</f>
        <v>0.84070678709618274</v>
      </c>
      <c r="M9" s="2291">
        <v>25390150</v>
      </c>
      <c r="N9" s="3057">
        <f>M9/M8</f>
        <v>0.80772799292232134</v>
      </c>
      <c r="O9" s="1970"/>
      <c r="P9" s="3058"/>
      <c r="Q9" s="3049" t="s">
        <v>1307</v>
      </c>
      <c r="R9" s="1355"/>
      <c r="S9" s="1355"/>
      <c r="T9" s="3059">
        <v>18476516</v>
      </c>
      <c r="U9" s="3060">
        <f>T9/T8</f>
        <v>0.78515528523594036</v>
      </c>
      <c r="V9" s="3059">
        <v>21054957</v>
      </c>
      <c r="W9" s="3060">
        <f>V9/V8</f>
        <v>0.83008563717886052</v>
      </c>
      <c r="X9" s="3059">
        <v>23655046</v>
      </c>
      <c r="Y9" s="3060">
        <f>X9/X8</f>
        <v>0.70187623414237665</v>
      </c>
      <c r="Z9" s="3059">
        <v>26333353</v>
      </c>
      <c r="AA9" s="3061">
        <f>Z9/Z8</f>
        <v>0.72746540555761463</v>
      </c>
    </row>
    <row r="10" spans="1:27" s="11" customFormat="1" ht="15.75" customHeight="1" x14ac:dyDescent="0.2">
      <c r="A10" s="5"/>
      <c r="B10" s="6"/>
      <c r="C10" s="6"/>
      <c r="D10" s="3049" t="s">
        <v>1309</v>
      </c>
      <c r="E10" s="3055">
        <v>19533498</v>
      </c>
      <c r="F10" s="1379"/>
      <c r="G10" s="3055">
        <v>16228462</v>
      </c>
      <c r="H10" s="3055"/>
      <c r="I10" s="3055">
        <v>15863558</v>
      </c>
      <c r="J10" s="3055"/>
      <c r="K10" s="3055">
        <v>17919966</v>
      </c>
      <c r="L10" s="3055"/>
      <c r="M10" s="3055">
        <v>18654771</v>
      </c>
      <c r="N10" s="3062"/>
      <c r="O10" s="3063"/>
      <c r="P10" s="3064"/>
      <c r="Q10" s="3065" t="s">
        <v>1310</v>
      </c>
      <c r="R10" s="3066"/>
      <c r="S10" s="3066"/>
      <c r="T10" s="3067">
        <v>8882734</v>
      </c>
      <c r="U10" s="3067"/>
      <c r="V10" s="3067">
        <v>10186795</v>
      </c>
      <c r="W10" s="3067"/>
      <c r="X10" s="3067">
        <v>13664914</v>
      </c>
      <c r="Y10" s="3067"/>
      <c r="Z10" s="3067">
        <v>15296759</v>
      </c>
      <c r="AA10" s="3068"/>
    </row>
    <row r="11" spans="1:27" s="2300" customFormat="1" ht="15.75" customHeight="1" x14ac:dyDescent="0.2">
      <c r="A11" s="3069"/>
      <c r="B11" s="2293"/>
      <c r="C11" s="2293"/>
      <c r="D11" s="3049" t="s">
        <v>1311</v>
      </c>
      <c r="E11" s="3070"/>
      <c r="F11" s="3056">
        <f>E10/E8</f>
        <v>0.86015972767279025</v>
      </c>
      <c r="G11" s="3070"/>
      <c r="H11" s="3056">
        <f>G10/G8</f>
        <v>0.71181070795472312</v>
      </c>
      <c r="I11" s="3070"/>
      <c r="J11" s="3056">
        <f>I10/I8</f>
        <v>0.57818336460630504</v>
      </c>
      <c r="K11" s="3070"/>
      <c r="L11" s="3056">
        <f>K10/K8</f>
        <v>0.64987658486595579</v>
      </c>
      <c r="M11" s="3070"/>
      <c r="N11" s="3057">
        <f>M10/M8</f>
        <v>0.59345772822356402</v>
      </c>
      <c r="O11" s="1970"/>
      <c r="P11" s="3058"/>
      <c r="Q11" s="3049" t="s">
        <v>1312</v>
      </c>
      <c r="R11" s="3071"/>
      <c r="S11" s="1355"/>
      <c r="T11" s="3072"/>
      <c r="U11" s="3060">
        <f>T10/T8</f>
        <v>0.37746973225065727</v>
      </c>
      <c r="V11" s="3072"/>
      <c r="W11" s="3060">
        <f>V10/V8</f>
        <v>0.40161146937442954</v>
      </c>
      <c r="X11" s="3072"/>
      <c r="Y11" s="3060">
        <f>X10/X8</f>
        <v>0.40545591744778009</v>
      </c>
      <c r="Z11" s="3072"/>
      <c r="AA11" s="3061">
        <f>Z10/Z8</f>
        <v>0.42257675996110683</v>
      </c>
    </row>
    <row r="12" spans="1:27" s="2300" customFormat="1" ht="15.75" customHeight="1" x14ac:dyDescent="0.2">
      <c r="A12" s="3069"/>
      <c r="B12" s="3073"/>
      <c r="C12" s="3073"/>
      <c r="D12" s="3074" t="s">
        <v>1313</v>
      </c>
      <c r="E12" s="3075"/>
      <c r="F12" s="1971" t="s">
        <v>1308</v>
      </c>
      <c r="G12" s="3076"/>
      <c r="H12" s="1971">
        <f>G10/G9</f>
        <v>0.8927651170928681</v>
      </c>
      <c r="I12" s="3076"/>
      <c r="J12" s="1971">
        <f>I10/I9</f>
        <v>0.7672848744416304</v>
      </c>
      <c r="K12" s="3076"/>
      <c r="L12" s="1971">
        <f>K10/K9</f>
        <v>0.77301217837272607</v>
      </c>
      <c r="M12" s="3076"/>
      <c r="N12" s="1972">
        <f>M10/M9</f>
        <v>0.73472472592718041</v>
      </c>
      <c r="O12" s="1970"/>
      <c r="P12" s="3058"/>
      <c r="Q12" s="3049" t="s">
        <v>1313</v>
      </c>
      <c r="R12" s="3071"/>
      <c r="S12" s="1355"/>
      <c r="T12" s="3072"/>
      <c r="U12" s="3060">
        <f>T10/T9</f>
        <v>0.48075806066468374</v>
      </c>
      <c r="V12" s="3072"/>
      <c r="W12" s="3060">
        <f>V10/V9</f>
        <v>0.48381932102734765</v>
      </c>
      <c r="X12" s="3072"/>
      <c r="Y12" s="3060">
        <f>X10/X9</f>
        <v>0.5776743786505425</v>
      </c>
      <c r="Z12" s="3072"/>
      <c r="AA12" s="3061">
        <v>0.57969999999999999</v>
      </c>
    </row>
    <row r="13" spans="1:27" s="11" customFormat="1" ht="15.75" customHeight="1" x14ac:dyDescent="0.2">
      <c r="A13" s="5"/>
      <c r="B13" s="3077"/>
      <c r="C13" s="3077"/>
      <c r="D13" s="3078" t="s">
        <v>1314</v>
      </c>
      <c r="E13" s="3079"/>
      <c r="F13" s="3080"/>
      <c r="G13" s="3079"/>
      <c r="H13" s="3080"/>
      <c r="I13" s="3079"/>
      <c r="J13" s="3080"/>
      <c r="K13" s="3079"/>
      <c r="L13" s="3080"/>
      <c r="M13" s="3079"/>
      <c r="N13" s="3081"/>
      <c r="O13" s="3046"/>
      <c r="P13" s="3046"/>
      <c r="Q13" s="3082" t="s">
        <v>1315</v>
      </c>
      <c r="R13" s="3026"/>
      <c r="S13" s="3083"/>
      <c r="T13" s="2093">
        <v>2000</v>
      </c>
      <c r="U13" s="3084" t="s">
        <v>69</v>
      </c>
      <c r="V13" s="2093">
        <v>2006</v>
      </c>
      <c r="W13" s="3084" t="s">
        <v>69</v>
      </c>
      <c r="X13" s="3084">
        <v>2011</v>
      </c>
      <c r="Y13" s="3084" t="s">
        <v>69</v>
      </c>
      <c r="Z13" s="3084">
        <v>2016</v>
      </c>
      <c r="AA13" s="3085" t="s">
        <v>69</v>
      </c>
    </row>
    <row r="14" spans="1:27" s="11" customFormat="1" ht="15.75" customHeight="1" x14ac:dyDescent="0.2">
      <c r="A14" s="5"/>
      <c r="B14" s="3077"/>
      <c r="C14" s="3077"/>
      <c r="D14" s="3049" t="s">
        <v>1316</v>
      </c>
      <c r="E14" s="2291"/>
      <c r="F14" s="3070"/>
      <c r="G14" s="2291">
        <v>11768544</v>
      </c>
      <c r="H14" s="3070"/>
      <c r="I14" s="2291">
        <v>14162663</v>
      </c>
      <c r="J14" s="2297"/>
      <c r="K14" s="2291">
        <v>13923366.001898218</v>
      </c>
      <c r="L14" s="2297"/>
      <c r="M14" s="2291">
        <v>15749520</v>
      </c>
      <c r="N14" s="2298"/>
      <c r="O14" s="2296"/>
      <c r="P14" s="2296"/>
      <c r="Q14" s="3049" t="s">
        <v>1316</v>
      </c>
      <c r="R14" s="3086"/>
      <c r="S14" s="3087"/>
      <c r="T14" s="3088">
        <v>12147151</v>
      </c>
      <c r="U14" s="3089"/>
      <c r="V14" s="3088">
        <v>13093066</v>
      </c>
      <c r="W14" s="3089"/>
      <c r="X14" s="3088">
        <v>16498464.006729301</v>
      </c>
      <c r="Y14" s="3089"/>
      <c r="Z14" s="3088">
        <v>17372684.139200009</v>
      </c>
      <c r="AA14" s="3090"/>
    </row>
    <row r="15" spans="1:27" s="11" customFormat="1" ht="15.75" customHeight="1" x14ac:dyDescent="0.2">
      <c r="A15" s="5"/>
      <c r="B15" s="3077"/>
      <c r="C15" s="3077"/>
      <c r="D15" s="3049" t="s">
        <v>1317</v>
      </c>
      <c r="E15" s="3091"/>
      <c r="F15" s="3070"/>
      <c r="G15" s="2291">
        <v>8667832</v>
      </c>
      <c r="H15" s="3056">
        <f>G15/G14</f>
        <v>0.73652543594177833</v>
      </c>
      <c r="I15" s="2291">
        <v>9193845</v>
      </c>
      <c r="J15" s="3056">
        <f>I15/I14</f>
        <v>0.64916075458407785</v>
      </c>
      <c r="K15" s="2291">
        <v>9253537</v>
      </c>
      <c r="L15" s="3056">
        <f>K15/K14</f>
        <v>0.66460488065446499</v>
      </c>
      <c r="M15" s="2291">
        <v>10236061</v>
      </c>
      <c r="N15" s="3057">
        <f>M15/M14</f>
        <v>0.64992844226363722</v>
      </c>
      <c r="O15" s="1970"/>
      <c r="P15" s="3058"/>
      <c r="Q15" s="3049" t="s">
        <v>1317</v>
      </c>
      <c r="R15" s="3086"/>
      <c r="S15" s="3087"/>
      <c r="T15" s="3059">
        <v>8327816</v>
      </c>
      <c r="U15" s="3060">
        <f>T15/T14</f>
        <v>0.68557771283159319</v>
      </c>
      <c r="V15" s="3059">
        <v>8899915</v>
      </c>
      <c r="W15" s="3060">
        <f>V15/V14</f>
        <v>0.67974262101787308</v>
      </c>
      <c r="X15" s="3059">
        <v>9820251</v>
      </c>
      <c r="Y15" s="3060">
        <f>X15/X14</f>
        <v>0.59522213679979974</v>
      </c>
      <c r="Z15" s="3059">
        <v>10321966</v>
      </c>
      <c r="AA15" s="3061">
        <f>Z15/Z14</f>
        <v>0.59414917794477984</v>
      </c>
    </row>
    <row r="16" spans="1:27" s="11" customFormat="1" ht="15.75" customHeight="1" x14ac:dyDescent="0.2">
      <c r="A16" s="5"/>
      <c r="B16" s="3077"/>
      <c r="C16" s="3077"/>
      <c r="D16" s="3092" t="s">
        <v>1318</v>
      </c>
      <c r="E16" s="3093"/>
      <c r="F16" s="3094"/>
      <c r="G16" s="3095"/>
      <c r="H16" s="3094"/>
      <c r="I16" s="3095"/>
      <c r="J16" s="3096"/>
      <c r="K16" s="3095"/>
      <c r="L16" s="3096"/>
      <c r="M16" s="3095"/>
      <c r="N16" s="3097"/>
      <c r="O16" s="3042"/>
      <c r="P16" s="3042"/>
      <c r="Q16" s="3049" t="s">
        <v>1319</v>
      </c>
      <c r="R16" s="1355"/>
      <c r="S16" s="3087"/>
      <c r="T16" s="3089"/>
      <c r="U16" s="3072"/>
      <c r="V16" s="3059">
        <v>3169752</v>
      </c>
      <c r="W16" s="3060"/>
      <c r="X16" s="3059">
        <v>4681600</v>
      </c>
      <c r="Y16" s="3060"/>
      <c r="Z16" s="3059">
        <v>5682922.2146270555</v>
      </c>
      <c r="AA16" s="3061"/>
    </row>
    <row r="17" spans="1:27" s="2300" customFormat="1" ht="15.75" customHeight="1" x14ac:dyDescent="0.2">
      <c r="A17" s="3069"/>
      <c r="B17" s="2293"/>
      <c r="C17" s="2293"/>
      <c r="D17" s="3098"/>
      <c r="F17" s="3099"/>
      <c r="G17" s="3099"/>
      <c r="H17" s="3099"/>
      <c r="I17" s="3099"/>
      <c r="J17" s="3099"/>
      <c r="K17" s="3099"/>
      <c r="L17" s="3099"/>
      <c r="M17" s="3099"/>
      <c r="N17" s="3099"/>
      <c r="O17" s="3099"/>
      <c r="P17" s="3099"/>
      <c r="Q17" s="3049" t="s">
        <v>1320</v>
      </c>
      <c r="R17" s="3071"/>
      <c r="S17" s="3087"/>
      <c r="T17" s="3072"/>
      <c r="U17" s="3100"/>
      <c r="V17" s="3072"/>
      <c r="W17" s="3060">
        <f>V16/V14</f>
        <v>0.24209394499347975</v>
      </c>
      <c r="X17" s="3072"/>
      <c r="Y17" s="3060">
        <f>X16/X14</f>
        <v>0.28375974867057291</v>
      </c>
      <c r="Z17" s="3072"/>
      <c r="AA17" s="3061">
        <f>Z16/Z14</f>
        <v>0.32711826043069631</v>
      </c>
    </row>
    <row r="18" spans="1:27" ht="22.5" x14ac:dyDescent="0.2">
      <c r="E18" s="3036"/>
      <c r="F18" s="3040"/>
      <c r="G18" s="3036"/>
      <c r="H18" s="3040"/>
      <c r="I18" s="3036"/>
      <c r="J18" s="3040"/>
      <c r="K18" s="3040"/>
      <c r="L18" s="3040"/>
      <c r="M18" s="3040"/>
      <c r="N18" s="3040"/>
      <c r="O18" s="3040"/>
      <c r="Q18" s="3092" t="s">
        <v>1321</v>
      </c>
      <c r="R18" s="3101"/>
      <c r="S18" s="3102"/>
      <c r="T18" s="3103"/>
      <c r="U18" s="3104"/>
      <c r="V18" s="3103"/>
      <c r="W18" s="3095">
        <f>V16/V15</f>
        <v>0.35615531159567254</v>
      </c>
      <c r="X18" s="3103"/>
      <c r="Y18" s="3095">
        <f>X16/X15</f>
        <v>0.47672915895937895</v>
      </c>
      <c r="Z18" s="3103"/>
      <c r="AA18" s="3105">
        <f>Z16/Z15</f>
        <v>0.55056587229865472</v>
      </c>
    </row>
    <row r="19" spans="1:27" x14ac:dyDescent="0.2">
      <c r="E19" s="3036"/>
      <c r="F19" s="3040"/>
      <c r="G19" s="3036"/>
      <c r="H19" s="3040"/>
      <c r="I19" s="3036"/>
      <c r="J19" s="3040"/>
      <c r="K19" s="3040"/>
      <c r="L19" s="3040"/>
      <c r="M19" s="3040"/>
      <c r="N19" s="3040"/>
      <c r="O19" s="3040"/>
      <c r="Q19" s="3106"/>
      <c r="R19" s="3107"/>
      <c r="S19" s="3036"/>
      <c r="T19" s="3036"/>
      <c r="U19" s="3107"/>
      <c r="V19" s="3036"/>
      <c r="W19" s="3107"/>
    </row>
    <row r="20" spans="1:27" s="943" customFormat="1" ht="14.25" customHeight="1" x14ac:dyDescent="0.2">
      <c r="A20" s="1">
        <v>5</v>
      </c>
      <c r="B20" s="1" t="s">
        <v>29</v>
      </c>
      <c r="C20" s="1"/>
      <c r="D20" s="4140" t="s">
        <v>1322</v>
      </c>
      <c r="E20" s="4141"/>
      <c r="F20" s="4141"/>
      <c r="G20" s="4141"/>
      <c r="H20" s="4141"/>
      <c r="I20" s="4141"/>
      <c r="J20" s="4141"/>
      <c r="K20" s="4141"/>
      <c r="L20" s="4141"/>
      <c r="M20" s="4141"/>
      <c r="N20" s="4141"/>
      <c r="O20" s="4141"/>
      <c r="P20" s="4141"/>
      <c r="Q20" s="4141"/>
      <c r="R20" s="4141"/>
      <c r="S20" s="4141"/>
      <c r="T20" s="4141"/>
      <c r="U20" s="4141"/>
      <c r="V20" s="4141"/>
      <c r="W20" s="4141"/>
      <c r="X20" s="4141"/>
      <c r="Y20" s="4141"/>
      <c r="Z20" s="4141"/>
      <c r="AA20" s="4142"/>
    </row>
    <row r="21" spans="1:27" s="943" customFormat="1" ht="27.75" customHeight="1" x14ac:dyDescent="0.2">
      <c r="A21" s="1">
        <v>6</v>
      </c>
      <c r="B21" s="1" t="s">
        <v>32</v>
      </c>
      <c r="C21" s="1"/>
      <c r="D21" s="4140" t="s">
        <v>1323</v>
      </c>
      <c r="E21" s="4141"/>
      <c r="F21" s="4141"/>
      <c r="G21" s="4141"/>
      <c r="H21" s="4141"/>
      <c r="I21" s="4141"/>
      <c r="J21" s="4141"/>
      <c r="K21" s="4141"/>
      <c r="L21" s="4141"/>
      <c r="M21" s="4141"/>
      <c r="N21" s="4141"/>
      <c r="O21" s="4141"/>
      <c r="P21" s="4141"/>
      <c r="Q21" s="4141"/>
      <c r="R21" s="4141"/>
      <c r="S21" s="4141"/>
      <c r="T21" s="4141"/>
      <c r="U21" s="4141"/>
      <c r="V21" s="4141"/>
      <c r="W21" s="4141"/>
      <c r="X21" s="4141"/>
      <c r="Y21" s="4141"/>
      <c r="Z21" s="4141"/>
      <c r="AA21" s="4142"/>
    </row>
    <row r="22" spans="1:27" s="943" customFormat="1" ht="27.75" customHeight="1" x14ac:dyDescent="0.2">
      <c r="A22" s="1">
        <v>7</v>
      </c>
      <c r="B22" s="1" t="s">
        <v>31</v>
      </c>
      <c r="C22" s="1"/>
      <c r="D22" s="4140" t="s">
        <v>1324</v>
      </c>
      <c r="E22" s="4141"/>
      <c r="F22" s="4141"/>
      <c r="G22" s="4141"/>
      <c r="H22" s="4141"/>
      <c r="I22" s="4141"/>
      <c r="J22" s="4141"/>
      <c r="K22" s="4141"/>
      <c r="L22" s="4141"/>
      <c r="M22" s="4141"/>
      <c r="N22" s="4141"/>
      <c r="O22" s="4141"/>
      <c r="P22" s="4141"/>
      <c r="Q22" s="4141"/>
      <c r="R22" s="4141"/>
      <c r="S22" s="4141"/>
      <c r="T22" s="4141"/>
      <c r="U22" s="4141"/>
      <c r="V22" s="4141"/>
      <c r="W22" s="4141"/>
      <c r="X22" s="4141"/>
      <c r="Y22" s="4141"/>
      <c r="Z22" s="4141"/>
      <c r="AA22" s="4142"/>
    </row>
    <row r="23" spans="1:27" ht="34.15" customHeight="1" x14ac:dyDescent="0.2">
      <c r="A23" s="3024">
        <v>8</v>
      </c>
      <c r="B23" s="1" t="s">
        <v>95</v>
      </c>
      <c r="D23" s="4140" t="s">
        <v>1325</v>
      </c>
      <c r="E23" s="4141"/>
      <c r="F23" s="4141"/>
      <c r="G23" s="4141"/>
      <c r="H23" s="4141"/>
      <c r="I23" s="4141"/>
      <c r="J23" s="4141"/>
      <c r="K23" s="4141"/>
      <c r="L23" s="4141"/>
      <c r="M23" s="4141"/>
      <c r="N23" s="4141"/>
      <c r="O23" s="4141"/>
      <c r="P23" s="4141"/>
      <c r="Q23" s="4141"/>
      <c r="R23" s="4141"/>
      <c r="S23" s="4141"/>
      <c r="T23" s="4141"/>
      <c r="U23" s="4141"/>
      <c r="V23" s="4141"/>
      <c r="W23" s="4141"/>
      <c r="X23" s="4141"/>
      <c r="Y23" s="4141"/>
      <c r="Z23" s="4141"/>
      <c r="AA23" s="4142"/>
    </row>
    <row r="29" spans="1:27" ht="15" customHeight="1" x14ac:dyDescent="0.2"/>
    <row r="30" spans="1:27" ht="13.5" customHeight="1" x14ac:dyDescent="0.2"/>
    <row r="31" spans="1:27" ht="15" customHeight="1" x14ac:dyDescent="0.2"/>
  </sheetData>
  <mergeCells count="7">
    <mergeCell ref="D23:AA23"/>
    <mergeCell ref="D2:AA2"/>
    <mergeCell ref="D3:AA3"/>
    <mergeCell ref="D4:AA4"/>
    <mergeCell ref="D20:AA20"/>
    <mergeCell ref="D21:AA21"/>
    <mergeCell ref="D22:AA22"/>
  </mergeCells>
  <pageMargins left="0.74803149606299202" right="0.74803149606299202" top="0.98425196850393704" bottom="0.98425196850393704" header="0.511811023622047" footer="0.511811023622047"/>
  <pageSetup paperSize="9" scale="51" orientation="landscape" r:id="rId1"/>
  <headerFooter alignWithMargins="0">
    <oddHeader>&amp;C&amp;"-,Bold"DEVELOPMENT INDICATORS 2017</oddHeader>
    <oddFooter>&amp;LDepartment of Planning, Monitoring and Evaluation (DPME). &amp;CPage &amp;P of &amp;N&amp;R&amp;D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40"/>
  <sheetViews>
    <sheetView showGridLines="0" view="pageBreakPreview" zoomScaleNormal="100" zoomScaleSheetLayoutView="100" workbookViewId="0">
      <selection activeCell="L33" sqref="L33"/>
    </sheetView>
  </sheetViews>
  <sheetFormatPr defaultColWidth="9.140625" defaultRowHeight="12" x14ac:dyDescent="0.2"/>
  <cols>
    <col min="1" max="1" width="3.7109375" style="3024" customWidth="1"/>
    <col min="2" max="2" width="14.42578125" style="3025" customWidth="1"/>
    <col min="3" max="3" width="3.7109375" style="3025" customWidth="1"/>
    <col min="4" max="4" width="11.42578125" style="733" customWidth="1"/>
    <col min="5" max="5" width="12" style="733" customWidth="1"/>
    <col min="6" max="6" width="10.85546875" style="3108" customWidth="1"/>
    <col min="7" max="7" width="10.85546875" style="733" customWidth="1"/>
    <col min="8" max="8" width="8.140625" style="3038" customWidth="1"/>
    <col min="9" max="9" width="10.85546875" style="3108" customWidth="1"/>
    <col min="10" max="10" width="10.85546875" style="733" customWidth="1"/>
    <col min="11" max="11" width="8.140625" style="3038" customWidth="1"/>
    <col min="12" max="13" width="10.85546875" style="733" customWidth="1"/>
    <col min="14" max="14" width="8.140625" style="733" customWidth="1"/>
    <col min="15" max="16" width="10.85546875" style="733" customWidth="1"/>
    <col min="17" max="17" width="8.140625" style="733" customWidth="1"/>
    <col min="18" max="259" width="9.140625" style="733"/>
    <col min="260" max="260" width="3.7109375" style="733" customWidth="1"/>
    <col min="261" max="261" width="14.42578125" style="733" customWidth="1"/>
    <col min="262" max="262" width="3.7109375" style="733" customWidth="1"/>
    <col min="263" max="263" width="11.42578125" style="733" customWidth="1"/>
    <col min="264" max="264" width="12" style="733" customWidth="1"/>
    <col min="265" max="266" width="10.85546875" style="733" customWidth="1"/>
    <col min="267" max="267" width="8.140625" style="733" customWidth="1"/>
    <col min="268" max="269" width="10.85546875" style="733" customWidth="1"/>
    <col min="270" max="270" width="8.140625" style="733" customWidth="1"/>
    <col min="271" max="272" width="10.85546875" style="733" customWidth="1"/>
    <col min="273" max="273" width="8.140625" style="733" customWidth="1"/>
    <col min="274" max="515" width="9.140625" style="733"/>
    <col min="516" max="516" width="3.7109375" style="733" customWidth="1"/>
    <col min="517" max="517" width="14.42578125" style="733" customWidth="1"/>
    <col min="518" max="518" width="3.7109375" style="733" customWidth="1"/>
    <col min="519" max="519" width="11.42578125" style="733" customWidth="1"/>
    <col min="520" max="520" width="12" style="733" customWidth="1"/>
    <col min="521" max="522" width="10.85546875" style="733" customWidth="1"/>
    <col min="523" max="523" width="8.140625" style="733" customWidth="1"/>
    <col min="524" max="525" width="10.85546875" style="733" customWidth="1"/>
    <col min="526" max="526" width="8.140625" style="733" customWidth="1"/>
    <col min="527" max="528" width="10.85546875" style="733" customWidth="1"/>
    <col min="529" max="529" width="8.140625" style="733" customWidth="1"/>
    <col min="530" max="771" width="9.140625" style="733"/>
    <col min="772" max="772" width="3.7109375" style="733" customWidth="1"/>
    <col min="773" max="773" width="14.42578125" style="733" customWidth="1"/>
    <col min="774" max="774" width="3.7109375" style="733" customWidth="1"/>
    <col min="775" max="775" width="11.42578125" style="733" customWidth="1"/>
    <col min="776" max="776" width="12" style="733" customWidth="1"/>
    <col min="777" max="778" width="10.85546875" style="733" customWidth="1"/>
    <col min="779" max="779" width="8.140625" style="733" customWidth="1"/>
    <col min="780" max="781" width="10.85546875" style="733" customWidth="1"/>
    <col min="782" max="782" width="8.140625" style="733" customWidth="1"/>
    <col min="783" max="784" width="10.85546875" style="733" customWidth="1"/>
    <col min="785" max="785" width="8.140625" style="733" customWidth="1"/>
    <col min="786" max="1027" width="9.140625" style="733"/>
    <col min="1028" max="1028" width="3.7109375" style="733" customWidth="1"/>
    <col min="1029" max="1029" width="14.42578125" style="733" customWidth="1"/>
    <col min="1030" max="1030" width="3.7109375" style="733" customWidth="1"/>
    <col min="1031" max="1031" width="11.42578125" style="733" customWidth="1"/>
    <col min="1032" max="1032" width="12" style="733" customWidth="1"/>
    <col min="1033" max="1034" width="10.85546875" style="733" customWidth="1"/>
    <col min="1035" max="1035" width="8.140625" style="733" customWidth="1"/>
    <col min="1036" max="1037" width="10.85546875" style="733" customWidth="1"/>
    <col min="1038" max="1038" width="8.140625" style="733" customWidth="1"/>
    <col min="1039" max="1040" width="10.85546875" style="733" customWidth="1"/>
    <col min="1041" max="1041" width="8.140625" style="733" customWidth="1"/>
    <col min="1042" max="1283" width="9.140625" style="733"/>
    <col min="1284" max="1284" width="3.7109375" style="733" customWidth="1"/>
    <col min="1285" max="1285" width="14.42578125" style="733" customWidth="1"/>
    <col min="1286" max="1286" width="3.7109375" style="733" customWidth="1"/>
    <col min="1287" max="1287" width="11.42578125" style="733" customWidth="1"/>
    <col min="1288" max="1288" width="12" style="733" customWidth="1"/>
    <col min="1289" max="1290" width="10.85546875" style="733" customWidth="1"/>
    <col min="1291" max="1291" width="8.140625" style="733" customWidth="1"/>
    <col min="1292" max="1293" width="10.85546875" style="733" customWidth="1"/>
    <col min="1294" max="1294" width="8.140625" style="733" customWidth="1"/>
    <col min="1295" max="1296" width="10.85546875" style="733" customWidth="1"/>
    <col min="1297" max="1297" width="8.140625" style="733" customWidth="1"/>
    <col min="1298" max="1539" width="9.140625" style="733"/>
    <col min="1540" max="1540" width="3.7109375" style="733" customWidth="1"/>
    <col min="1541" max="1541" width="14.42578125" style="733" customWidth="1"/>
    <col min="1542" max="1542" width="3.7109375" style="733" customWidth="1"/>
    <col min="1543" max="1543" width="11.42578125" style="733" customWidth="1"/>
    <col min="1544" max="1544" width="12" style="733" customWidth="1"/>
    <col min="1545" max="1546" width="10.85546875" style="733" customWidth="1"/>
    <col min="1547" max="1547" width="8.140625" style="733" customWidth="1"/>
    <col min="1548" max="1549" width="10.85546875" style="733" customWidth="1"/>
    <col min="1550" max="1550" width="8.140625" style="733" customWidth="1"/>
    <col min="1551" max="1552" width="10.85546875" style="733" customWidth="1"/>
    <col min="1553" max="1553" width="8.140625" style="733" customWidth="1"/>
    <col min="1554" max="1795" width="9.140625" style="733"/>
    <col min="1796" max="1796" width="3.7109375" style="733" customWidth="1"/>
    <col min="1797" max="1797" width="14.42578125" style="733" customWidth="1"/>
    <col min="1798" max="1798" width="3.7109375" style="733" customWidth="1"/>
    <col min="1799" max="1799" width="11.42578125" style="733" customWidth="1"/>
    <col min="1800" max="1800" width="12" style="733" customWidth="1"/>
    <col min="1801" max="1802" width="10.85546875" style="733" customWidth="1"/>
    <col min="1803" max="1803" width="8.140625" style="733" customWidth="1"/>
    <col min="1804" max="1805" width="10.85546875" style="733" customWidth="1"/>
    <col min="1806" max="1806" width="8.140625" style="733" customWidth="1"/>
    <col min="1807" max="1808" width="10.85546875" style="733" customWidth="1"/>
    <col min="1809" max="1809" width="8.140625" style="733" customWidth="1"/>
    <col min="1810" max="2051" width="9.140625" style="733"/>
    <col min="2052" max="2052" width="3.7109375" style="733" customWidth="1"/>
    <col min="2053" max="2053" width="14.42578125" style="733" customWidth="1"/>
    <col min="2054" max="2054" width="3.7109375" style="733" customWidth="1"/>
    <col min="2055" max="2055" width="11.42578125" style="733" customWidth="1"/>
    <col min="2056" max="2056" width="12" style="733" customWidth="1"/>
    <col min="2057" max="2058" width="10.85546875" style="733" customWidth="1"/>
    <col min="2059" max="2059" width="8.140625" style="733" customWidth="1"/>
    <col min="2060" max="2061" width="10.85546875" style="733" customWidth="1"/>
    <col min="2062" max="2062" width="8.140625" style="733" customWidth="1"/>
    <col min="2063" max="2064" width="10.85546875" style="733" customWidth="1"/>
    <col min="2065" max="2065" width="8.140625" style="733" customWidth="1"/>
    <col min="2066" max="2307" width="9.140625" style="733"/>
    <col min="2308" max="2308" width="3.7109375" style="733" customWidth="1"/>
    <col min="2309" max="2309" width="14.42578125" style="733" customWidth="1"/>
    <col min="2310" max="2310" width="3.7109375" style="733" customWidth="1"/>
    <col min="2311" max="2311" width="11.42578125" style="733" customWidth="1"/>
    <col min="2312" max="2312" width="12" style="733" customWidth="1"/>
    <col min="2313" max="2314" width="10.85546875" style="733" customWidth="1"/>
    <col min="2315" max="2315" width="8.140625" style="733" customWidth="1"/>
    <col min="2316" max="2317" width="10.85546875" style="733" customWidth="1"/>
    <col min="2318" max="2318" width="8.140625" style="733" customWidth="1"/>
    <col min="2319" max="2320" width="10.85546875" style="733" customWidth="1"/>
    <col min="2321" max="2321" width="8.140625" style="733" customWidth="1"/>
    <col min="2322" max="2563" width="9.140625" style="733"/>
    <col min="2564" max="2564" width="3.7109375" style="733" customWidth="1"/>
    <col min="2565" max="2565" width="14.42578125" style="733" customWidth="1"/>
    <col min="2566" max="2566" width="3.7109375" style="733" customWidth="1"/>
    <col min="2567" max="2567" width="11.42578125" style="733" customWidth="1"/>
    <col min="2568" max="2568" width="12" style="733" customWidth="1"/>
    <col min="2569" max="2570" width="10.85546875" style="733" customWidth="1"/>
    <col min="2571" max="2571" width="8.140625" style="733" customWidth="1"/>
    <col min="2572" max="2573" width="10.85546875" style="733" customWidth="1"/>
    <col min="2574" max="2574" width="8.140625" style="733" customWidth="1"/>
    <col min="2575" max="2576" width="10.85546875" style="733" customWidth="1"/>
    <col min="2577" max="2577" width="8.140625" style="733" customWidth="1"/>
    <col min="2578" max="2819" width="9.140625" style="733"/>
    <col min="2820" max="2820" width="3.7109375" style="733" customWidth="1"/>
    <col min="2821" max="2821" width="14.42578125" style="733" customWidth="1"/>
    <col min="2822" max="2822" width="3.7109375" style="733" customWidth="1"/>
    <col min="2823" max="2823" width="11.42578125" style="733" customWidth="1"/>
    <col min="2824" max="2824" width="12" style="733" customWidth="1"/>
    <col min="2825" max="2826" width="10.85546875" style="733" customWidth="1"/>
    <col min="2827" max="2827" width="8.140625" style="733" customWidth="1"/>
    <col min="2828" max="2829" width="10.85546875" style="733" customWidth="1"/>
    <col min="2830" max="2830" width="8.140625" style="733" customWidth="1"/>
    <col min="2831" max="2832" width="10.85546875" style="733" customWidth="1"/>
    <col min="2833" max="2833" width="8.140625" style="733" customWidth="1"/>
    <col min="2834" max="3075" width="9.140625" style="733"/>
    <col min="3076" max="3076" width="3.7109375" style="733" customWidth="1"/>
    <col min="3077" max="3077" width="14.42578125" style="733" customWidth="1"/>
    <col min="3078" max="3078" width="3.7109375" style="733" customWidth="1"/>
    <col min="3079" max="3079" width="11.42578125" style="733" customWidth="1"/>
    <col min="3080" max="3080" width="12" style="733" customWidth="1"/>
    <col min="3081" max="3082" width="10.85546875" style="733" customWidth="1"/>
    <col min="3083" max="3083" width="8.140625" style="733" customWidth="1"/>
    <col min="3084" max="3085" width="10.85546875" style="733" customWidth="1"/>
    <col min="3086" max="3086" width="8.140625" style="733" customWidth="1"/>
    <col min="3087" max="3088" width="10.85546875" style="733" customWidth="1"/>
    <col min="3089" max="3089" width="8.140625" style="733" customWidth="1"/>
    <col min="3090" max="3331" width="9.140625" style="733"/>
    <col min="3332" max="3332" width="3.7109375" style="733" customWidth="1"/>
    <col min="3333" max="3333" width="14.42578125" style="733" customWidth="1"/>
    <col min="3334" max="3334" width="3.7109375" style="733" customWidth="1"/>
    <col min="3335" max="3335" width="11.42578125" style="733" customWidth="1"/>
    <col min="3336" max="3336" width="12" style="733" customWidth="1"/>
    <col min="3337" max="3338" width="10.85546875" style="733" customWidth="1"/>
    <col min="3339" max="3339" width="8.140625" style="733" customWidth="1"/>
    <col min="3340" max="3341" width="10.85546875" style="733" customWidth="1"/>
    <col min="3342" max="3342" width="8.140625" style="733" customWidth="1"/>
    <col min="3343" max="3344" width="10.85546875" style="733" customWidth="1"/>
    <col min="3345" max="3345" width="8.140625" style="733" customWidth="1"/>
    <col min="3346" max="3587" width="9.140625" style="733"/>
    <col min="3588" max="3588" width="3.7109375" style="733" customWidth="1"/>
    <col min="3589" max="3589" width="14.42578125" style="733" customWidth="1"/>
    <col min="3590" max="3590" width="3.7109375" style="733" customWidth="1"/>
    <col min="3591" max="3591" width="11.42578125" style="733" customWidth="1"/>
    <col min="3592" max="3592" width="12" style="733" customWidth="1"/>
    <col min="3593" max="3594" width="10.85546875" style="733" customWidth="1"/>
    <col min="3595" max="3595" width="8.140625" style="733" customWidth="1"/>
    <col min="3596" max="3597" width="10.85546875" style="733" customWidth="1"/>
    <col min="3598" max="3598" width="8.140625" style="733" customWidth="1"/>
    <col min="3599" max="3600" width="10.85546875" style="733" customWidth="1"/>
    <col min="3601" max="3601" width="8.140625" style="733" customWidth="1"/>
    <col min="3602" max="3843" width="9.140625" style="733"/>
    <col min="3844" max="3844" width="3.7109375" style="733" customWidth="1"/>
    <col min="3845" max="3845" width="14.42578125" style="733" customWidth="1"/>
    <col min="3846" max="3846" width="3.7109375" style="733" customWidth="1"/>
    <col min="3847" max="3847" width="11.42578125" style="733" customWidth="1"/>
    <col min="3848" max="3848" width="12" style="733" customWidth="1"/>
    <col min="3849" max="3850" width="10.85546875" style="733" customWidth="1"/>
    <col min="3851" max="3851" width="8.140625" style="733" customWidth="1"/>
    <col min="3852" max="3853" width="10.85546875" style="733" customWidth="1"/>
    <col min="3854" max="3854" width="8.140625" style="733" customWidth="1"/>
    <col min="3855" max="3856" width="10.85546875" style="733" customWidth="1"/>
    <col min="3857" max="3857" width="8.140625" style="733" customWidth="1"/>
    <col min="3858" max="4099" width="9.140625" style="733"/>
    <col min="4100" max="4100" width="3.7109375" style="733" customWidth="1"/>
    <col min="4101" max="4101" width="14.42578125" style="733" customWidth="1"/>
    <col min="4102" max="4102" width="3.7109375" style="733" customWidth="1"/>
    <col min="4103" max="4103" width="11.42578125" style="733" customWidth="1"/>
    <col min="4104" max="4104" width="12" style="733" customWidth="1"/>
    <col min="4105" max="4106" width="10.85546875" style="733" customWidth="1"/>
    <col min="4107" max="4107" width="8.140625" style="733" customWidth="1"/>
    <col min="4108" max="4109" width="10.85546875" style="733" customWidth="1"/>
    <col min="4110" max="4110" width="8.140625" style="733" customWidth="1"/>
    <col min="4111" max="4112" width="10.85546875" style="733" customWidth="1"/>
    <col min="4113" max="4113" width="8.140625" style="733" customWidth="1"/>
    <col min="4114" max="4355" width="9.140625" style="733"/>
    <col min="4356" max="4356" width="3.7109375" style="733" customWidth="1"/>
    <col min="4357" max="4357" width="14.42578125" style="733" customWidth="1"/>
    <col min="4358" max="4358" width="3.7109375" style="733" customWidth="1"/>
    <col min="4359" max="4359" width="11.42578125" style="733" customWidth="1"/>
    <col min="4360" max="4360" width="12" style="733" customWidth="1"/>
    <col min="4361" max="4362" width="10.85546875" style="733" customWidth="1"/>
    <col min="4363" max="4363" width="8.140625" style="733" customWidth="1"/>
    <col min="4364" max="4365" width="10.85546875" style="733" customWidth="1"/>
    <col min="4366" max="4366" width="8.140625" style="733" customWidth="1"/>
    <col min="4367" max="4368" width="10.85546875" style="733" customWidth="1"/>
    <col min="4369" max="4369" width="8.140625" style="733" customWidth="1"/>
    <col min="4370" max="4611" width="9.140625" style="733"/>
    <col min="4612" max="4612" width="3.7109375" style="733" customWidth="1"/>
    <col min="4613" max="4613" width="14.42578125" style="733" customWidth="1"/>
    <col min="4614" max="4614" width="3.7109375" style="733" customWidth="1"/>
    <col min="4615" max="4615" width="11.42578125" style="733" customWidth="1"/>
    <col min="4616" max="4616" width="12" style="733" customWidth="1"/>
    <col min="4617" max="4618" width="10.85546875" style="733" customWidth="1"/>
    <col min="4619" max="4619" width="8.140625" style="733" customWidth="1"/>
    <col min="4620" max="4621" width="10.85546875" style="733" customWidth="1"/>
    <col min="4622" max="4622" width="8.140625" style="733" customWidth="1"/>
    <col min="4623" max="4624" width="10.85546875" style="733" customWidth="1"/>
    <col min="4625" max="4625" width="8.140625" style="733" customWidth="1"/>
    <col min="4626" max="4867" width="9.140625" style="733"/>
    <col min="4868" max="4868" width="3.7109375" style="733" customWidth="1"/>
    <col min="4869" max="4869" width="14.42578125" style="733" customWidth="1"/>
    <col min="4870" max="4870" width="3.7109375" style="733" customWidth="1"/>
    <col min="4871" max="4871" width="11.42578125" style="733" customWidth="1"/>
    <col min="4872" max="4872" width="12" style="733" customWidth="1"/>
    <col min="4873" max="4874" width="10.85546875" style="733" customWidth="1"/>
    <col min="4875" max="4875" width="8.140625" style="733" customWidth="1"/>
    <col min="4876" max="4877" width="10.85546875" style="733" customWidth="1"/>
    <col min="4878" max="4878" width="8.140625" style="733" customWidth="1"/>
    <col min="4879" max="4880" width="10.85546875" style="733" customWidth="1"/>
    <col min="4881" max="4881" width="8.140625" style="733" customWidth="1"/>
    <col min="4882" max="5123" width="9.140625" style="733"/>
    <col min="5124" max="5124" width="3.7109375" style="733" customWidth="1"/>
    <col min="5125" max="5125" width="14.42578125" style="733" customWidth="1"/>
    <col min="5126" max="5126" width="3.7109375" style="733" customWidth="1"/>
    <col min="5127" max="5127" width="11.42578125" style="733" customWidth="1"/>
    <col min="5128" max="5128" width="12" style="733" customWidth="1"/>
    <col min="5129" max="5130" width="10.85546875" style="733" customWidth="1"/>
    <col min="5131" max="5131" width="8.140625" style="733" customWidth="1"/>
    <col min="5132" max="5133" width="10.85546875" style="733" customWidth="1"/>
    <col min="5134" max="5134" width="8.140625" style="733" customWidth="1"/>
    <col min="5135" max="5136" width="10.85546875" style="733" customWidth="1"/>
    <col min="5137" max="5137" width="8.140625" style="733" customWidth="1"/>
    <col min="5138" max="5379" width="9.140625" style="733"/>
    <col min="5380" max="5380" width="3.7109375" style="733" customWidth="1"/>
    <col min="5381" max="5381" width="14.42578125" style="733" customWidth="1"/>
    <col min="5382" max="5382" width="3.7109375" style="733" customWidth="1"/>
    <col min="5383" max="5383" width="11.42578125" style="733" customWidth="1"/>
    <col min="5384" max="5384" width="12" style="733" customWidth="1"/>
    <col min="5385" max="5386" width="10.85546875" style="733" customWidth="1"/>
    <col min="5387" max="5387" width="8.140625" style="733" customWidth="1"/>
    <col min="5388" max="5389" width="10.85546875" style="733" customWidth="1"/>
    <col min="5390" max="5390" width="8.140625" style="733" customWidth="1"/>
    <col min="5391" max="5392" width="10.85546875" style="733" customWidth="1"/>
    <col min="5393" max="5393" width="8.140625" style="733" customWidth="1"/>
    <col min="5394" max="5635" width="9.140625" style="733"/>
    <col min="5636" max="5636" width="3.7109375" style="733" customWidth="1"/>
    <col min="5637" max="5637" width="14.42578125" style="733" customWidth="1"/>
    <col min="5638" max="5638" width="3.7109375" style="733" customWidth="1"/>
    <col min="5639" max="5639" width="11.42578125" style="733" customWidth="1"/>
    <col min="5640" max="5640" width="12" style="733" customWidth="1"/>
    <col min="5641" max="5642" width="10.85546875" style="733" customWidth="1"/>
    <col min="5643" max="5643" width="8.140625" style="733" customWidth="1"/>
    <col min="5644" max="5645" width="10.85546875" style="733" customWidth="1"/>
    <col min="5646" max="5646" width="8.140625" style="733" customWidth="1"/>
    <col min="5647" max="5648" width="10.85546875" style="733" customWidth="1"/>
    <col min="5649" max="5649" width="8.140625" style="733" customWidth="1"/>
    <col min="5650" max="5891" width="9.140625" style="733"/>
    <col min="5892" max="5892" width="3.7109375" style="733" customWidth="1"/>
    <col min="5893" max="5893" width="14.42578125" style="733" customWidth="1"/>
    <col min="5894" max="5894" width="3.7109375" style="733" customWidth="1"/>
    <col min="5895" max="5895" width="11.42578125" style="733" customWidth="1"/>
    <col min="5896" max="5896" width="12" style="733" customWidth="1"/>
    <col min="5897" max="5898" width="10.85546875" style="733" customWidth="1"/>
    <col min="5899" max="5899" width="8.140625" style="733" customWidth="1"/>
    <col min="5900" max="5901" width="10.85546875" style="733" customWidth="1"/>
    <col min="5902" max="5902" width="8.140625" style="733" customWidth="1"/>
    <col min="5903" max="5904" width="10.85546875" style="733" customWidth="1"/>
    <col min="5905" max="5905" width="8.140625" style="733" customWidth="1"/>
    <col min="5906" max="6147" width="9.140625" style="733"/>
    <col min="6148" max="6148" width="3.7109375" style="733" customWidth="1"/>
    <col min="6149" max="6149" width="14.42578125" style="733" customWidth="1"/>
    <col min="6150" max="6150" width="3.7109375" style="733" customWidth="1"/>
    <col min="6151" max="6151" width="11.42578125" style="733" customWidth="1"/>
    <col min="6152" max="6152" width="12" style="733" customWidth="1"/>
    <col min="6153" max="6154" width="10.85546875" style="733" customWidth="1"/>
    <col min="6155" max="6155" width="8.140625" style="733" customWidth="1"/>
    <col min="6156" max="6157" width="10.85546875" style="733" customWidth="1"/>
    <col min="6158" max="6158" width="8.140625" style="733" customWidth="1"/>
    <col min="6159" max="6160" width="10.85546875" style="733" customWidth="1"/>
    <col min="6161" max="6161" width="8.140625" style="733" customWidth="1"/>
    <col min="6162" max="6403" width="9.140625" style="733"/>
    <col min="6404" max="6404" width="3.7109375" style="733" customWidth="1"/>
    <col min="6405" max="6405" width="14.42578125" style="733" customWidth="1"/>
    <col min="6406" max="6406" width="3.7109375" style="733" customWidth="1"/>
    <col min="6407" max="6407" width="11.42578125" style="733" customWidth="1"/>
    <col min="6408" max="6408" width="12" style="733" customWidth="1"/>
    <col min="6409" max="6410" width="10.85546875" style="733" customWidth="1"/>
    <col min="6411" max="6411" width="8.140625" style="733" customWidth="1"/>
    <col min="6412" max="6413" width="10.85546875" style="733" customWidth="1"/>
    <col min="6414" max="6414" width="8.140625" style="733" customWidth="1"/>
    <col min="6415" max="6416" width="10.85546875" style="733" customWidth="1"/>
    <col min="6417" max="6417" width="8.140625" style="733" customWidth="1"/>
    <col min="6418" max="6659" width="9.140625" style="733"/>
    <col min="6660" max="6660" width="3.7109375" style="733" customWidth="1"/>
    <col min="6661" max="6661" width="14.42578125" style="733" customWidth="1"/>
    <col min="6662" max="6662" width="3.7109375" style="733" customWidth="1"/>
    <col min="6663" max="6663" width="11.42578125" style="733" customWidth="1"/>
    <col min="6664" max="6664" width="12" style="733" customWidth="1"/>
    <col min="6665" max="6666" width="10.85546875" style="733" customWidth="1"/>
    <col min="6667" max="6667" width="8.140625" style="733" customWidth="1"/>
    <col min="6668" max="6669" width="10.85546875" style="733" customWidth="1"/>
    <col min="6670" max="6670" width="8.140625" style="733" customWidth="1"/>
    <col min="6671" max="6672" width="10.85546875" style="733" customWidth="1"/>
    <col min="6673" max="6673" width="8.140625" style="733" customWidth="1"/>
    <col min="6674" max="6915" width="9.140625" style="733"/>
    <col min="6916" max="6916" width="3.7109375" style="733" customWidth="1"/>
    <col min="6917" max="6917" width="14.42578125" style="733" customWidth="1"/>
    <col min="6918" max="6918" width="3.7109375" style="733" customWidth="1"/>
    <col min="6919" max="6919" width="11.42578125" style="733" customWidth="1"/>
    <col min="6920" max="6920" width="12" style="733" customWidth="1"/>
    <col min="6921" max="6922" width="10.85546875" style="733" customWidth="1"/>
    <col min="6923" max="6923" width="8.140625" style="733" customWidth="1"/>
    <col min="6924" max="6925" width="10.85546875" style="733" customWidth="1"/>
    <col min="6926" max="6926" width="8.140625" style="733" customWidth="1"/>
    <col min="6927" max="6928" width="10.85546875" style="733" customWidth="1"/>
    <col min="6929" max="6929" width="8.140625" style="733" customWidth="1"/>
    <col min="6930" max="7171" width="9.140625" style="733"/>
    <col min="7172" max="7172" width="3.7109375" style="733" customWidth="1"/>
    <col min="7173" max="7173" width="14.42578125" style="733" customWidth="1"/>
    <col min="7174" max="7174" width="3.7109375" style="733" customWidth="1"/>
    <col min="7175" max="7175" width="11.42578125" style="733" customWidth="1"/>
    <col min="7176" max="7176" width="12" style="733" customWidth="1"/>
    <col min="7177" max="7178" width="10.85546875" style="733" customWidth="1"/>
    <col min="7179" max="7179" width="8.140625" style="733" customWidth="1"/>
    <col min="7180" max="7181" width="10.85546875" style="733" customWidth="1"/>
    <col min="7182" max="7182" width="8.140625" style="733" customWidth="1"/>
    <col min="7183" max="7184" width="10.85546875" style="733" customWidth="1"/>
    <col min="7185" max="7185" width="8.140625" style="733" customWidth="1"/>
    <col min="7186" max="7427" width="9.140625" style="733"/>
    <col min="7428" max="7428" width="3.7109375" style="733" customWidth="1"/>
    <col min="7429" max="7429" width="14.42578125" style="733" customWidth="1"/>
    <col min="7430" max="7430" width="3.7109375" style="733" customWidth="1"/>
    <col min="7431" max="7431" width="11.42578125" style="733" customWidth="1"/>
    <col min="7432" max="7432" width="12" style="733" customWidth="1"/>
    <col min="7433" max="7434" width="10.85546875" style="733" customWidth="1"/>
    <col min="7435" max="7435" width="8.140625" style="733" customWidth="1"/>
    <col min="7436" max="7437" width="10.85546875" style="733" customWidth="1"/>
    <col min="7438" max="7438" width="8.140625" style="733" customWidth="1"/>
    <col min="7439" max="7440" width="10.85546875" style="733" customWidth="1"/>
    <col min="7441" max="7441" width="8.140625" style="733" customWidth="1"/>
    <col min="7442" max="7683" width="9.140625" style="733"/>
    <col min="7684" max="7684" width="3.7109375" style="733" customWidth="1"/>
    <col min="7685" max="7685" width="14.42578125" style="733" customWidth="1"/>
    <col min="7686" max="7686" width="3.7109375" style="733" customWidth="1"/>
    <col min="7687" max="7687" width="11.42578125" style="733" customWidth="1"/>
    <col min="7688" max="7688" width="12" style="733" customWidth="1"/>
    <col min="7689" max="7690" width="10.85546875" style="733" customWidth="1"/>
    <col min="7691" max="7691" width="8.140625" style="733" customWidth="1"/>
    <col min="7692" max="7693" width="10.85546875" style="733" customWidth="1"/>
    <col min="7694" max="7694" width="8.140625" style="733" customWidth="1"/>
    <col min="7695" max="7696" width="10.85546875" style="733" customWidth="1"/>
    <col min="7697" max="7697" width="8.140625" style="733" customWidth="1"/>
    <col min="7698" max="7939" width="9.140625" style="733"/>
    <col min="7940" max="7940" width="3.7109375" style="733" customWidth="1"/>
    <col min="7941" max="7941" width="14.42578125" style="733" customWidth="1"/>
    <col min="7942" max="7942" width="3.7109375" style="733" customWidth="1"/>
    <col min="7943" max="7943" width="11.42578125" style="733" customWidth="1"/>
    <col min="7944" max="7944" width="12" style="733" customWidth="1"/>
    <col min="7945" max="7946" width="10.85546875" style="733" customWidth="1"/>
    <col min="7947" max="7947" width="8.140625" style="733" customWidth="1"/>
    <col min="7948" max="7949" width="10.85546875" style="733" customWidth="1"/>
    <col min="7950" max="7950" width="8.140625" style="733" customWidth="1"/>
    <col min="7951" max="7952" width="10.85546875" style="733" customWidth="1"/>
    <col min="7953" max="7953" width="8.140625" style="733" customWidth="1"/>
    <col min="7954" max="8195" width="9.140625" style="733"/>
    <col min="8196" max="8196" width="3.7109375" style="733" customWidth="1"/>
    <col min="8197" max="8197" width="14.42578125" style="733" customWidth="1"/>
    <col min="8198" max="8198" width="3.7109375" style="733" customWidth="1"/>
    <col min="8199" max="8199" width="11.42578125" style="733" customWidth="1"/>
    <col min="8200" max="8200" width="12" style="733" customWidth="1"/>
    <col min="8201" max="8202" width="10.85546875" style="733" customWidth="1"/>
    <col min="8203" max="8203" width="8.140625" style="733" customWidth="1"/>
    <col min="8204" max="8205" width="10.85546875" style="733" customWidth="1"/>
    <col min="8206" max="8206" width="8.140625" style="733" customWidth="1"/>
    <col min="8207" max="8208" width="10.85546875" style="733" customWidth="1"/>
    <col min="8209" max="8209" width="8.140625" style="733" customWidth="1"/>
    <col min="8210" max="8451" width="9.140625" style="733"/>
    <col min="8452" max="8452" width="3.7109375" style="733" customWidth="1"/>
    <col min="8453" max="8453" width="14.42578125" style="733" customWidth="1"/>
    <col min="8454" max="8454" width="3.7109375" style="733" customWidth="1"/>
    <col min="8455" max="8455" width="11.42578125" style="733" customWidth="1"/>
    <col min="8456" max="8456" width="12" style="733" customWidth="1"/>
    <col min="8457" max="8458" width="10.85546875" style="733" customWidth="1"/>
    <col min="8459" max="8459" width="8.140625" style="733" customWidth="1"/>
    <col min="8460" max="8461" width="10.85546875" style="733" customWidth="1"/>
    <col min="8462" max="8462" width="8.140625" style="733" customWidth="1"/>
    <col min="8463" max="8464" width="10.85546875" style="733" customWidth="1"/>
    <col min="8465" max="8465" width="8.140625" style="733" customWidth="1"/>
    <col min="8466" max="8707" width="9.140625" style="733"/>
    <col min="8708" max="8708" width="3.7109375" style="733" customWidth="1"/>
    <col min="8709" max="8709" width="14.42578125" style="733" customWidth="1"/>
    <col min="8710" max="8710" width="3.7109375" style="733" customWidth="1"/>
    <col min="8711" max="8711" width="11.42578125" style="733" customWidth="1"/>
    <col min="8712" max="8712" width="12" style="733" customWidth="1"/>
    <col min="8713" max="8714" width="10.85546875" style="733" customWidth="1"/>
    <col min="8715" max="8715" width="8.140625" style="733" customWidth="1"/>
    <col min="8716" max="8717" width="10.85546875" style="733" customWidth="1"/>
    <col min="8718" max="8718" width="8.140625" style="733" customWidth="1"/>
    <col min="8719" max="8720" width="10.85546875" style="733" customWidth="1"/>
    <col min="8721" max="8721" width="8.140625" style="733" customWidth="1"/>
    <col min="8722" max="8963" width="9.140625" style="733"/>
    <col min="8964" max="8964" width="3.7109375" style="733" customWidth="1"/>
    <col min="8965" max="8965" width="14.42578125" style="733" customWidth="1"/>
    <col min="8966" max="8966" width="3.7109375" style="733" customWidth="1"/>
    <col min="8967" max="8967" width="11.42578125" style="733" customWidth="1"/>
    <col min="8968" max="8968" width="12" style="733" customWidth="1"/>
    <col min="8969" max="8970" width="10.85546875" style="733" customWidth="1"/>
    <col min="8971" max="8971" width="8.140625" style="733" customWidth="1"/>
    <col min="8972" max="8973" width="10.85546875" style="733" customWidth="1"/>
    <col min="8974" max="8974" width="8.140625" style="733" customWidth="1"/>
    <col min="8975" max="8976" width="10.85546875" style="733" customWidth="1"/>
    <col min="8977" max="8977" width="8.140625" style="733" customWidth="1"/>
    <col min="8978" max="9219" width="9.140625" style="733"/>
    <col min="9220" max="9220" width="3.7109375" style="733" customWidth="1"/>
    <col min="9221" max="9221" width="14.42578125" style="733" customWidth="1"/>
    <col min="9222" max="9222" width="3.7109375" style="733" customWidth="1"/>
    <col min="9223" max="9223" width="11.42578125" style="733" customWidth="1"/>
    <col min="9224" max="9224" width="12" style="733" customWidth="1"/>
    <col min="9225" max="9226" width="10.85546875" style="733" customWidth="1"/>
    <col min="9227" max="9227" width="8.140625" style="733" customWidth="1"/>
    <col min="9228" max="9229" width="10.85546875" style="733" customWidth="1"/>
    <col min="9230" max="9230" width="8.140625" style="733" customWidth="1"/>
    <col min="9231" max="9232" width="10.85546875" style="733" customWidth="1"/>
    <col min="9233" max="9233" width="8.140625" style="733" customWidth="1"/>
    <col min="9234" max="9475" width="9.140625" style="733"/>
    <col min="9476" max="9476" width="3.7109375" style="733" customWidth="1"/>
    <col min="9477" max="9477" width="14.42578125" style="733" customWidth="1"/>
    <col min="9478" max="9478" width="3.7109375" style="733" customWidth="1"/>
    <col min="9479" max="9479" width="11.42578125" style="733" customWidth="1"/>
    <col min="9480" max="9480" width="12" style="733" customWidth="1"/>
    <col min="9481" max="9482" width="10.85546875" style="733" customWidth="1"/>
    <col min="9483" max="9483" width="8.140625" style="733" customWidth="1"/>
    <col min="9484" max="9485" width="10.85546875" style="733" customWidth="1"/>
    <col min="9486" max="9486" width="8.140625" style="733" customWidth="1"/>
    <col min="9487" max="9488" width="10.85546875" style="733" customWidth="1"/>
    <col min="9489" max="9489" width="8.140625" style="733" customWidth="1"/>
    <col min="9490" max="9731" width="9.140625" style="733"/>
    <col min="9732" max="9732" width="3.7109375" style="733" customWidth="1"/>
    <col min="9733" max="9733" width="14.42578125" style="733" customWidth="1"/>
    <col min="9734" max="9734" width="3.7109375" style="733" customWidth="1"/>
    <col min="9735" max="9735" width="11.42578125" style="733" customWidth="1"/>
    <col min="9736" max="9736" width="12" style="733" customWidth="1"/>
    <col min="9737" max="9738" width="10.85546875" style="733" customWidth="1"/>
    <col min="9739" max="9739" width="8.140625" style="733" customWidth="1"/>
    <col min="9740" max="9741" width="10.85546875" style="733" customWidth="1"/>
    <col min="9742" max="9742" width="8.140625" style="733" customWidth="1"/>
    <col min="9743" max="9744" width="10.85546875" style="733" customWidth="1"/>
    <col min="9745" max="9745" width="8.140625" style="733" customWidth="1"/>
    <col min="9746" max="9987" width="9.140625" style="733"/>
    <col min="9988" max="9988" width="3.7109375" style="733" customWidth="1"/>
    <col min="9989" max="9989" width="14.42578125" style="733" customWidth="1"/>
    <col min="9990" max="9990" width="3.7109375" style="733" customWidth="1"/>
    <col min="9991" max="9991" width="11.42578125" style="733" customWidth="1"/>
    <col min="9992" max="9992" width="12" style="733" customWidth="1"/>
    <col min="9993" max="9994" width="10.85546875" style="733" customWidth="1"/>
    <col min="9995" max="9995" width="8.140625" style="733" customWidth="1"/>
    <col min="9996" max="9997" width="10.85546875" style="733" customWidth="1"/>
    <col min="9998" max="9998" width="8.140625" style="733" customWidth="1"/>
    <col min="9999" max="10000" width="10.85546875" style="733" customWidth="1"/>
    <col min="10001" max="10001" width="8.140625" style="733" customWidth="1"/>
    <col min="10002" max="10243" width="9.140625" style="733"/>
    <col min="10244" max="10244" width="3.7109375" style="733" customWidth="1"/>
    <col min="10245" max="10245" width="14.42578125" style="733" customWidth="1"/>
    <col min="10246" max="10246" width="3.7109375" style="733" customWidth="1"/>
    <col min="10247" max="10247" width="11.42578125" style="733" customWidth="1"/>
    <col min="10248" max="10248" width="12" style="733" customWidth="1"/>
    <col min="10249" max="10250" width="10.85546875" style="733" customWidth="1"/>
    <col min="10251" max="10251" width="8.140625" style="733" customWidth="1"/>
    <col min="10252" max="10253" width="10.85546875" style="733" customWidth="1"/>
    <col min="10254" max="10254" width="8.140625" style="733" customWidth="1"/>
    <col min="10255" max="10256" width="10.85546875" style="733" customWidth="1"/>
    <col min="10257" max="10257" width="8.140625" style="733" customWidth="1"/>
    <col min="10258" max="10499" width="9.140625" style="733"/>
    <col min="10500" max="10500" width="3.7109375" style="733" customWidth="1"/>
    <col min="10501" max="10501" width="14.42578125" style="733" customWidth="1"/>
    <col min="10502" max="10502" width="3.7109375" style="733" customWidth="1"/>
    <col min="10503" max="10503" width="11.42578125" style="733" customWidth="1"/>
    <col min="10504" max="10504" width="12" style="733" customWidth="1"/>
    <col min="10505" max="10506" width="10.85546875" style="733" customWidth="1"/>
    <col min="10507" max="10507" width="8.140625" style="733" customWidth="1"/>
    <col min="10508" max="10509" width="10.85546875" style="733" customWidth="1"/>
    <col min="10510" max="10510" width="8.140625" style="733" customWidth="1"/>
    <col min="10511" max="10512" width="10.85546875" style="733" customWidth="1"/>
    <col min="10513" max="10513" width="8.140625" style="733" customWidth="1"/>
    <col min="10514" max="10755" width="9.140625" style="733"/>
    <col min="10756" max="10756" width="3.7109375" style="733" customWidth="1"/>
    <col min="10757" max="10757" width="14.42578125" style="733" customWidth="1"/>
    <col min="10758" max="10758" width="3.7109375" style="733" customWidth="1"/>
    <col min="10759" max="10759" width="11.42578125" style="733" customWidth="1"/>
    <col min="10760" max="10760" width="12" style="733" customWidth="1"/>
    <col min="10761" max="10762" width="10.85546875" style="733" customWidth="1"/>
    <col min="10763" max="10763" width="8.140625" style="733" customWidth="1"/>
    <col min="10764" max="10765" width="10.85546875" style="733" customWidth="1"/>
    <col min="10766" max="10766" width="8.140625" style="733" customWidth="1"/>
    <col min="10767" max="10768" width="10.85546875" style="733" customWidth="1"/>
    <col min="10769" max="10769" width="8.140625" style="733" customWidth="1"/>
    <col min="10770" max="11011" width="9.140625" style="733"/>
    <col min="11012" max="11012" width="3.7109375" style="733" customWidth="1"/>
    <col min="11013" max="11013" width="14.42578125" style="733" customWidth="1"/>
    <col min="11014" max="11014" width="3.7109375" style="733" customWidth="1"/>
    <col min="11015" max="11015" width="11.42578125" style="733" customWidth="1"/>
    <col min="11016" max="11016" width="12" style="733" customWidth="1"/>
    <col min="11017" max="11018" width="10.85546875" style="733" customWidth="1"/>
    <col min="11019" max="11019" width="8.140625" style="733" customWidth="1"/>
    <col min="11020" max="11021" width="10.85546875" style="733" customWidth="1"/>
    <col min="11022" max="11022" width="8.140625" style="733" customWidth="1"/>
    <col min="11023" max="11024" width="10.85546875" style="733" customWidth="1"/>
    <col min="11025" max="11025" width="8.140625" style="733" customWidth="1"/>
    <col min="11026" max="11267" width="9.140625" style="733"/>
    <col min="11268" max="11268" width="3.7109375" style="733" customWidth="1"/>
    <col min="11269" max="11269" width="14.42578125" style="733" customWidth="1"/>
    <col min="11270" max="11270" width="3.7109375" style="733" customWidth="1"/>
    <col min="11271" max="11271" width="11.42578125" style="733" customWidth="1"/>
    <col min="11272" max="11272" width="12" style="733" customWidth="1"/>
    <col min="11273" max="11274" width="10.85546875" style="733" customWidth="1"/>
    <col min="11275" max="11275" width="8.140625" style="733" customWidth="1"/>
    <col min="11276" max="11277" width="10.85546875" style="733" customWidth="1"/>
    <col min="11278" max="11278" width="8.140625" style="733" customWidth="1"/>
    <col min="11279" max="11280" width="10.85546875" style="733" customWidth="1"/>
    <col min="11281" max="11281" width="8.140625" style="733" customWidth="1"/>
    <col min="11282" max="11523" width="9.140625" style="733"/>
    <col min="11524" max="11524" width="3.7109375" style="733" customWidth="1"/>
    <col min="11525" max="11525" width="14.42578125" style="733" customWidth="1"/>
    <col min="11526" max="11526" width="3.7109375" style="733" customWidth="1"/>
    <col min="11527" max="11527" width="11.42578125" style="733" customWidth="1"/>
    <col min="11528" max="11528" width="12" style="733" customWidth="1"/>
    <col min="11529" max="11530" width="10.85546875" style="733" customWidth="1"/>
    <col min="11531" max="11531" width="8.140625" style="733" customWidth="1"/>
    <col min="11532" max="11533" width="10.85546875" style="733" customWidth="1"/>
    <col min="11534" max="11534" width="8.140625" style="733" customWidth="1"/>
    <col min="11535" max="11536" width="10.85546875" style="733" customWidth="1"/>
    <col min="11537" max="11537" width="8.140625" style="733" customWidth="1"/>
    <col min="11538" max="11779" width="9.140625" style="733"/>
    <col min="11780" max="11780" width="3.7109375" style="733" customWidth="1"/>
    <col min="11781" max="11781" width="14.42578125" style="733" customWidth="1"/>
    <col min="11782" max="11782" width="3.7109375" style="733" customWidth="1"/>
    <col min="11783" max="11783" width="11.42578125" style="733" customWidth="1"/>
    <col min="11784" max="11784" width="12" style="733" customWidth="1"/>
    <col min="11785" max="11786" width="10.85546875" style="733" customWidth="1"/>
    <col min="11787" max="11787" width="8.140625" style="733" customWidth="1"/>
    <col min="11788" max="11789" width="10.85546875" style="733" customWidth="1"/>
    <col min="11790" max="11790" width="8.140625" style="733" customWidth="1"/>
    <col min="11791" max="11792" width="10.85546875" style="733" customWidth="1"/>
    <col min="11793" max="11793" width="8.140625" style="733" customWidth="1"/>
    <col min="11794" max="12035" width="9.140625" style="733"/>
    <col min="12036" max="12036" width="3.7109375" style="733" customWidth="1"/>
    <col min="12037" max="12037" width="14.42578125" style="733" customWidth="1"/>
    <col min="12038" max="12038" width="3.7109375" style="733" customWidth="1"/>
    <col min="12039" max="12039" width="11.42578125" style="733" customWidth="1"/>
    <col min="12040" max="12040" width="12" style="733" customWidth="1"/>
    <col min="12041" max="12042" width="10.85546875" style="733" customWidth="1"/>
    <col min="12043" max="12043" width="8.140625" style="733" customWidth="1"/>
    <col min="12044" max="12045" width="10.85546875" style="733" customWidth="1"/>
    <col min="12046" max="12046" width="8.140625" style="733" customWidth="1"/>
    <col min="12047" max="12048" width="10.85546875" style="733" customWidth="1"/>
    <col min="12049" max="12049" width="8.140625" style="733" customWidth="1"/>
    <col min="12050" max="12291" width="9.140625" style="733"/>
    <col min="12292" max="12292" width="3.7109375" style="733" customWidth="1"/>
    <col min="12293" max="12293" width="14.42578125" style="733" customWidth="1"/>
    <col min="12294" max="12294" width="3.7109375" style="733" customWidth="1"/>
    <col min="12295" max="12295" width="11.42578125" style="733" customWidth="1"/>
    <col min="12296" max="12296" width="12" style="733" customWidth="1"/>
    <col min="12297" max="12298" width="10.85546875" style="733" customWidth="1"/>
    <col min="12299" max="12299" width="8.140625" style="733" customWidth="1"/>
    <col min="12300" max="12301" width="10.85546875" style="733" customWidth="1"/>
    <col min="12302" max="12302" width="8.140625" style="733" customWidth="1"/>
    <col min="12303" max="12304" width="10.85546875" style="733" customWidth="1"/>
    <col min="12305" max="12305" width="8.140625" style="733" customWidth="1"/>
    <col min="12306" max="12547" width="9.140625" style="733"/>
    <col min="12548" max="12548" width="3.7109375" style="733" customWidth="1"/>
    <col min="12549" max="12549" width="14.42578125" style="733" customWidth="1"/>
    <col min="12550" max="12550" width="3.7109375" style="733" customWidth="1"/>
    <col min="12551" max="12551" width="11.42578125" style="733" customWidth="1"/>
    <col min="12552" max="12552" width="12" style="733" customWidth="1"/>
    <col min="12553" max="12554" width="10.85546875" style="733" customWidth="1"/>
    <col min="12555" max="12555" width="8.140625" style="733" customWidth="1"/>
    <col min="12556" max="12557" width="10.85546875" style="733" customWidth="1"/>
    <col min="12558" max="12558" width="8.140625" style="733" customWidth="1"/>
    <col min="12559" max="12560" width="10.85546875" style="733" customWidth="1"/>
    <col min="12561" max="12561" width="8.140625" style="733" customWidth="1"/>
    <col min="12562" max="12803" width="9.140625" style="733"/>
    <col min="12804" max="12804" width="3.7109375" style="733" customWidth="1"/>
    <col min="12805" max="12805" width="14.42578125" style="733" customWidth="1"/>
    <col min="12806" max="12806" width="3.7109375" style="733" customWidth="1"/>
    <col min="12807" max="12807" width="11.42578125" style="733" customWidth="1"/>
    <col min="12808" max="12808" width="12" style="733" customWidth="1"/>
    <col min="12809" max="12810" width="10.85546875" style="733" customWidth="1"/>
    <col min="12811" max="12811" width="8.140625" style="733" customWidth="1"/>
    <col min="12812" max="12813" width="10.85546875" style="733" customWidth="1"/>
    <col min="12814" max="12814" width="8.140625" style="733" customWidth="1"/>
    <col min="12815" max="12816" width="10.85546875" style="733" customWidth="1"/>
    <col min="12817" max="12817" width="8.140625" style="733" customWidth="1"/>
    <col min="12818" max="13059" width="9.140625" style="733"/>
    <col min="13060" max="13060" width="3.7109375" style="733" customWidth="1"/>
    <col min="13061" max="13061" width="14.42578125" style="733" customWidth="1"/>
    <col min="13062" max="13062" width="3.7109375" style="733" customWidth="1"/>
    <col min="13063" max="13063" width="11.42578125" style="733" customWidth="1"/>
    <col min="13064" max="13064" width="12" style="733" customWidth="1"/>
    <col min="13065" max="13066" width="10.85546875" style="733" customWidth="1"/>
    <col min="13067" max="13067" width="8.140625" style="733" customWidth="1"/>
    <col min="13068" max="13069" width="10.85546875" style="733" customWidth="1"/>
    <col min="13070" max="13070" width="8.140625" style="733" customWidth="1"/>
    <col min="13071" max="13072" width="10.85546875" style="733" customWidth="1"/>
    <col min="13073" max="13073" width="8.140625" style="733" customWidth="1"/>
    <col min="13074" max="13315" width="9.140625" style="733"/>
    <col min="13316" max="13316" width="3.7109375" style="733" customWidth="1"/>
    <col min="13317" max="13317" width="14.42578125" style="733" customWidth="1"/>
    <col min="13318" max="13318" width="3.7109375" style="733" customWidth="1"/>
    <col min="13319" max="13319" width="11.42578125" style="733" customWidth="1"/>
    <col min="13320" max="13320" width="12" style="733" customWidth="1"/>
    <col min="13321" max="13322" width="10.85546875" style="733" customWidth="1"/>
    <col min="13323" max="13323" width="8.140625" style="733" customWidth="1"/>
    <col min="13324" max="13325" width="10.85546875" style="733" customWidth="1"/>
    <col min="13326" max="13326" width="8.140625" style="733" customWidth="1"/>
    <col min="13327" max="13328" width="10.85546875" style="733" customWidth="1"/>
    <col min="13329" max="13329" width="8.140625" style="733" customWidth="1"/>
    <col min="13330" max="13571" width="9.140625" style="733"/>
    <col min="13572" max="13572" width="3.7109375" style="733" customWidth="1"/>
    <col min="13573" max="13573" width="14.42578125" style="733" customWidth="1"/>
    <col min="13574" max="13574" width="3.7109375" style="733" customWidth="1"/>
    <col min="13575" max="13575" width="11.42578125" style="733" customWidth="1"/>
    <col min="13576" max="13576" width="12" style="733" customWidth="1"/>
    <col min="13577" max="13578" width="10.85546875" style="733" customWidth="1"/>
    <col min="13579" max="13579" width="8.140625" style="733" customWidth="1"/>
    <col min="13580" max="13581" width="10.85546875" style="733" customWidth="1"/>
    <col min="13582" max="13582" width="8.140625" style="733" customWidth="1"/>
    <col min="13583" max="13584" width="10.85546875" style="733" customWidth="1"/>
    <col min="13585" max="13585" width="8.140625" style="733" customWidth="1"/>
    <col min="13586" max="13827" width="9.140625" style="733"/>
    <col min="13828" max="13828" width="3.7109375" style="733" customWidth="1"/>
    <col min="13829" max="13829" width="14.42578125" style="733" customWidth="1"/>
    <col min="13830" max="13830" width="3.7109375" style="733" customWidth="1"/>
    <col min="13831" max="13831" width="11.42578125" style="733" customWidth="1"/>
    <col min="13832" max="13832" width="12" style="733" customWidth="1"/>
    <col min="13833" max="13834" width="10.85546875" style="733" customWidth="1"/>
    <col min="13835" max="13835" width="8.140625" style="733" customWidth="1"/>
    <col min="13836" max="13837" width="10.85546875" style="733" customWidth="1"/>
    <col min="13838" max="13838" width="8.140625" style="733" customWidth="1"/>
    <col min="13839" max="13840" width="10.85546875" style="733" customWidth="1"/>
    <col min="13841" max="13841" width="8.140625" style="733" customWidth="1"/>
    <col min="13842" max="14083" width="9.140625" style="733"/>
    <col min="14084" max="14084" width="3.7109375" style="733" customWidth="1"/>
    <col min="14085" max="14085" width="14.42578125" style="733" customWidth="1"/>
    <col min="14086" max="14086" width="3.7109375" style="733" customWidth="1"/>
    <col min="14087" max="14087" width="11.42578125" style="733" customWidth="1"/>
    <col min="14088" max="14088" width="12" style="733" customWidth="1"/>
    <col min="14089" max="14090" width="10.85546875" style="733" customWidth="1"/>
    <col min="14091" max="14091" width="8.140625" style="733" customWidth="1"/>
    <col min="14092" max="14093" width="10.85546875" style="733" customWidth="1"/>
    <col min="14094" max="14094" width="8.140625" style="733" customWidth="1"/>
    <col min="14095" max="14096" width="10.85546875" style="733" customWidth="1"/>
    <col min="14097" max="14097" width="8.140625" style="733" customWidth="1"/>
    <col min="14098" max="14339" width="9.140625" style="733"/>
    <col min="14340" max="14340" width="3.7109375" style="733" customWidth="1"/>
    <col min="14341" max="14341" width="14.42578125" style="733" customWidth="1"/>
    <col min="14342" max="14342" width="3.7109375" style="733" customWidth="1"/>
    <col min="14343" max="14343" width="11.42578125" style="733" customWidth="1"/>
    <col min="14344" max="14344" width="12" style="733" customWidth="1"/>
    <col min="14345" max="14346" width="10.85546875" style="733" customWidth="1"/>
    <col min="14347" max="14347" width="8.140625" style="733" customWidth="1"/>
    <col min="14348" max="14349" width="10.85546875" style="733" customWidth="1"/>
    <col min="14350" max="14350" width="8.140625" style="733" customWidth="1"/>
    <col min="14351" max="14352" width="10.85546875" style="733" customWidth="1"/>
    <col min="14353" max="14353" width="8.140625" style="733" customWidth="1"/>
    <col min="14354" max="14595" width="9.140625" style="733"/>
    <col min="14596" max="14596" width="3.7109375" style="733" customWidth="1"/>
    <col min="14597" max="14597" width="14.42578125" style="733" customWidth="1"/>
    <col min="14598" max="14598" width="3.7109375" style="733" customWidth="1"/>
    <col min="14599" max="14599" width="11.42578125" style="733" customWidth="1"/>
    <col min="14600" max="14600" width="12" style="733" customWidth="1"/>
    <col min="14601" max="14602" width="10.85546875" style="733" customWidth="1"/>
    <col min="14603" max="14603" width="8.140625" style="733" customWidth="1"/>
    <col min="14604" max="14605" width="10.85546875" style="733" customWidth="1"/>
    <col min="14606" max="14606" width="8.140625" style="733" customWidth="1"/>
    <col min="14607" max="14608" width="10.85546875" style="733" customWidth="1"/>
    <col min="14609" max="14609" width="8.140625" style="733" customWidth="1"/>
    <col min="14610" max="14851" width="9.140625" style="733"/>
    <col min="14852" max="14852" width="3.7109375" style="733" customWidth="1"/>
    <col min="14853" max="14853" width="14.42578125" style="733" customWidth="1"/>
    <col min="14854" max="14854" width="3.7109375" style="733" customWidth="1"/>
    <col min="14855" max="14855" width="11.42578125" style="733" customWidth="1"/>
    <col min="14856" max="14856" width="12" style="733" customWidth="1"/>
    <col min="14857" max="14858" width="10.85546875" style="733" customWidth="1"/>
    <col min="14859" max="14859" width="8.140625" style="733" customWidth="1"/>
    <col min="14860" max="14861" width="10.85546875" style="733" customWidth="1"/>
    <col min="14862" max="14862" width="8.140625" style="733" customWidth="1"/>
    <col min="14863" max="14864" width="10.85546875" style="733" customWidth="1"/>
    <col min="14865" max="14865" width="8.140625" style="733" customWidth="1"/>
    <col min="14866" max="15107" width="9.140625" style="733"/>
    <col min="15108" max="15108" width="3.7109375" style="733" customWidth="1"/>
    <col min="15109" max="15109" width="14.42578125" style="733" customWidth="1"/>
    <col min="15110" max="15110" width="3.7109375" style="733" customWidth="1"/>
    <col min="15111" max="15111" width="11.42578125" style="733" customWidth="1"/>
    <col min="15112" max="15112" width="12" style="733" customWidth="1"/>
    <col min="15113" max="15114" width="10.85546875" style="733" customWidth="1"/>
    <col min="15115" max="15115" width="8.140625" style="733" customWidth="1"/>
    <col min="15116" max="15117" width="10.85546875" style="733" customWidth="1"/>
    <col min="15118" max="15118" width="8.140625" style="733" customWidth="1"/>
    <col min="15119" max="15120" width="10.85546875" style="733" customWidth="1"/>
    <col min="15121" max="15121" width="8.140625" style="733" customWidth="1"/>
    <col min="15122" max="15363" width="9.140625" style="733"/>
    <col min="15364" max="15364" width="3.7109375" style="733" customWidth="1"/>
    <col min="15365" max="15365" width="14.42578125" style="733" customWidth="1"/>
    <col min="15366" max="15366" width="3.7109375" style="733" customWidth="1"/>
    <col min="15367" max="15367" width="11.42578125" style="733" customWidth="1"/>
    <col min="15368" max="15368" width="12" style="733" customWidth="1"/>
    <col min="15369" max="15370" width="10.85546875" style="733" customWidth="1"/>
    <col min="15371" max="15371" width="8.140625" style="733" customWidth="1"/>
    <col min="15372" max="15373" width="10.85546875" style="733" customWidth="1"/>
    <col min="15374" max="15374" width="8.140625" style="733" customWidth="1"/>
    <col min="15375" max="15376" width="10.85546875" style="733" customWidth="1"/>
    <col min="15377" max="15377" width="8.140625" style="733" customWidth="1"/>
    <col min="15378" max="15619" width="9.140625" style="733"/>
    <col min="15620" max="15620" width="3.7109375" style="733" customWidth="1"/>
    <col min="15621" max="15621" width="14.42578125" style="733" customWidth="1"/>
    <col min="15622" max="15622" width="3.7109375" style="733" customWidth="1"/>
    <col min="15623" max="15623" width="11.42578125" style="733" customWidth="1"/>
    <col min="15624" max="15624" width="12" style="733" customWidth="1"/>
    <col min="15625" max="15626" width="10.85546875" style="733" customWidth="1"/>
    <col min="15627" max="15627" width="8.140625" style="733" customWidth="1"/>
    <col min="15628" max="15629" width="10.85546875" style="733" customWidth="1"/>
    <col min="15630" max="15630" width="8.140625" style="733" customWidth="1"/>
    <col min="15631" max="15632" width="10.85546875" style="733" customWidth="1"/>
    <col min="15633" max="15633" width="8.140625" style="733" customWidth="1"/>
    <col min="15634" max="15875" width="9.140625" style="733"/>
    <col min="15876" max="15876" width="3.7109375" style="733" customWidth="1"/>
    <col min="15877" max="15877" width="14.42578125" style="733" customWidth="1"/>
    <col min="15878" max="15878" width="3.7109375" style="733" customWidth="1"/>
    <col min="15879" max="15879" width="11.42578125" style="733" customWidth="1"/>
    <col min="15880" max="15880" width="12" style="733" customWidth="1"/>
    <col min="15881" max="15882" width="10.85546875" style="733" customWidth="1"/>
    <col min="15883" max="15883" width="8.140625" style="733" customWidth="1"/>
    <col min="15884" max="15885" width="10.85546875" style="733" customWidth="1"/>
    <col min="15886" max="15886" width="8.140625" style="733" customWidth="1"/>
    <col min="15887" max="15888" width="10.85546875" style="733" customWidth="1"/>
    <col min="15889" max="15889" width="8.140625" style="733" customWidth="1"/>
    <col min="15890" max="16131" width="9.140625" style="733"/>
    <col min="16132" max="16132" width="3.7109375" style="733" customWidth="1"/>
    <col min="16133" max="16133" width="14.42578125" style="733" customWidth="1"/>
    <col min="16134" max="16134" width="3.7109375" style="733" customWidth="1"/>
    <col min="16135" max="16135" width="11.42578125" style="733" customWidth="1"/>
    <col min="16136" max="16136" width="12" style="733" customWidth="1"/>
    <col min="16137" max="16138" width="10.85546875" style="733" customWidth="1"/>
    <col min="16139" max="16139" width="8.140625" style="733" customWidth="1"/>
    <col min="16140" max="16141" width="10.85546875" style="733" customWidth="1"/>
    <col min="16142" max="16142" width="8.140625" style="733" customWidth="1"/>
    <col min="16143" max="16144" width="10.85546875" style="733" customWidth="1"/>
    <col min="16145" max="16145" width="8.140625" style="733" customWidth="1"/>
    <col min="16146" max="16384" width="9.140625" style="733"/>
  </cols>
  <sheetData>
    <row r="1" spans="1:22" x14ac:dyDescent="0.2">
      <c r="B1" s="1778"/>
    </row>
    <row r="2" spans="1:22" s="943" customFormat="1" ht="15" customHeight="1" x14ac:dyDescent="0.2">
      <c r="A2" s="1">
        <v>1</v>
      </c>
      <c r="B2" s="1" t="s">
        <v>0</v>
      </c>
      <c r="C2" s="1">
        <v>53</v>
      </c>
      <c r="D2" s="4140" t="s">
        <v>1326</v>
      </c>
      <c r="E2" s="4141"/>
      <c r="F2" s="4141"/>
      <c r="G2" s="4141"/>
      <c r="H2" s="4141"/>
      <c r="I2" s="4141"/>
      <c r="J2" s="4141"/>
      <c r="K2" s="4141"/>
      <c r="L2" s="4141"/>
      <c r="M2" s="4141"/>
      <c r="N2" s="4141"/>
      <c r="O2" s="4141"/>
      <c r="P2" s="4141"/>
      <c r="Q2" s="4142"/>
      <c r="R2" s="11"/>
      <c r="S2" s="11"/>
      <c r="T2" s="3023"/>
      <c r="U2" s="3023"/>
      <c r="V2" s="3023"/>
    </row>
    <row r="3" spans="1:22" s="943" customFormat="1" ht="15" customHeight="1" x14ac:dyDescent="0.2">
      <c r="A3" s="1">
        <v>2</v>
      </c>
      <c r="B3" s="1" t="s">
        <v>2</v>
      </c>
      <c r="C3" s="1"/>
      <c r="D3" s="4140" t="s">
        <v>1284</v>
      </c>
      <c r="E3" s="4141"/>
      <c r="F3" s="4141"/>
      <c r="G3" s="4141"/>
      <c r="H3" s="4141"/>
      <c r="I3" s="4141"/>
      <c r="J3" s="4141"/>
      <c r="K3" s="4141"/>
      <c r="L3" s="4141"/>
      <c r="M3" s="4141"/>
      <c r="N3" s="4141"/>
      <c r="O3" s="4141"/>
      <c r="P3" s="4141"/>
      <c r="Q3" s="4142"/>
      <c r="R3" s="11"/>
      <c r="S3" s="11"/>
    </row>
    <row r="4" spans="1:22" s="943" customFormat="1" ht="15" customHeight="1" x14ac:dyDescent="0.2">
      <c r="A4" s="1">
        <v>3</v>
      </c>
      <c r="B4" s="1" t="s">
        <v>4</v>
      </c>
      <c r="C4" s="1"/>
      <c r="D4" s="4140" t="s">
        <v>1327</v>
      </c>
      <c r="E4" s="4141"/>
      <c r="F4" s="4141"/>
      <c r="G4" s="4141"/>
      <c r="H4" s="4141"/>
      <c r="I4" s="4141"/>
      <c r="J4" s="4141"/>
      <c r="K4" s="4141"/>
      <c r="L4" s="4141"/>
      <c r="M4" s="4141"/>
      <c r="N4" s="4141"/>
      <c r="O4" s="4141"/>
      <c r="P4" s="4141"/>
      <c r="Q4" s="4142"/>
      <c r="R4" s="11"/>
      <c r="S4" s="11"/>
    </row>
    <row r="5" spans="1:22" s="943" customFormat="1" ht="15" customHeight="1" x14ac:dyDescent="0.25">
      <c r="A5" s="1"/>
      <c r="B5" s="1"/>
      <c r="C5" s="1"/>
      <c r="D5" s="1769"/>
      <c r="E5" s="1769"/>
      <c r="F5" s="1769"/>
      <c r="G5" s="1769"/>
      <c r="H5" s="1769"/>
      <c r="I5" s="1769"/>
      <c r="J5" s="1769"/>
      <c r="K5" s="1769"/>
      <c r="L5" s="1769"/>
      <c r="M5" s="1769"/>
      <c r="N5" s="1769"/>
      <c r="O5" s="1769"/>
      <c r="P5" s="1769"/>
      <c r="Q5" s="3109"/>
      <c r="R5" s="3109"/>
      <c r="S5" s="3109"/>
    </row>
    <row r="6" spans="1:22" ht="12.75" x14ac:dyDescent="0.2">
      <c r="A6" s="1">
        <v>4</v>
      </c>
      <c r="B6" s="1" t="s">
        <v>5</v>
      </c>
      <c r="C6" s="1"/>
      <c r="D6" s="3036"/>
      <c r="E6" s="3036"/>
      <c r="F6" s="3110"/>
      <c r="G6" s="3036"/>
      <c r="H6" s="3040"/>
      <c r="I6" s="3110"/>
    </row>
    <row r="7" spans="1:22" s="11" customFormat="1" ht="12.75" x14ac:dyDescent="0.2">
      <c r="A7" s="5"/>
      <c r="B7" s="6"/>
      <c r="C7" s="6"/>
      <c r="D7" s="1381" t="s">
        <v>40</v>
      </c>
      <c r="E7" s="1381" t="s">
        <v>1328</v>
      </c>
      <c r="F7" s="1381"/>
      <c r="G7" s="3111"/>
      <c r="H7" s="3112"/>
      <c r="I7" s="18"/>
      <c r="J7" s="18"/>
      <c r="K7" s="3113"/>
      <c r="L7" s="17"/>
      <c r="M7" s="17"/>
      <c r="N7" s="17"/>
      <c r="O7" s="17"/>
      <c r="P7" s="17"/>
      <c r="Q7" s="17"/>
    </row>
    <row r="8" spans="1:22" s="11" customFormat="1" ht="15" x14ac:dyDescent="0.25">
      <c r="A8" s="5"/>
      <c r="B8" s="6"/>
      <c r="C8" s="6"/>
      <c r="D8" s="3114"/>
      <c r="E8" s="3115"/>
      <c r="F8" s="4328">
        <v>1999</v>
      </c>
      <c r="G8" s="4329"/>
      <c r="H8" s="4330"/>
      <c r="I8" s="4328">
        <v>2004</v>
      </c>
      <c r="J8" s="4329"/>
      <c r="K8" s="4329"/>
      <c r="L8" s="4328">
        <v>2009</v>
      </c>
      <c r="M8" s="4329"/>
      <c r="N8" s="4329"/>
      <c r="O8" s="4328">
        <v>2014</v>
      </c>
      <c r="P8" s="4329"/>
      <c r="Q8" s="4332"/>
    </row>
    <row r="9" spans="1:22" s="11" customFormat="1" ht="16.5" customHeight="1" x14ac:dyDescent="0.2">
      <c r="A9" s="5"/>
      <c r="B9" s="6"/>
      <c r="C9" s="6"/>
      <c r="D9" s="3116"/>
      <c r="E9" s="1693"/>
      <c r="F9" s="3117" t="s">
        <v>1329</v>
      </c>
      <c r="G9" s="3118" t="s">
        <v>1330</v>
      </c>
      <c r="H9" s="3119" t="s">
        <v>69</v>
      </c>
      <c r="I9" s="3120" t="s">
        <v>1329</v>
      </c>
      <c r="J9" s="3118" t="s">
        <v>1330</v>
      </c>
      <c r="K9" s="3121" t="s">
        <v>69</v>
      </c>
      <c r="L9" s="3117" t="s">
        <v>1329</v>
      </c>
      <c r="M9" s="3118" t="s">
        <v>1331</v>
      </c>
      <c r="N9" s="3121" t="s">
        <v>69</v>
      </c>
      <c r="O9" s="3117" t="s">
        <v>1329</v>
      </c>
      <c r="P9" s="3118" t="s">
        <v>1331</v>
      </c>
      <c r="Q9" s="3122" t="s">
        <v>69</v>
      </c>
    </row>
    <row r="10" spans="1:22" s="11" customFormat="1" ht="11.25" x14ac:dyDescent="0.2">
      <c r="A10" s="5"/>
      <c r="B10" s="6"/>
      <c r="C10" s="6"/>
      <c r="D10" s="3123" t="s">
        <v>19</v>
      </c>
      <c r="E10" s="2061"/>
      <c r="F10" s="3124">
        <v>2454543</v>
      </c>
      <c r="G10" s="24">
        <v>2177266</v>
      </c>
      <c r="H10" s="3125">
        <f t="shared" ref="H10:H18" si="0">G10/F10</f>
        <v>0.88703518333147968</v>
      </c>
      <c r="I10" s="24">
        <v>2849486</v>
      </c>
      <c r="J10" s="3126">
        <v>2310226</v>
      </c>
      <c r="K10" s="3127">
        <f t="shared" ref="K10:K18" si="1">J10/I10</f>
        <v>0.81075183383950644</v>
      </c>
      <c r="L10" s="3124">
        <v>3056559</v>
      </c>
      <c r="M10" s="3126">
        <v>2344098</v>
      </c>
      <c r="N10" s="3127">
        <f t="shared" ref="N10:N18" si="2">M10/L10</f>
        <v>0.7669074930338331</v>
      </c>
      <c r="O10" s="3124">
        <v>3240059</v>
      </c>
      <c r="P10" s="3126">
        <v>2278555</v>
      </c>
      <c r="Q10" s="3128">
        <f t="shared" ref="Q10:Q18" si="3">P10/O10</f>
        <v>0.70324491004639111</v>
      </c>
    </row>
    <row r="11" spans="1:22" s="11" customFormat="1" ht="11.25" x14ac:dyDescent="0.2">
      <c r="A11" s="5"/>
      <c r="B11" s="6"/>
      <c r="C11" s="6"/>
      <c r="D11" s="23" t="s">
        <v>20</v>
      </c>
      <c r="E11" s="17"/>
      <c r="F11" s="3124">
        <v>1226730</v>
      </c>
      <c r="G11" s="24">
        <v>1090908</v>
      </c>
      <c r="H11" s="3125">
        <f t="shared" si="0"/>
        <v>0.889281259934949</v>
      </c>
      <c r="I11" s="24">
        <v>1321195</v>
      </c>
      <c r="J11" s="3126">
        <v>1042120</v>
      </c>
      <c r="K11" s="3127">
        <f t="shared" si="1"/>
        <v>0.78877077191481959</v>
      </c>
      <c r="L11" s="3124">
        <v>1388588</v>
      </c>
      <c r="M11" s="3126">
        <v>1069127</v>
      </c>
      <c r="N11" s="3127">
        <f t="shared" si="2"/>
        <v>0.76993823942018802</v>
      </c>
      <c r="O11" s="3124">
        <v>1449488</v>
      </c>
      <c r="P11" s="3126">
        <v>1051027</v>
      </c>
      <c r="Q11" s="3128">
        <f t="shared" si="3"/>
        <v>0.72510224299890724</v>
      </c>
    </row>
    <row r="12" spans="1:22" s="11" customFormat="1" ht="11.25" x14ac:dyDescent="0.2">
      <c r="A12" s="5"/>
      <c r="B12" s="6"/>
      <c r="C12" s="6"/>
      <c r="D12" s="23" t="s">
        <v>21</v>
      </c>
      <c r="E12" s="17"/>
      <c r="F12" s="3124">
        <v>4158087</v>
      </c>
      <c r="G12" s="24">
        <v>3662790</v>
      </c>
      <c r="H12" s="3125">
        <f t="shared" si="0"/>
        <v>0.88088344471868918</v>
      </c>
      <c r="I12" s="24">
        <v>4650594</v>
      </c>
      <c r="J12" s="3126">
        <v>3553098</v>
      </c>
      <c r="K12" s="3127">
        <f t="shared" si="1"/>
        <v>0.76400950072184326</v>
      </c>
      <c r="L12" s="3124">
        <v>5555159</v>
      </c>
      <c r="M12" s="3126">
        <v>4391699</v>
      </c>
      <c r="N12" s="3127">
        <f t="shared" si="2"/>
        <v>0.79056225033342875</v>
      </c>
      <c r="O12" s="3124">
        <v>6063739</v>
      </c>
      <c r="P12" s="3126">
        <v>4638981</v>
      </c>
      <c r="Q12" s="3128">
        <f t="shared" si="3"/>
        <v>0.76503639091326325</v>
      </c>
    </row>
    <row r="13" spans="1:22" s="11" customFormat="1" ht="11.25" x14ac:dyDescent="0.2">
      <c r="A13" s="5"/>
      <c r="B13" s="6"/>
      <c r="C13" s="6"/>
      <c r="D13" s="23" t="s">
        <v>22</v>
      </c>
      <c r="E13" s="17"/>
      <c r="F13" s="3124">
        <v>3443978</v>
      </c>
      <c r="G13" s="24">
        <v>2963358</v>
      </c>
      <c r="H13" s="3125">
        <f t="shared" si="0"/>
        <v>0.86044626301329452</v>
      </c>
      <c r="I13" s="24">
        <v>3819864</v>
      </c>
      <c r="J13" s="3126">
        <v>2807885</v>
      </c>
      <c r="K13" s="3127">
        <f t="shared" si="1"/>
        <v>0.73507459951453769</v>
      </c>
      <c r="L13" s="3124">
        <v>4475217</v>
      </c>
      <c r="M13" s="3126">
        <v>3574326</v>
      </c>
      <c r="N13" s="3127">
        <f t="shared" si="2"/>
        <v>0.7986933371052175</v>
      </c>
      <c r="O13" s="3124">
        <v>5117131</v>
      </c>
      <c r="P13" s="3126">
        <v>3935771</v>
      </c>
      <c r="Q13" s="3128">
        <f t="shared" si="3"/>
        <v>0.76913626014264636</v>
      </c>
    </row>
    <row r="14" spans="1:22" s="11" customFormat="1" ht="11.25" x14ac:dyDescent="0.2">
      <c r="A14" s="5"/>
      <c r="B14" s="6"/>
      <c r="C14" s="6"/>
      <c r="D14" s="23" t="s">
        <v>23</v>
      </c>
      <c r="E14" s="17"/>
      <c r="F14" s="3124">
        <v>1847766</v>
      </c>
      <c r="G14" s="24">
        <v>1658694</v>
      </c>
      <c r="H14" s="3125">
        <f t="shared" si="0"/>
        <v>0.89767535499624951</v>
      </c>
      <c r="I14" s="24">
        <v>2187912</v>
      </c>
      <c r="J14" s="3126">
        <v>1686757</v>
      </c>
      <c r="K14" s="3127">
        <f t="shared" si="1"/>
        <v>0.77094371254419736</v>
      </c>
      <c r="L14" s="3124">
        <v>2256073</v>
      </c>
      <c r="M14" s="3126">
        <v>1570592</v>
      </c>
      <c r="N14" s="3127">
        <f t="shared" si="2"/>
        <v>0.69616187064868906</v>
      </c>
      <c r="O14" s="3124">
        <v>2440348</v>
      </c>
      <c r="P14" s="3126">
        <v>1543986</v>
      </c>
      <c r="Q14" s="3128">
        <f t="shared" si="3"/>
        <v>0.63269091129625776</v>
      </c>
    </row>
    <row r="15" spans="1:22" s="11" customFormat="1" ht="11.25" x14ac:dyDescent="0.2">
      <c r="A15" s="5"/>
      <c r="B15" s="6"/>
      <c r="C15" s="6"/>
      <c r="D15" s="23" t="s">
        <v>24</v>
      </c>
      <c r="E15" s="17"/>
      <c r="F15" s="3124">
        <v>1277783</v>
      </c>
      <c r="G15" s="24">
        <v>1129536</v>
      </c>
      <c r="H15" s="3125">
        <f t="shared" si="0"/>
        <v>0.88398108285992227</v>
      </c>
      <c r="I15" s="24">
        <v>1442472</v>
      </c>
      <c r="J15" s="3126">
        <v>1157963</v>
      </c>
      <c r="K15" s="3127">
        <f t="shared" si="1"/>
        <v>0.80276289591756378</v>
      </c>
      <c r="L15" s="3124">
        <v>1696705</v>
      </c>
      <c r="M15" s="3126">
        <v>1363836</v>
      </c>
      <c r="N15" s="3127">
        <f t="shared" si="2"/>
        <v>0.80381445212927405</v>
      </c>
      <c r="O15" s="3124">
        <v>1860834</v>
      </c>
      <c r="P15" s="3126">
        <v>1408269</v>
      </c>
      <c r="Q15" s="3128">
        <f t="shared" si="3"/>
        <v>0.75679453406375852</v>
      </c>
    </row>
    <row r="16" spans="1:22" s="11" customFormat="1" ht="11.25" x14ac:dyDescent="0.2">
      <c r="A16" s="5"/>
      <c r="B16" s="6"/>
      <c r="C16" s="6"/>
      <c r="D16" s="23" t="s">
        <v>25</v>
      </c>
      <c r="E16" s="17"/>
      <c r="F16" s="3124">
        <v>1527672</v>
      </c>
      <c r="G16" s="24">
        <v>1305441</v>
      </c>
      <c r="H16" s="3125">
        <f t="shared" si="0"/>
        <v>0.8545296372519755</v>
      </c>
      <c r="I16" s="24">
        <v>1749529</v>
      </c>
      <c r="J16" s="3126">
        <v>1353963</v>
      </c>
      <c r="K16" s="3127">
        <f t="shared" si="1"/>
        <v>0.77390143289994051</v>
      </c>
      <c r="L16" s="3124">
        <v>1564357</v>
      </c>
      <c r="M16" s="3126">
        <v>1135701</v>
      </c>
      <c r="N16" s="3127">
        <f t="shared" si="2"/>
        <v>0.72598582037220405</v>
      </c>
      <c r="O16" s="3124">
        <v>1669349</v>
      </c>
      <c r="P16" s="3126">
        <v>1147786</v>
      </c>
      <c r="Q16" s="3128">
        <f t="shared" si="3"/>
        <v>0.68756503283615344</v>
      </c>
    </row>
    <row r="17" spans="1:17" s="11" customFormat="1" ht="11.25" x14ac:dyDescent="0.2">
      <c r="A17" s="5"/>
      <c r="B17" s="6"/>
      <c r="C17" s="6"/>
      <c r="D17" s="23" t="s">
        <v>26</v>
      </c>
      <c r="E17" s="17"/>
      <c r="F17" s="3124">
        <v>377173</v>
      </c>
      <c r="G17" s="24">
        <v>327772</v>
      </c>
      <c r="H17" s="3125">
        <f t="shared" si="0"/>
        <v>0.86902296824003844</v>
      </c>
      <c r="I17" s="24">
        <v>433591</v>
      </c>
      <c r="J17" s="3126">
        <v>329707</v>
      </c>
      <c r="K17" s="3127">
        <f t="shared" si="1"/>
        <v>0.76041015611486396</v>
      </c>
      <c r="L17" s="3124">
        <v>554900</v>
      </c>
      <c r="M17" s="3126">
        <v>421490</v>
      </c>
      <c r="N17" s="3127">
        <f t="shared" si="2"/>
        <v>0.75957830239682822</v>
      </c>
      <c r="O17" s="3124">
        <v>601080</v>
      </c>
      <c r="P17" s="3126">
        <v>443714</v>
      </c>
      <c r="Q17" s="3128">
        <f t="shared" si="3"/>
        <v>0.7381945830837825</v>
      </c>
    </row>
    <row r="18" spans="1:17" s="11" customFormat="1" ht="11.25" x14ac:dyDescent="0.2">
      <c r="A18" s="5"/>
      <c r="B18" s="6"/>
      <c r="C18" s="6"/>
      <c r="D18" s="23" t="s">
        <v>27</v>
      </c>
      <c r="E18" s="17"/>
      <c r="F18" s="3124">
        <v>1864019</v>
      </c>
      <c r="G18" s="24">
        <v>1587978</v>
      </c>
      <c r="H18" s="3125">
        <f t="shared" si="0"/>
        <v>0.85191084425641583</v>
      </c>
      <c r="I18" s="24">
        <v>2220283</v>
      </c>
      <c r="J18" s="3126">
        <v>1621839</v>
      </c>
      <c r="K18" s="3127">
        <f t="shared" si="1"/>
        <v>0.73046499027376244</v>
      </c>
      <c r="L18" s="3124">
        <v>2634439</v>
      </c>
      <c r="M18" s="3126">
        <v>2049097</v>
      </c>
      <c r="N18" s="3127">
        <f t="shared" si="2"/>
        <v>0.77781151888504541</v>
      </c>
      <c r="O18" s="3124">
        <v>2941333</v>
      </c>
      <c r="P18" s="3126">
        <v>2188236</v>
      </c>
      <c r="Q18" s="3128">
        <f t="shared" si="3"/>
        <v>0.74396064641439785</v>
      </c>
    </row>
    <row r="19" spans="1:17" s="11" customFormat="1" ht="15.75" customHeight="1" x14ac:dyDescent="0.2">
      <c r="A19" s="5"/>
      <c r="B19" s="6"/>
      <c r="C19" s="6"/>
      <c r="D19" s="3129" t="s">
        <v>1332</v>
      </c>
      <c r="E19" s="2063"/>
      <c r="F19" s="3130"/>
      <c r="G19" s="1359"/>
      <c r="H19" s="3131"/>
      <c r="I19" s="1359"/>
      <c r="J19" s="3132"/>
      <c r="K19" s="3133"/>
      <c r="L19" s="3130"/>
      <c r="M19" s="3132"/>
      <c r="N19" s="3133"/>
      <c r="O19" s="3130">
        <v>6789</v>
      </c>
      <c r="P19" s="3132">
        <v>18446</v>
      </c>
      <c r="Q19" s="3134" t="s">
        <v>1333</v>
      </c>
    </row>
    <row r="20" spans="1:17" s="11" customFormat="1" ht="15.75" customHeight="1" x14ac:dyDescent="0.2">
      <c r="A20" s="5"/>
      <c r="B20" s="6"/>
      <c r="C20" s="6"/>
      <c r="D20" s="1805" t="s">
        <v>257</v>
      </c>
      <c r="E20" s="3135"/>
      <c r="F20" s="3136">
        <f>SUM(F10:F19)</f>
        <v>18177751</v>
      </c>
      <c r="G20" s="3137">
        <f>SUM(G10:G19)</f>
        <v>15903743</v>
      </c>
      <c r="H20" s="3138">
        <f>G20/F20</f>
        <v>0.87490157610806751</v>
      </c>
      <c r="I20" s="3137">
        <f>SUM(I10:I19)</f>
        <v>20674926</v>
      </c>
      <c r="J20" s="3137">
        <f>SUM(J10:J19)</f>
        <v>15863558</v>
      </c>
      <c r="K20" s="3139">
        <f>J20/I20</f>
        <v>0.7672848744416304</v>
      </c>
      <c r="L20" s="3136">
        <v>23181997</v>
      </c>
      <c r="M20" s="3137">
        <v>17919966</v>
      </c>
      <c r="N20" s="3139">
        <f>M20/L20</f>
        <v>0.77301217837272607</v>
      </c>
      <c r="O20" s="3136">
        <v>25390150</v>
      </c>
      <c r="P20" s="3137">
        <v>18654771</v>
      </c>
      <c r="Q20" s="3140">
        <f>P20/O20</f>
        <v>0.73472472592718041</v>
      </c>
    </row>
    <row r="21" spans="1:17" s="11" customFormat="1" ht="15.75" customHeight="1" x14ac:dyDescent="0.2">
      <c r="A21" s="5"/>
      <c r="B21" s="6"/>
      <c r="C21" s="6"/>
      <c r="D21" s="749"/>
      <c r="E21" s="3141"/>
      <c r="F21" s="3142"/>
      <c r="G21" s="3142"/>
      <c r="H21" s="1974"/>
      <c r="I21" s="3142"/>
      <c r="J21" s="3142"/>
      <c r="K21" s="1974"/>
      <c r="L21" s="3142"/>
      <c r="M21" s="3142"/>
      <c r="N21" s="1974"/>
      <c r="O21" s="3142"/>
      <c r="P21" s="3142"/>
      <c r="Q21" s="1974"/>
    </row>
    <row r="22" spans="1:17" s="11" customFormat="1" ht="11.25" x14ac:dyDescent="0.2">
      <c r="A22" s="5"/>
      <c r="B22" s="6"/>
      <c r="C22" s="6"/>
      <c r="D22" s="1381" t="s">
        <v>67</v>
      </c>
      <c r="E22" s="1381" t="s">
        <v>1334</v>
      </c>
      <c r="F22" s="1381"/>
      <c r="G22" s="1381"/>
      <c r="H22" s="3143"/>
      <c r="I22" s="18"/>
      <c r="J22" s="18"/>
      <c r="K22" s="3113"/>
      <c r="L22" s="17"/>
      <c r="M22" s="17"/>
      <c r="N22" s="17"/>
      <c r="O22" s="17"/>
      <c r="P22" s="17"/>
      <c r="Q22" s="17"/>
    </row>
    <row r="23" spans="1:17" s="11" customFormat="1" ht="15" x14ac:dyDescent="0.25">
      <c r="A23" s="5"/>
      <c r="B23" s="6"/>
      <c r="C23" s="6"/>
      <c r="D23" s="3114"/>
      <c r="E23" s="3115"/>
      <c r="F23" s="4328">
        <v>2000</v>
      </c>
      <c r="G23" s="4329"/>
      <c r="H23" s="4330"/>
      <c r="I23" s="4328">
        <v>2006</v>
      </c>
      <c r="J23" s="4329"/>
      <c r="K23" s="4330"/>
      <c r="L23" s="4331">
        <v>2011</v>
      </c>
      <c r="M23" s="4329"/>
      <c r="N23" s="4330"/>
      <c r="O23" s="4328">
        <v>2016</v>
      </c>
      <c r="P23" s="4329"/>
      <c r="Q23" s="4332"/>
    </row>
    <row r="24" spans="1:17" s="11" customFormat="1" ht="21.75" customHeight="1" x14ac:dyDescent="0.2">
      <c r="A24" s="5"/>
      <c r="B24" s="6"/>
      <c r="C24" s="6"/>
      <c r="D24" s="3144"/>
      <c r="E24" s="3145"/>
      <c r="F24" s="3117" t="s">
        <v>1329</v>
      </c>
      <c r="G24" s="3118" t="s">
        <v>1330</v>
      </c>
      <c r="H24" s="3119" t="s">
        <v>69</v>
      </c>
      <c r="I24" s="3120" t="s">
        <v>1329</v>
      </c>
      <c r="J24" s="3118" t="s">
        <v>1330</v>
      </c>
      <c r="K24" s="3146" t="s">
        <v>69</v>
      </c>
      <c r="L24" s="3120" t="s">
        <v>1329</v>
      </c>
      <c r="M24" s="3118" t="s">
        <v>1330</v>
      </c>
      <c r="N24" s="3146" t="s">
        <v>69</v>
      </c>
      <c r="O24" s="3117" t="s">
        <v>1329</v>
      </c>
      <c r="P24" s="3118" t="s">
        <v>1330</v>
      </c>
      <c r="Q24" s="3122" t="s">
        <v>69</v>
      </c>
    </row>
    <row r="25" spans="1:17" s="11" customFormat="1" ht="11.25" x14ac:dyDescent="0.2">
      <c r="A25" s="5"/>
      <c r="B25" s="6"/>
      <c r="C25" s="6"/>
      <c r="D25" s="23" t="s">
        <v>19</v>
      </c>
      <c r="E25" s="17"/>
      <c r="F25" s="3124">
        <v>2552287</v>
      </c>
      <c r="G25" s="24">
        <v>1428259</v>
      </c>
      <c r="H25" s="3125">
        <f t="shared" ref="H25:H34" si="4">G25/F25</f>
        <v>0.55959968451823794</v>
      </c>
      <c r="I25" s="24">
        <v>2908106</v>
      </c>
      <c r="J25" s="3126">
        <v>1630284</v>
      </c>
      <c r="K25" s="3125">
        <f t="shared" ref="K25:K34" si="5">J25/I25</f>
        <v>0.56059992311146845</v>
      </c>
      <c r="L25" s="24">
        <v>3111535</v>
      </c>
      <c r="M25" s="3126">
        <v>1813802</v>
      </c>
      <c r="N25" s="3125">
        <f t="shared" ref="N25:N34" si="6">M25/L25</f>
        <v>0.58292836172500073</v>
      </c>
      <c r="O25" s="3124">
        <v>3337532</v>
      </c>
      <c r="P25" s="3126">
        <v>1888500</v>
      </c>
      <c r="Q25" s="3128">
        <f t="shared" ref="Q25:Q34" si="7">P25/O25</f>
        <v>0.56583727137297857</v>
      </c>
    </row>
    <row r="26" spans="1:17" s="11" customFormat="1" ht="11.25" x14ac:dyDescent="0.2">
      <c r="A26" s="5"/>
      <c r="B26" s="6"/>
      <c r="C26" s="6"/>
      <c r="D26" s="23" t="s">
        <v>20</v>
      </c>
      <c r="E26" s="17"/>
      <c r="F26" s="3124">
        <v>1227578</v>
      </c>
      <c r="G26" s="24">
        <v>602618</v>
      </c>
      <c r="H26" s="3125">
        <f t="shared" si="4"/>
        <v>0.49089996725259005</v>
      </c>
      <c r="I26" s="24">
        <v>1318408</v>
      </c>
      <c r="J26" s="3126">
        <v>622816</v>
      </c>
      <c r="K26" s="3125">
        <f t="shared" si="5"/>
        <v>0.47240004611622505</v>
      </c>
      <c r="L26" s="24">
        <v>1386521</v>
      </c>
      <c r="M26" s="3126">
        <v>767327</v>
      </c>
      <c r="N26" s="3125">
        <f t="shared" si="6"/>
        <v>0.55341895290442766</v>
      </c>
      <c r="O26" s="3124">
        <v>1470999</v>
      </c>
      <c r="P26" s="3126">
        <v>829349</v>
      </c>
      <c r="Q26" s="3128">
        <f t="shared" si="7"/>
        <v>0.5637998394288507</v>
      </c>
    </row>
    <row r="27" spans="1:17" s="11" customFormat="1" ht="11.25" x14ac:dyDescent="0.2">
      <c r="A27" s="5"/>
      <c r="B27" s="6"/>
      <c r="C27" s="6"/>
      <c r="D27" s="23" t="s">
        <v>21</v>
      </c>
      <c r="E27" s="17"/>
      <c r="F27" s="3124">
        <v>4375372</v>
      </c>
      <c r="G27" s="24">
        <v>1891473</v>
      </c>
      <c r="H27" s="3125">
        <f t="shared" si="4"/>
        <v>0.43229992786899035</v>
      </c>
      <c r="I27" s="24">
        <v>4785955</v>
      </c>
      <c r="J27" s="3126">
        <v>2033674</v>
      </c>
      <c r="K27" s="3125">
        <f t="shared" si="5"/>
        <v>0.42492543285509371</v>
      </c>
      <c r="L27" s="24">
        <v>5592676</v>
      </c>
      <c r="M27" s="3126">
        <v>3127671</v>
      </c>
      <c r="N27" s="3125">
        <f t="shared" si="6"/>
        <v>0.55924408994906916</v>
      </c>
      <c r="O27" s="3124">
        <v>6234822</v>
      </c>
      <c r="P27" s="3126">
        <v>3624105</v>
      </c>
      <c r="Q27" s="3128">
        <f t="shared" si="7"/>
        <v>0.58126839868082847</v>
      </c>
    </row>
    <row r="28" spans="1:17" s="11" customFormat="1" ht="11.25" x14ac:dyDescent="0.2">
      <c r="A28" s="5"/>
      <c r="B28" s="6"/>
      <c r="C28" s="6"/>
      <c r="D28" s="23" t="s">
        <v>22</v>
      </c>
      <c r="E28" s="17"/>
      <c r="F28" s="3124">
        <v>3508154</v>
      </c>
      <c r="G28" s="24">
        <v>1637255</v>
      </c>
      <c r="H28" s="3125">
        <f t="shared" si="4"/>
        <v>0.46669986551331555</v>
      </c>
      <c r="I28" s="24">
        <v>3964817</v>
      </c>
      <c r="J28" s="3126">
        <v>2005008</v>
      </c>
      <c r="K28" s="3125">
        <f t="shared" si="5"/>
        <v>0.50570001087061522</v>
      </c>
      <c r="L28" s="24">
        <v>4648733</v>
      </c>
      <c r="M28" s="3126">
        <v>2865855</v>
      </c>
      <c r="N28" s="3125">
        <f t="shared" si="6"/>
        <v>0.61648087769291116</v>
      </c>
      <c r="O28" s="3124">
        <v>5411237</v>
      </c>
      <c r="P28" s="3126">
        <v>3333298</v>
      </c>
      <c r="Q28" s="3128">
        <f t="shared" si="7"/>
        <v>0.61599556626331464</v>
      </c>
    </row>
    <row r="29" spans="1:17" s="11" customFormat="1" ht="11.25" x14ac:dyDescent="0.2">
      <c r="A29" s="5"/>
      <c r="B29" s="6"/>
      <c r="C29" s="6"/>
      <c r="D29" s="23" t="s">
        <v>23</v>
      </c>
      <c r="E29" s="17"/>
      <c r="F29" s="3124">
        <v>1419315</v>
      </c>
      <c r="G29" s="24">
        <v>635427</v>
      </c>
      <c r="H29" s="3125">
        <f t="shared" si="4"/>
        <v>0.4476997706640175</v>
      </c>
      <c r="I29" s="24">
        <v>2145186</v>
      </c>
      <c r="J29" s="3126">
        <v>959971</v>
      </c>
      <c r="K29" s="3125">
        <f t="shared" si="5"/>
        <v>0.44750012353241164</v>
      </c>
      <c r="L29" s="24">
        <v>2341498</v>
      </c>
      <c r="M29" s="3126">
        <v>1172855</v>
      </c>
      <c r="N29" s="3125">
        <f t="shared" si="6"/>
        <v>0.50089942421475486</v>
      </c>
      <c r="O29" s="3124">
        <v>2556128</v>
      </c>
      <c r="P29" s="3126">
        <v>1287713</v>
      </c>
      <c r="Q29" s="3128">
        <f t="shared" si="7"/>
        <v>0.50377485008575473</v>
      </c>
    </row>
    <row r="30" spans="1:17" s="11" customFormat="1" ht="11.25" x14ac:dyDescent="0.2">
      <c r="A30" s="5"/>
      <c r="B30" s="6"/>
      <c r="C30" s="6"/>
      <c r="D30" s="23" t="s">
        <v>24</v>
      </c>
      <c r="E30" s="17"/>
      <c r="F30" s="3124">
        <v>1263004</v>
      </c>
      <c r="G30" s="24">
        <v>565699</v>
      </c>
      <c r="H30" s="3125">
        <f t="shared" si="4"/>
        <v>0.44789961076924539</v>
      </c>
      <c r="I30" s="24">
        <v>1546728</v>
      </c>
      <c r="J30" s="3126">
        <v>716908</v>
      </c>
      <c r="K30" s="3125">
        <f t="shared" si="5"/>
        <v>0.4634997232868352</v>
      </c>
      <c r="L30" s="24">
        <v>1718309</v>
      </c>
      <c r="M30" s="3126">
        <v>960748</v>
      </c>
      <c r="N30" s="3125">
        <f t="shared" si="6"/>
        <v>0.55912411562763153</v>
      </c>
      <c r="O30" s="3124">
        <v>1919216</v>
      </c>
      <c r="P30" s="3126">
        <v>1082665</v>
      </c>
      <c r="Q30" s="3128">
        <f t="shared" si="7"/>
        <v>0.56411836916740998</v>
      </c>
    </row>
    <row r="31" spans="1:17" s="11" customFormat="1" ht="11.25" x14ac:dyDescent="0.2">
      <c r="A31" s="5"/>
      <c r="B31" s="6"/>
      <c r="C31" s="6"/>
      <c r="D31" s="23" t="s">
        <v>25</v>
      </c>
      <c r="E31" s="17"/>
      <c r="F31" s="3124">
        <v>452218</v>
      </c>
      <c r="G31" s="24">
        <v>260522</v>
      </c>
      <c r="H31" s="3125">
        <f t="shared" si="4"/>
        <v>0.57609825349720711</v>
      </c>
      <c r="I31" s="24">
        <v>1554864</v>
      </c>
      <c r="J31" s="3126">
        <v>709484</v>
      </c>
      <c r="K31" s="3125">
        <f t="shared" si="5"/>
        <v>0.45629971495899319</v>
      </c>
      <c r="L31" s="24">
        <v>1576898</v>
      </c>
      <c r="M31" s="3126">
        <v>845093</v>
      </c>
      <c r="N31" s="3125">
        <f t="shared" si="6"/>
        <v>0.53592115659985617</v>
      </c>
      <c r="O31" s="3124">
        <v>1715460</v>
      </c>
      <c r="P31" s="3126">
        <v>921519</v>
      </c>
      <c r="Q31" s="3128">
        <f t="shared" si="7"/>
        <v>0.5371847784267777</v>
      </c>
    </row>
    <row r="32" spans="1:17" s="11" customFormat="1" ht="11.25" x14ac:dyDescent="0.2">
      <c r="A32" s="5"/>
      <c r="B32" s="6"/>
      <c r="C32" s="6"/>
      <c r="D32" s="23" t="s">
        <v>26</v>
      </c>
      <c r="E32" s="17"/>
      <c r="F32" s="3124">
        <v>1758593</v>
      </c>
      <c r="G32" s="24">
        <v>746698</v>
      </c>
      <c r="H32" s="3125">
        <f t="shared" si="4"/>
        <v>0.4245996657555216</v>
      </c>
      <c r="I32" s="24">
        <v>528657</v>
      </c>
      <c r="J32" s="3126">
        <v>282884</v>
      </c>
      <c r="K32" s="3125">
        <f t="shared" si="5"/>
        <v>0.53509931770505259</v>
      </c>
      <c r="L32" s="24">
        <v>572140</v>
      </c>
      <c r="M32" s="3126">
        <v>363361</v>
      </c>
      <c r="N32" s="3125">
        <f t="shared" si="6"/>
        <v>0.63509106162827278</v>
      </c>
      <c r="O32" s="3124">
        <v>621310</v>
      </c>
      <c r="P32" s="3126">
        <v>380718</v>
      </c>
      <c r="Q32" s="3128">
        <f t="shared" si="7"/>
        <v>0.61276657385202238</v>
      </c>
    </row>
    <row r="33" spans="1:25" s="11" customFormat="1" ht="11.25" x14ac:dyDescent="0.2">
      <c r="A33" s="5"/>
      <c r="B33" s="6"/>
      <c r="C33" s="6"/>
      <c r="D33" s="3129" t="s">
        <v>27</v>
      </c>
      <c r="E33" s="2063"/>
      <c r="F33" s="3130">
        <v>1955454</v>
      </c>
      <c r="G33" s="1359">
        <v>1131621</v>
      </c>
      <c r="H33" s="3131">
        <f t="shared" si="4"/>
        <v>0.57869988248253346</v>
      </c>
      <c r="I33" s="1359">
        <v>2301371</v>
      </c>
      <c r="J33" s="3132">
        <v>1191880</v>
      </c>
      <c r="K33" s="3131">
        <f t="shared" si="5"/>
        <v>0.51789998222798495</v>
      </c>
      <c r="L33" s="1359">
        <v>2706736</v>
      </c>
      <c r="M33" s="3132">
        <v>1748208</v>
      </c>
      <c r="N33" s="3131">
        <f t="shared" si="6"/>
        <v>0.64587311063953046</v>
      </c>
      <c r="O33" s="3130">
        <v>3066649</v>
      </c>
      <c r="P33" s="3132">
        <v>1948892</v>
      </c>
      <c r="Q33" s="3147">
        <f t="shared" si="7"/>
        <v>0.63551192197085482</v>
      </c>
    </row>
    <row r="34" spans="1:25" s="11" customFormat="1" ht="15.75" customHeight="1" x14ac:dyDescent="0.2">
      <c r="A34" s="5"/>
      <c r="B34" s="6"/>
      <c r="C34" s="6"/>
      <c r="D34" s="1805" t="s">
        <v>257</v>
      </c>
      <c r="E34" s="1771"/>
      <c r="F34" s="3136">
        <f>SUM(F25:F33)</f>
        <v>18511975</v>
      </c>
      <c r="G34" s="3137">
        <f>SUM(G25:G33)</f>
        <v>8899572</v>
      </c>
      <c r="H34" s="3138">
        <f t="shared" si="4"/>
        <v>0.48074675986759924</v>
      </c>
      <c r="I34" s="3137">
        <f>SUM(I25:I33)</f>
        <v>21054092</v>
      </c>
      <c r="J34" s="3137">
        <f>SUM(J25:J33)</f>
        <v>10152909</v>
      </c>
      <c r="K34" s="3138">
        <f t="shared" si="5"/>
        <v>0.48222972522396124</v>
      </c>
      <c r="L34" s="3137">
        <f>SUM(L25:L33)</f>
        <v>23655046</v>
      </c>
      <c r="M34" s="3137">
        <f>SUM(M25:M33)</f>
        <v>13664920</v>
      </c>
      <c r="N34" s="3138">
        <f t="shared" si="6"/>
        <v>0.57767463229621285</v>
      </c>
      <c r="O34" s="3136">
        <f>SUM(O25:O33)</f>
        <v>26333353</v>
      </c>
      <c r="P34" s="3137">
        <f>SUM(P25:P33)</f>
        <v>15296759</v>
      </c>
      <c r="Q34" s="3140">
        <f t="shared" si="7"/>
        <v>0.58088914844987649</v>
      </c>
    </row>
    <row r="35" spans="1:25" ht="15.75" customHeight="1" x14ac:dyDescent="0.2">
      <c r="B35" s="3148"/>
      <c r="C35" s="3148"/>
      <c r="D35" s="3149"/>
      <c r="E35" s="3150"/>
      <c r="F35" s="3151"/>
      <c r="G35" s="3150"/>
      <c r="H35" s="3152"/>
      <c r="I35" s="3153"/>
      <c r="J35" s="3036"/>
      <c r="K35" s="3040"/>
      <c r="L35" s="3036"/>
      <c r="M35" s="3036"/>
      <c r="N35" s="3036"/>
      <c r="O35" s="3036"/>
      <c r="P35" s="3036"/>
      <c r="Q35" s="3036"/>
      <c r="R35" s="11"/>
      <c r="S35" s="11"/>
    </row>
    <row r="36" spans="1:25" s="943" customFormat="1" ht="15" customHeight="1" x14ac:dyDescent="0.2">
      <c r="A36" s="1">
        <v>5</v>
      </c>
      <c r="B36" s="1" t="s">
        <v>29</v>
      </c>
      <c r="C36" s="1"/>
      <c r="D36" s="4140" t="s">
        <v>1335</v>
      </c>
      <c r="E36" s="4141"/>
      <c r="F36" s="4141"/>
      <c r="G36" s="4141"/>
      <c r="H36" s="4141"/>
      <c r="I36" s="4141"/>
      <c r="J36" s="4141"/>
      <c r="K36" s="4141"/>
      <c r="L36" s="4141"/>
      <c r="M36" s="4141"/>
      <c r="N36" s="4141"/>
      <c r="O36" s="4141"/>
      <c r="P36" s="4141"/>
      <c r="Q36" s="4142"/>
      <c r="R36" s="11"/>
      <c r="S36" s="11"/>
    </row>
    <row r="37" spans="1:25" s="943" customFormat="1" ht="13.5" customHeight="1" x14ac:dyDescent="0.2">
      <c r="A37" s="40">
        <v>6</v>
      </c>
      <c r="B37" s="40" t="s">
        <v>32</v>
      </c>
      <c r="C37" s="40"/>
      <c r="D37" s="4140" t="s">
        <v>1336</v>
      </c>
      <c r="E37" s="4141"/>
      <c r="F37" s="4141"/>
      <c r="G37" s="4141"/>
      <c r="H37" s="4141"/>
      <c r="I37" s="4141"/>
      <c r="J37" s="4141"/>
      <c r="K37" s="4141"/>
      <c r="L37" s="4141"/>
      <c r="M37" s="4141"/>
      <c r="N37" s="4141"/>
      <c r="O37" s="4141"/>
      <c r="P37" s="4141"/>
      <c r="Q37" s="4142"/>
      <c r="R37" s="11"/>
      <c r="S37" s="11"/>
    </row>
    <row r="38" spans="1:25" s="943" customFormat="1" ht="14.25" customHeight="1" x14ac:dyDescent="0.2">
      <c r="A38" s="1">
        <v>7</v>
      </c>
      <c r="B38" s="1" t="s">
        <v>31</v>
      </c>
      <c r="C38" s="1"/>
      <c r="D38" s="4140" t="s">
        <v>1337</v>
      </c>
      <c r="E38" s="4141"/>
      <c r="F38" s="4141"/>
      <c r="G38" s="4141"/>
      <c r="H38" s="4141"/>
      <c r="I38" s="4141"/>
      <c r="J38" s="4141"/>
      <c r="K38" s="4141"/>
      <c r="L38" s="4141"/>
      <c r="M38" s="4141"/>
      <c r="N38" s="4141"/>
      <c r="O38" s="4141"/>
      <c r="P38" s="4141"/>
      <c r="Q38" s="4142"/>
      <c r="R38" s="11"/>
      <c r="S38" s="11"/>
    </row>
    <row r="39" spans="1:25" ht="24.75" customHeight="1" x14ac:dyDescent="0.2">
      <c r="A39" s="40">
        <v>8</v>
      </c>
      <c r="B39" s="1" t="s">
        <v>95</v>
      </c>
      <c r="D39" s="4140" t="s">
        <v>1338</v>
      </c>
      <c r="E39" s="4141"/>
      <c r="F39" s="4141"/>
      <c r="G39" s="4141"/>
      <c r="H39" s="4141"/>
      <c r="I39" s="4141"/>
      <c r="J39" s="4141"/>
      <c r="K39" s="4141"/>
      <c r="L39" s="4141"/>
      <c r="M39" s="4141"/>
      <c r="N39" s="4141"/>
      <c r="O39" s="4141"/>
      <c r="P39" s="4141"/>
      <c r="Q39" s="4142"/>
      <c r="R39" s="11"/>
      <c r="S39" s="11"/>
      <c r="T39" s="688"/>
      <c r="U39" s="688"/>
      <c r="V39" s="688"/>
      <c r="W39" s="688"/>
      <c r="X39" s="688"/>
      <c r="Y39" s="688"/>
    </row>
    <row r="40" spans="1:25" x14ac:dyDescent="0.2">
      <c r="R40" s="11"/>
      <c r="S40" s="11"/>
    </row>
  </sheetData>
  <mergeCells count="15">
    <mergeCell ref="D2:Q2"/>
    <mergeCell ref="D3:Q3"/>
    <mergeCell ref="D4:Q4"/>
    <mergeCell ref="F8:H8"/>
    <mergeCell ref="I8:K8"/>
    <mergeCell ref="L8:N8"/>
    <mergeCell ref="O8:Q8"/>
    <mergeCell ref="D38:Q38"/>
    <mergeCell ref="D39:Q39"/>
    <mergeCell ref="F23:H23"/>
    <mergeCell ref="I23:K23"/>
    <mergeCell ref="L23:N23"/>
    <mergeCell ref="O23:Q23"/>
    <mergeCell ref="D36:Q36"/>
    <mergeCell ref="D37:Q37"/>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59"/>
  <sheetViews>
    <sheetView showGridLines="0" view="pageBreakPreview" zoomScaleNormal="100" zoomScaleSheetLayoutView="100" workbookViewId="0">
      <selection activeCell="E43" sqref="E43"/>
    </sheetView>
  </sheetViews>
  <sheetFormatPr defaultColWidth="9.140625" defaultRowHeight="12" x14ac:dyDescent="0.2"/>
  <cols>
    <col min="1" max="1" width="3.7109375" style="3024" customWidth="1"/>
    <col min="2" max="2" width="14.42578125" style="3025" customWidth="1"/>
    <col min="3" max="3" width="3.7109375" style="3025" customWidth="1"/>
    <col min="4" max="4" width="12.28515625" style="733" customWidth="1"/>
    <col min="5" max="31" width="6.7109375" style="733" customWidth="1"/>
    <col min="32" max="256" width="9.140625" style="733"/>
    <col min="257" max="257" width="3.7109375" style="733" customWidth="1"/>
    <col min="258" max="258" width="14.42578125" style="733" customWidth="1"/>
    <col min="259" max="259" width="3.7109375" style="733" customWidth="1"/>
    <col min="260" max="260" width="12.28515625" style="733" customWidth="1"/>
    <col min="261" max="287" width="6.7109375" style="733" customWidth="1"/>
    <col min="288" max="512" width="9.140625" style="733"/>
    <col min="513" max="513" width="3.7109375" style="733" customWidth="1"/>
    <col min="514" max="514" width="14.42578125" style="733" customWidth="1"/>
    <col min="515" max="515" width="3.7109375" style="733" customWidth="1"/>
    <col min="516" max="516" width="12.28515625" style="733" customWidth="1"/>
    <col min="517" max="543" width="6.7109375" style="733" customWidth="1"/>
    <col min="544" max="768" width="9.140625" style="733"/>
    <col min="769" max="769" width="3.7109375" style="733" customWidth="1"/>
    <col min="770" max="770" width="14.42578125" style="733" customWidth="1"/>
    <col min="771" max="771" width="3.7109375" style="733" customWidth="1"/>
    <col min="772" max="772" width="12.28515625" style="733" customWidth="1"/>
    <col min="773" max="799" width="6.7109375" style="733" customWidth="1"/>
    <col min="800" max="1024" width="9.140625" style="733"/>
    <col min="1025" max="1025" width="3.7109375" style="733" customWidth="1"/>
    <col min="1026" max="1026" width="14.42578125" style="733" customWidth="1"/>
    <col min="1027" max="1027" width="3.7109375" style="733" customWidth="1"/>
    <col min="1028" max="1028" width="12.28515625" style="733" customWidth="1"/>
    <col min="1029" max="1055" width="6.7109375" style="733" customWidth="1"/>
    <col min="1056" max="1280" width="9.140625" style="733"/>
    <col min="1281" max="1281" width="3.7109375" style="733" customWidth="1"/>
    <col min="1282" max="1282" width="14.42578125" style="733" customWidth="1"/>
    <col min="1283" max="1283" width="3.7109375" style="733" customWidth="1"/>
    <col min="1284" max="1284" width="12.28515625" style="733" customWidth="1"/>
    <col min="1285" max="1311" width="6.7109375" style="733" customWidth="1"/>
    <col min="1312" max="1536" width="9.140625" style="733"/>
    <col min="1537" max="1537" width="3.7109375" style="733" customWidth="1"/>
    <col min="1538" max="1538" width="14.42578125" style="733" customWidth="1"/>
    <col min="1539" max="1539" width="3.7109375" style="733" customWidth="1"/>
    <col min="1540" max="1540" width="12.28515625" style="733" customWidth="1"/>
    <col min="1541" max="1567" width="6.7109375" style="733" customWidth="1"/>
    <col min="1568" max="1792" width="9.140625" style="733"/>
    <col min="1793" max="1793" width="3.7109375" style="733" customWidth="1"/>
    <col min="1794" max="1794" width="14.42578125" style="733" customWidth="1"/>
    <col min="1795" max="1795" width="3.7109375" style="733" customWidth="1"/>
    <col min="1796" max="1796" width="12.28515625" style="733" customWidth="1"/>
    <col min="1797" max="1823" width="6.7109375" style="733" customWidth="1"/>
    <col min="1824" max="2048" width="9.140625" style="733"/>
    <col min="2049" max="2049" width="3.7109375" style="733" customWidth="1"/>
    <col min="2050" max="2050" width="14.42578125" style="733" customWidth="1"/>
    <col min="2051" max="2051" width="3.7109375" style="733" customWidth="1"/>
    <col min="2052" max="2052" width="12.28515625" style="733" customWidth="1"/>
    <col min="2053" max="2079" width="6.7109375" style="733" customWidth="1"/>
    <col min="2080" max="2304" width="9.140625" style="733"/>
    <col min="2305" max="2305" width="3.7109375" style="733" customWidth="1"/>
    <col min="2306" max="2306" width="14.42578125" style="733" customWidth="1"/>
    <col min="2307" max="2307" width="3.7109375" style="733" customWidth="1"/>
    <col min="2308" max="2308" width="12.28515625" style="733" customWidth="1"/>
    <col min="2309" max="2335" width="6.7109375" style="733" customWidth="1"/>
    <col min="2336" max="2560" width="9.140625" style="733"/>
    <col min="2561" max="2561" width="3.7109375" style="733" customWidth="1"/>
    <col min="2562" max="2562" width="14.42578125" style="733" customWidth="1"/>
    <col min="2563" max="2563" width="3.7109375" style="733" customWidth="1"/>
    <col min="2564" max="2564" width="12.28515625" style="733" customWidth="1"/>
    <col min="2565" max="2591" width="6.7109375" style="733" customWidth="1"/>
    <col min="2592" max="2816" width="9.140625" style="733"/>
    <col min="2817" max="2817" width="3.7109375" style="733" customWidth="1"/>
    <col min="2818" max="2818" width="14.42578125" style="733" customWidth="1"/>
    <col min="2819" max="2819" width="3.7109375" style="733" customWidth="1"/>
    <col min="2820" max="2820" width="12.28515625" style="733" customWidth="1"/>
    <col min="2821" max="2847" width="6.7109375" style="733" customWidth="1"/>
    <col min="2848" max="3072" width="9.140625" style="733"/>
    <col min="3073" max="3073" width="3.7109375" style="733" customWidth="1"/>
    <col min="3074" max="3074" width="14.42578125" style="733" customWidth="1"/>
    <col min="3075" max="3075" width="3.7109375" style="733" customWidth="1"/>
    <col min="3076" max="3076" width="12.28515625" style="733" customWidth="1"/>
    <col min="3077" max="3103" width="6.7109375" style="733" customWidth="1"/>
    <col min="3104" max="3328" width="9.140625" style="733"/>
    <col min="3329" max="3329" width="3.7109375" style="733" customWidth="1"/>
    <col min="3330" max="3330" width="14.42578125" style="733" customWidth="1"/>
    <col min="3331" max="3331" width="3.7109375" style="733" customWidth="1"/>
    <col min="3332" max="3332" width="12.28515625" style="733" customWidth="1"/>
    <col min="3333" max="3359" width="6.7109375" style="733" customWidth="1"/>
    <col min="3360" max="3584" width="9.140625" style="733"/>
    <col min="3585" max="3585" width="3.7109375" style="733" customWidth="1"/>
    <col min="3586" max="3586" width="14.42578125" style="733" customWidth="1"/>
    <col min="3587" max="3587" width="3.7109375" style="733" customWidth="1"/>
    <col min="3588" max="3588" width="12.28515625" style="733" customWidth="1"/>
    <col min="3589" max="3615" width="6.7109375" style="733" customWidth="1"/>
    <col min="3616" max="3840" width="9.140625" style="733"/>
    <col min="3841" max="3841" width="3.7109375" style="733" customWidth="1"/>
    <col min="3842" max="3842" width="14.42578125" style="733" customWidth="1"/>
    <col min="3843" max="3843" width="3.7109375" style="733" customWidth="1"/>
    <col min="3844" max="3844" width="12.28515625" style="733" customWidth="1"/>
    <col min="3845" max="3871" width="6.7109375" style="733" customWidth="1"/>
    <col min="3872" max="4096" width="9.140625" style="733"/>
    <col min="4097" max="4097" width="3.7109375" style="733" customWidth="1"/>
    <col min="4098" max="4098" width="14.42578125" style="733" customWidth="1"/>
    <col min="4099" max="4099" width="3.7109375" style="733" customWidth="1"/>
    <col min="4100" max="4100" width="12.28515625" style="733" customWidth="1"/>
    <col min="4101" max="4127" width="6.7109375" style="733" customWidth="1"/>
    <col min="4128" max="4352" width="9.140625" style="733"/>
    <col min="4353" max="4353" width="3.7109375" style="733" customWidth="1"/>
    <col min="4354" max="4354" width="14.42578125" style="733" customWidth="1"/>
    <col min="4355" max="4355" width="3.7109375" style="733" customWidth="1"/>
    <col min="4356" max="4356" width="12.28515625" style="733" customWidth="1"/>
    <col min="4357" max="4383" width="6.7109375" style="733" customWidth="1"/>
    <col min="4384" max="4608" width="9.140625" style="733"/>
    <col min="4609" max="4609" width="3.7109375" style="733" customWidth="1"/>
    <col min="4610" max="4610" width="14.42578125" style="733" customWidth="1"/>
    <col min="4611" max="4611" width="3.7109375" style="733" customWidth="1"/>
    <col min="4612" max="4612" width="12.28515625" style="733" customWidth="1"/>
    <col min="4613" max="4639" width="6.7109375" style="733" customWidth="1"/>
    <col min="4640" max="4864" width="9.140625" style="733"/>
    <col min="4865" max="4865" width="3.7109375" style="733" customWidth="1"/>
    <col min="4866" max="4866" width="14.42578125" style="733" customWidth="1"/>
    <col min="4867" max="4867" width="3.7109375" style="733" customWidth="1"/>
    <col min="4868" max="4868" width="12.28515625" style="733" customWidth="1"/>
    <col min="4869" max="4895" width="6.7109375" style="733" customWidth="1"/>
    <col min="4896" max="5120" width="9.140625" style="733"/>
    <col min="5121" max="5121" width="3.7109375" style="733" customWidth="1"/>
    <col min="5122" max="5122" width="14.42578125" style="733" customWidth="1"/>
    <col min="5123" max="5123" width="3.7109375" style="733" customWidth="1"/>
    <col min="5124" max="5124" width="12.28515625" style="733" customWidth="1"/>
    <col min="5125" max="5151" width="6.7109375" style="733" customWidth="1"/>
    <col min="5152" max="5376" width="9.140625" style="733"/>
    <col min="5377" max="5377" width="3.7109375" style="733" customWidth="1"/>
    <col min="5378" max="5378" width="14.42578125" style="733" customWidth="1"/>
    <col min="5379" max="5379" width="3.7109375" style="733" customWidth="1"/>
    <col min="5380" max="5380" width="12.28515625" style="733" customWidth="1"/>
    <col min="5381" max="5407" width="6.7109375" style="733" customWidth="1"/>
    <col min="5408" max="5632" width="9.140625" style="733"/>
    <col min="5633" max="5633" width="3.7109375" style="733" customWidth="1"/>
    <col min="5634" max="5634" width="14.42578125" style="733" customWidth="1"/>
    <col min="5635" max="5635" width="3.7109375" style="733" customWidth="1"/>
    <col min="5636" max="5636" width="12.28515625" style="733" customWidth="1"/>
    <col min="5637" max="5663" width="6.7109375" style="733" customWidth="1"/>
    <col min="5664" max="5888" width="9.140625" style="733"/>
    <col min="5889" max="5889" width="3.7109375" style="733" customWidth="1"/>
    <col min="5890" max="5890" width="14.42578125" style="733" customWidth="1"/>
    <col min="5891" max="5891" width="3.7109375" style="733" customWidth="1"/>
    <col min="5892" max="5892" width="12.28515625" style="733" customWidth="1"/>
    <col min="5893" max="5919" width="6.7109375" style="733" customWidth="1"/>
    <col min="5920" max="6144" width="9.140625" style="733"/>
    <col min="6145" max="6145" width="3.7109375" style="733" customWidth="1"/>
    <col min="6146" max="6146" width="14.42578125" style="733" customWidth="1"/>
    <col min="6147" max="6147" width="3.7109375" style="733" customWidth="1"/>
    <col min="6148" max="6148" width="12.28515625" style="733" customWidth="1"/>
    <col min="6149" max="6175" width="6.7109375" style="733" customWidth="1"/>
    <col min="6176" max="6400" width="9.140625" style="733"/>
    <col min="6401" max="6401" width="3.7109375" style="733" customWidth="1"/>
    <col min="6402" max="6402" width="14.42578125" style="733" customWidth="1"/>
    <col min="6403" max="6403" width="3.7109375" style="733" customWidth="1"/>
    <col min="6404" max="6404" width="12.28515625" style="733" customWidth="1"/>
    <col min="6405" max="6431" width="6.7109375" style="733" customWidth="1"/>
    <col min="6432" max="6656" width="9.140625" style="733"/>
    <col min="6657" max="6657" width="3.7109375" style="733" customWidth="1"/>
    <col min="6658" max="6658" width="14.42578125" style="733" customWidth="1"/>
    <col min="6659" max="6659" width="3.7109375" style="733" customWidth="1"/>
    <col min="6660" max="6660" width="12.28515625" style="733" customWidth="1"/>
    <col min="6661" max="6687" width="6.7109375" style="733" customWidth="1"/>
    <col min="6688" max="6912" width="9.140625" style="733"/>
    <col min="6913" max="6913" width="3.7109375" style="733" customWidth="1"/>
    <col min="6914" max="6914" width="14.42578125" style="733" customWidth="1"/>
    <col min="6915" max="6915" width="3.7109375" style="733" customWidth="1"/>
    <col min="6916" max="6916" width="12.28515625" style="733" customWidth="1"/>
    <col min="6917" max="6943" width="6.7109375" style="733" customWidth="1"/>
    <col min="6944" max="7168" width="9.140625" style="733"/>
    <col min="7169" max="7169" width="3.7109375" style="733" customWidth="1"/>
    <col min="7170" max="7170" width="14.42578125" style="733" customWidth="1"/>
    <col min="7171" max="7171" width="3.7109375" style="733" customWidth="1"/>
    <col min="7172" max="7172" width="12.28515625" style="733" customWidth="1"/>
    <col min="7173" max="7199" width="6.7109375" style="733" customWidth="1"/>
    <col min="7200" max="7424" width="9.140625" style="733"/>
    <col min="7425" max="7425" width="3.7109375" style="733" customWidth="1"/>
    <col min="7426" max="7426" width="14.42578125" style="733" customWidth="1"/>
    <col min="7427" max="7427" width="3.7109375" style="733" customWidth="1"/>
    <col min="7428" max="7428" width="12.28515625" style="733" customWidth="1"/>
    <col min="7429" max="7455" width="6.7109375" style="733" customWidth="1"/>
    <col min="7456" max="7680" width="9.140625" style="733"/>
    <col min="7681" max="7681" width="3.7109375" style="733" customWidth="1"/>
    <col min="7682" max="7682" width="14.42578125" style="733" customWidth="1"/>
    <col min="7683" max="7683" width="3.7109375" style="733" customWidth="1"/>
    <col min="7684" max="7684" width="12.28515625" style="733" customWidth="1"/>
    <col min="7685" max="7711" width="6.7109375" style="733" customWidth="1"/>
    <col min="7712" max="7936" width="9.140625" style="733"/>
    <col min="7937" max="7937" width="3.7109375" style="733" customWidth="1"/>
    <col min="7938" max="7938" width="14.42578125" style="733" customWidth="1"/>
    <col min="7939" max="7939" width="3.7109375" style="733" customWidth="1"/>
    <col min="7940" max="7940" width="12.28515625" style="733" customWidth="1"/>
    <col min="7941" max="7967" width="6.7109375" style="733" customWidth="1"/>
    <col min="7968" max="8192" width="9.140625" style="733"/>
    <col min="8193" max="8193" width="3.7109375" style="733" customWidth="1"/>
    <col min="8194" max="8194" width="14.42578125" style="733" customWidth="1"/>
    <col min="8195" max="8195" width="3.7109375" style="733" customWidth="1"/>
    <col min="8196" max="8196" width="12.28515625" style="733" customWidth="1"/>
    <col min="8197" max="8223" width="6.7109375" style="733" customWidth="1"/>
    <col min="8224" max="8448" width="9.140625" style="733"/>
    <col min="8449" max="8449" width="3.7109375" style="733" customWidth="1"/>
    <col min="8450" max="8450" width="14.42578125" style="733" customWidth="1"/>
    <col min="8451" max="8451" width="3.7109375" style="733" customWidth="1"/>
    <col min="8452" max="8452" width="12.28515625" style="733" customWidth="1"/>
    <col min="8453" max="8479" width="6.7109375" style="733" customWidth="1"/>
    <col min="8480" max="8704" width="9.140625" style="733"/>
    <col min="8705" max="8705" width="3.7109375" style="733" customWidth="1"/>
    <col min="8706" max="8706" width="14.42578125" style="733" customWidth="1"/>
    <col min="8707" max="8707" width="3.7109375" style="733" customWidth="1"/>
    <col min="8708" max="8708" width="12.28515625" style="733" customWidth="1"/>
    <col min="8709" max="8735" width="6.7109375" style="733" customWidth="1"/>
    <col min="8736" max="8960" width="9.140625" style="733"/>
    <col min="8961" max="8961" width="3.7109375" style="733" customWidth="1"/>
    <col min="8962" max="8962" width="14.42578125" style="733" customWidth="1"/>
    <col min="8963" max="8963" width="3.7109375" style="733" customWidth="1"/>
    <col min="8964" max="8964" width="12.28515625" style="733" customWidth="1"/>
    <col min="8965" max="8991" width="6.7109375" style="733" customWidth="1"/>
    <col min="8992" max="9216" width="9.140625" style="733"/>
    <col min="9217" max="9217" width="3.7109375" style="733" customWidth="1"/>
    <col min="9218" max="9218" width="14.42578125" style="733" customWidth="1"/>
    <col min="9219" max="9219" width="3.7109375" style="733" customWidth="1"/>
    <col min="9220" max="9220" width="12.28515625" style="733" customWidth="1"/>
    <col min="9221" max="9247" width="6.7109375" style="733" customWidth="1"/>
    <col min="9248" max="9472" width="9.140625" style="733"/>
    <col min="9473" max="9473" width="3.7109375" style="733" customWidth="1"/>
    <col min="9474" max="9474" width="14.42578125" style="733" customWidth="1"/>
    <col min="9475" max="9475" width="3.7109375" style="733" customWidth="1"/>
    <col min="9476" max="9476" width="12.28515625" style="733" customWidth="1"/>
    <col min="9477" max="9503" width="6.7109375" style="733" customWidth="1"/>
    <col min="9504" max="9728" width="9.140625" style="733"/>
    <col min="9729" max="9729" width="3.7109375" style="733" customWidth="1"/>
    <col min="9730" max="9730" width="14.42578125" style="733" customWidth="1"/>
    <col min="9731" max="9731" width="3.7109375" style="733" customWidth="1"/>
    <col min="9732" max="9732" width="12.28515625" style="733" customWidth="1"/>
    <col min="9733" max="9759" width="6.7109375" style="733" customWidth="1"/>
    <col min="9760" max="9984" width="9.140625" style="733"/>
    <col min="9985" max="9985" width="3.7109375" style="733" customWidth="1"/>
    <col min="9986" max="9986" width="14.42578125" style="733" customWidth="1"/>
    <col min="9987" max="9987" width="3.7109375" style="733" customWidth="1"/>
    <col min="9988" max="9988" width="12.28515625" style="733" customWidth="1"/>
    <col min="9989" max="10015" width="6.7109375" style="733" customWidth="1"/>
    <col min="10016" max="10240" width="9.140625" style="733"/>
    <col min="10241" max="10241" width="3.7109375" style="733" customWidth="1"/>
    <col min="10242" max="10242" width="14.42578125" style="733" customWidth="1"/>
    <col min="10243" max="10243" width="3.7109375" style="733" customWidth="1"/>
    <col min="10244" max="10244" width="12.28515625" style="733" customWidth="1"/>
    <col min="10245" max="10271" width="6.7109375" style="733" customWidth="1"/>
    <col min="10272" max="10496" width="9.140625" style="733"/>
    <col min="10497" max="10497" width="3.7109375" style="733" customWidth="1"/>
    <col min="10498" max="10498" width="14.42578125" style="733" customWidth="1"/>
    <col min="10499" max="10499" width="3.7109375" style="733" customWidth="1"/>
    <col min="10500" max="10500" width="12.28515625" style="733" customWidth="1"/>
    <col min="10501" max="10527" width="6.7109375" style="733" customWidth="1"/>
    <col min="10528" max="10752" width="9.140625" style="733"/>
    <col min="10753" max="10753" width="3.7109375" style="733" customWidth="1"/>
    <col min="10754" max="10754" width="14.42578125" style="733" customWidth="1"/>
    <col min="10755" max="10755" width="3.7109375" style="733" customWidth="1"/>
    <col min="10756" max="10756" width="12.28515625" style="733" customWidth="1"/>
    <col min="10757" max="10783" width="6.7109375" style="733" customWidth="1"/>
    <col min="10784" max="11008" width="9.140625" style="733"/>
    <col min="11009" max="11009" width="3.7109375" style="733" customWidth="1"/>
    <col min="11010" max="11010" width="14.42578125" style="733" customWidth="1"/>
    <col min="11011" max="11011" width="3.7109375" style="733" customWidth="1"/>
    <col min="11012" max="11012" width="12.28515625" style="733" customWidth="1"/>
    <col min="11013" max="11039" width="6.7109375" style="733" customWidth="1"/>
    <col min="11040" max="11264" width="9.140625" style="733"/>
    <col min="11265" max="11265" width="3.7109375" style="733" customWidth="1"/>
    <col min="11266" max="11266" width="14.42578125" style="733" customWidth="1"/>
    <col min="11267" max="11267" width="3.7109375" style="733" customWidth="1"/>
    <col min="11268" max="11268" width="12.28515625" style="733" customWidth="1"/>
    <col min="11269" max="11295" width="6.7109375" style="733" customWidth="1"/>
    <col min="11296" max="11520" width="9.140625" style="733"/>
    <col min="11521" max="11521" width="3.7109375" style="733" customWidth="1"/>
    <col min="11522" max="11522" width="14.42578125" style="733" customWidth="1"/>
    <col min="11523" max="11523" width="3.7109375" style="733" customWidth="1"/>
    <col min="11524" max="11524" width="12.28515625" style="733" customWidth="1"/>
    <col min="11525" max="11551" width="6.7109375" style="733" customWidth="1"/>
    <col min="11552" max="11776" width="9.140625" style="733"/>
    <col min="11777" max="11777" width="3.7109375" style="733" customWidth="1"/>
    <col min="11778" max="11778" width="14.42578125" style="733" customWidth="1"/>
    <col min="11779" max="11779" width="3.7109375" style="733" customWidth="1"/>
    <col min="11780" max="11780" width="12.28515625" style="733" customWidth="1"/>
    <col min="11781" max="11807" width="6.7109375" style="733" customWidth="1"/>
    <col min="11808" max="12032" width="9.140625" style="733"/>
    <col min="12033" max="12033" width="3.7109375" style="733" customWidth="1"/>
    <col min="12034" max="12034" width="14.42578125" style="733" customWidth="1"/>
    <col min="12035" max="12035" width="3.7109375" style="733" customWidth="1"/>
    <col min="12036" max="12036" width="12.28515625" style="733" customWidth="1"/>
    <col min="12037" max="12063" width="6.7109375" style="733" customWidth="1"/>
    <col min="12064" max="12288" width="9.140625" style="733"/>
    <col min="12289" max="12289" width="3.7109375" style="733" customWidth="1"/>
    <col min="12290" max="12290" width="14.42578125" style="733" customWidth="1"/>
    <col min="12291" max="12291" width="3.7109375" style="733" customWidth="1"/>
    <col min="12292" max="12292" width="12.28515625" style="733" customWidth="1"/>
    <col min="12293" max="12319" width="6.7109375" style="733" customWidth="1"/>
    <col min="12320" max="12544" width="9.140625" style="733"/>
    <col min="12545" max="12545" width="3.7109375" style="733" customWidth="1"/>
    <col min="12546" max="12546" width="14.42578125" style="733" customWidth="1"/>
    <col min="12547" max="12547" width="3.7109375" style="733" customWidth="1"/>
    <col min="12548" max="12548" width="12.28515625" style="733" customWidth="1"/>
    <col min="12549" max="12575" width="6.7109375" style="733" customWidth="1"/>
    <col min="12576" max="12800" width="9.140625" style="733"/>
    <col min="12801" max="12801" width="3.7109375" style="733" customWidth="1"/>
    <col min="12802" max="12802" width="14.42578125" style="733" customWidth="1"/>
    <col min="12803" max="12803" width="3.7109375" style="733" customWidth="1"/>
    <col min="12804" max="12804" width="12.28515625" style="733" customWidth="1"/>
    <col min="12805" max="12831" width="6.7109375" style="733" customWidth="1"/>
    <col min="12832" max="13056" width="9.140625" style="733"/>
    <col min="13057" max="13057" width="3.7109375" style="733" customWidth="1"/>
    <col min="13058" max="13058" width="14.42578125" style="733" customWidth="1"/>
    <col min="13059" max="13059" width="3.7109375" style="733" customWidth="1"/>
    <col min="13060" max="13060" width="12.28515625" style="733" customWidth="1"/>
    <col min="13061" max="13087" width="6.7109375" style="733" customWidth="1"/>
    <col min="13088" max="13312" width="9.140625" style="733"/>
    <col min="13313" max="13313" width="3.7109375" style="733" customWidth="1"/>
    <col min="13314" max="13314" width="14.42578125" style="733" customWidth="1"/>
    <col min="13315" max="13315" width="3.7109375" style="733" customWidth="1"/>
    <col min="13316" max="13316" width="12.28515625" style="733" customWidth="1"/>
    <col min="13317" max="13343" width="6.7109375" style="733" customWidth="1"/>
    <col min="13344" max="13568" width="9.140625" style="733"/>
    <col min="13569" max="13569" width="3.7109375" style="733" customWidth="1"/>
    <col min="13570" max="13570" width="14.42578125" style="733" customWidth="1"/>
    <col min="13571" max="13571" width="3.7109375" style="733" customWidth="1"/>
    <col min="13572" max="13572" width="12.28515625" style="733" customWidth="1"/>
    <col min="13573" max="13599" width="6.7109375" style="733" customWidth="1"/>
    <col min="13600" max="13824" width="9.140625" style="733"/>
    <col min="13825" max="13825" width="3.7109375" style="733" customWidth="1"/>
    <col min="13826" max="13826" width="14.42578125" style="733" customWidth="1"/>
    <col min="13827" max="13827" width="3.7109375" style="733" customWidth="1"/>
    <col min="13828" max="13828" width="12.28515625" style="733" customWidth="1"/>
    <col min="13829" max="13855" width="6.7109375" style="733" customWidth="1"/>
    <col min="13856" max="14080" width="9.140625" style="733"/>
    <col min="14081" max="14081" width="3.7109375" style="733" customWidth="1"/>
    <col min="14082" max="14082" width="14.42578125" style="733" customWidth="1"/>
    <col min="14083" max="14083" width="3.7109375" style="733" customWidth="1"/>
    <col min="14084" max="14084" width="12.28515625" style="733" customWidth="1"/>
    <col min="14085" max="14111" width="6.7109375" style="733" customWidth="1"/>
    <col min="14112" max="14336" width="9.140625" style="733"/>
    <col min="14337" max="14337" width="3.7109375" style="733" customWidth="1"/>
    <col min="14338" max="14338" width="14.42578125" style="733" customWidth="1"/>
    <col min="14339" max="14339" width="3.7109375" style="733" customWidth="1"/>
    <col min="14340" max="14340" width="12.28515625" style="733" customWidth="1"/>
    <col min="14341" max="14367" width="6.7109375" style="733" customWidth="1"/>
    <col min="14368" max="14592" width="9.140625" style="733"/>
    <col min="14593" max="14593" width="3.7109375" style="733" customWidth="1"/>
    <col min="14594" max="14594" width="14.42578125" style="733" customWidth="1"/>
    <col min="14595" max="14595" width="3.7109375" style="733" customWidth="1"/>
    <col min="14596" max="14596" width="12.28515625" style="733" customWidth="1"/>
    <col min="14597" max="14623" width="6.7109375" style="733" customWidth="1"/>
    <col min="14624" max="14848" width="9.140625" style="733"/>
    <col min="14849" max="14849" width="3.7109375" style="733" customWidth="1"/>
    <col min="14850" max="14850" width="14.42578125" style="733" customWidth="1"/>
    <col min="14851" max="14851" width="3.7109375" style="733" customWidth="1"/>
    <col min="14852" max="14852" width="12.28515625" style="733" customWidth="1"/>
    <col min="14853" max="14879" width="6.7109375" style="733" customWidth="1"/>
    <col min="14880" max="15104" width="9.140625" style="733"/>
    <col min="15105" max="15105" width="3.7109375" style="733" customWidth="1"/>
    <col min="15106" max="15106" width="14.42578125" style="733" customWidth="1"/>
    <col min="15107" max="15107" width="3.7109375" style="733" customWidth="1"/>
    <col min="15108" max="15108" width="12.28515625" style="733" customWidth="1"/>
    <col min="15109" max="15135" width="6.7109375" style="733" customWidth="1"/>
    <col min="15136" max="15360" width="9.140625" style="733"/>
    <col min="15361" max="15361" width="3.7109375" style="733" customWidth="1"/>
    <col min="15362" max="15362" width="14.42578125" style="733" customWidth="1"/>
    <col min="15363" max="15363" width="3.7109375" style="733" customWidth="1"/>
    <col min="15364" max="15364" width="12.28515625" style="733" customWidth="1"/>
    <col min="15365" max="15391" width="6.7109375" style="733" customWidth="1"/>
    <col min="15392" max="15616" width="9.140625" style="733"/>
    <col min="15617" max="15617" width="3.7109375" style="733" customWidth="1"/>
    <col min="15618" max="15618" width="14.42578125" style="733" customWidth="1"/>
    <col min="15619" max="15619" width="3.7109375" style="733" customWidth="1"/>
    <col min="15620" max="15620" width="12.28515625" style="733" customWidth="1"/>
    <col min="15621" max="15647" width="6.7109375" style="733" customWidth="1"/>
    <col min="15648" max="15872" width="9.140625" style="733"/>
    <col min="15873" max="15873" width="3.7109375" style="733" customWidth="1"/>
    <col min="15874" max="15874" width="14.42578125" style="733" customWidth="1"/>
    <col min="15875" max="15875" width="3.7109375" style="733" customWidth="1"/>
    <col min="15876" max="15876" width="12.28515625" style="733" customWidth="1"/>
    <col min="15877" max="15903" width="6.7109375" style="733" customWidth="1"/>
    <col min="15904" max="16128" width="9.140625" style="733"/>
    <col min="16129" max="16129" width="3.7109375" style="733" customWidth="1"/>
    <col min="16130" max="16130" width="14.42578125" style="733" customWidth="1"/>
    <col min="16131" max="16131" width="3.7109375" style="733" customWidth="1"/>
    <col min="16132" max="16132" width="12.28515625" style="733" customWidth="1"/>
    <col min="16133" max="16159" width="6.7109375" style="733" customWidth="1"/>
    <col min="16160" max="16384" width="9.140625" style="733"/>
  </cols>
  <sheetData>
    <row r="1" spans="1:31" s="943" customFormat="1" ht="15" x14ac:dyDescent="0.2">
      <c r="A1" s="2035"/>
      <c r="B1" s="2036"/>
      <c r="C1" s="2036"/>
    </row>
    <row r="2" spans="1:31" s="943" customFormat="1" ht="15" customHeight="1" x14ac:dyDescent="0.2">
      <c r="A2" s="1">
        <v>1</v>
      </c>
      <c r="B2" s="1" t="s">
        <v>0</v>
      </c>
      <c r="C2" s="1">
        <v>54</v>
      </c>
      <c r="D2" s="3154" t="s">
        <v>1339</v>
      </c>
      <c r="E2" s="1767"/>
      <c r="F2" s="1767"/>
      <c r="G2" s="1767"/>
      <c r="H2" s="1767"/>
      <c r="I2" s="1767"/>
      <c r="J2" s="1767"/>
      <c r="K2" s="1767"/>
      <c r="L2" s="1767"/>
      <c r="M2" s="1767"/>
      <c r="N2" s="1767"/>
      <c r="O2" s="1767"/>
      <c r="P2" s="1767"/>
      <c r="Q2" s="1767"/>
      <c r="R2" s="1767"/>
      <c r="S2" s="1767"/>
      <c r="T2" s="1767"/>
      <c r="U2" s="1767"/>
      <c r="V2" s="1767"/>
      <c r="W2" s="38"/>
      <c r="X2" s="38"/>
      <c r="Y2" s="38"/>
      <c r="Z2" s="38"/>
      <c r="AA2" s="38"/>
      <c r="AB2" s="38"/>
      <c r="AC2" s="38"/>
      <c r="AD2" s="38"/>
      <c r="AE2" s="39"/>
    </row>
    <row r="3" spans="1:31" s="943" customFormat="1" ht="15" customHeight="1" x14ac:dyDescent="0.2">
      <c r="A3" s="1">
        <v>2</v>
      </c>
      <c r="B3" s="1" t="s">
        <v>2</v>
      </c>
      <c r="C3" s="1"/>
      <c r="D3" s="4140" t="s">
        <v>1284</v>
      </c>
      <c r="E3" s="4141"/>
      <c r="F3" s="4141"/>
      <c r="G3" s="4141"/>
      <c r="H3" s="4141"/>
      <c r="I3" s="4141"/>
      <c r="J3" s="4141"/>
      <c r="K3" s="4141"/>
      <c r="L3" s="4141"/>
      <c r="M3" s="4141"/>
      <c r="N3" s="4141"/>
      <c r="O3" s="4141"/>
      <c r="P3" s="4141"/>
      <c r="Q3" s="4141"/>
      <c r="R3" s="4141"/>
      <c r="S3" s="4141"/>
      <c r="T3" s="4141"/>
      <c r="U3" s="4141"/>
      <c r="V3" s="4141"/>
      <c r="W3" s="4141"/>
      <c r="X3" s="4141"/>
      <c r="Y3" s="4141"/>
      <c r="Z3" s="4141"/>
      <c r="AA3" s="4141"/>
      <c r="AB3" s="4141"/>
      <c r="AC3" s="4141"/>
      <c r="AD3" s="4141"/>
      <c r="AE3" s="4142"/>
    </row>
    <row r="4" spans="1:31" s="943" customFormat="1" ht="15" customHeight="1" x14ac:dyDescent="0.2">
      <c r="A4" s="1">
        <v>3</v>
      </c>
      <c r="B4" s="1" t="s">
        <v>4</v>
      </c>
      <c r="C4" s="1"/>
      <c r="D4" s="4140" t="s">
        <v>1340</v>
      </c>
      <c r="E4" s="4141"/>
      <c r="F4" s="4141"/>
      <c r="G4" s="4141"/>
      <c r="H4" s="4141"/>
      <c r="I4" s="4141"/>
      <c r="J4" s="4141"/>
      <c r="K4" s="4141"/>
      <c r="L4" s="4141"/>
      <c r="M4" s="4141"/>
      <c r="N4" s="4141"/>
      <c r="O4" s="4141"/>
      <c r="P4" s="4141"/>
      <c r="Q4" s="4141"/>
      <c r="R4" s="4141"/>
      <c r="S4" s="4141"/>
      <c r="T4" s="4141"/>
      <c r="U4" s="4141"/>
      <c r="V4" s="4141"/>
      <c r="W4" s="4141"/>
      <c r="X4" s="4141"/>
      <c r="Y4" s="4141"/>
      <c r="Z4" s="4141"/>
      <c r="AA4" s="4141"/>
      <c r="AB4" s="4141"/>
      <c r="AC4" s="4141"/>
      <c r="AD4" s="4141"/>
      <c r="AE4" s="4142"/>
    </row>
    <row r="5" spans="1:31" s="943" customFormat="1" ht="15" customHeight="1" x14ac:dyDescent="0.2">
      <c r="A5" s="1"/>
      <c r="B5" s="1"/>
      <c r="C5" s="1"/>
      <c r="D5" s="1769"/>
      <c r="E5" s="1769"/>
      <c r="F5" s="1769"/>
      <c r="G5" s="1769"/>
      <c r="H5" s="1769"/>
      <c r="I5" s="1769"/>
      <c r="J5" s="1769"/>
      <c r="K5" s="1769"/>
      <c r="L5" s="1769"/>
      <c r="M5" s="1769"/>
      <c r="N5" s="1769"/>
      <c r="O5" s="1769"/>
      <c r="P5" s="1769"/>
      <c r="Q5" s="1769"/>
      <c r="R5" s="1769"/>
      <c r="S5" s="1769"/>
      <c r="T5" s="1769"/>
      <c r="U5" s="1769"/>
      <c r="V5" s="1769"/>
      <c r="W5" s="1769"/>
      <c r="X5" s="1769"/>
      <c r="Y5" s="1769"/>
      <c r="Z5" s="1769"/>
      <c r="AA5" s="1769"/>
      <c r="AB5" s="1769"/>
      <c r="AC5" s="1769"/>
      <c r="AD5" s="1769"/>
      <c r="AE5" s="1769"/>
    </row>
    <row r="6" spans="1:31" ht="12.75" x14ac:dyDescent="0.2">
      <c r="A6" s="1">
        <v>4</v>
      </c>
      <c r="B6" s="12" t="s">
        <v>5</v>
      </c>
      <c r="C6" s="12"/>
      <c r="D6" s="3036"/>
      <c r="E6" s="3036"/>
      <c r="F6" s="3036"/>
      <c r="G6" s="3036"/>
      <c r="H6" s="3036"/>
      <c r="I6" s="3036"/>
      <c r="J6" s="3036"/>
      <c r="K6" s="3036"/>
      <c r="L6" s="3036"/>
      <c r="M6" s="3036"/>
      <c r="N6" s="3036"/>
      <c r="O6" s="3036"/>
    </row>
    <row r="7" spans="1:31" s="11" customFormat="1" ht="11.25" x14ac:dyDescent="0.2">
      <c r="A7" s="5"/>
      <c r="B7" s="6"/>
      <c r="C7" s="6"/>
      <c r="D7" s="1381" t="s">
        <v>40</v>
      </c>
      <c r="E7" s="1381" t="s">
        <v>1341</v>
      </c>
      <c r="F7" s="1381"/>
      <c r="G7" s="1381"/>
      <c r="H7" s="1381"/>
      <c r="I7" s="1381"/>
      <c r="J7" s="1381"/>
      <c r="K7" s="18"/>
      <c r="L7" s="18"/>
      <c r="M7" s="18"/>
      <c r="N7" s="17"/>
      <c r="O7" s="17"/>
    </row>
    <row r="8" spans="1:31" s="11" customFormat="1" ht="12.75" customHeight="1" x14ac:dyDescent="0.2">
      <c r="A8" s="5"/>
      <c r="B8" s="6"/>
      <c r="C8" s="6"/>
      <c r="D8" s="2051"/>
      <c r="E8" s="4328">
        <v>1994</v>
      </c>
      <c r="F8" s="4331"/>
      <c r="G8" s="4349"/>
      <c r="H8" s="4328">
        <v>1999</v>
      </c>
      <c r="I8" s="4331"/>
      <c r="J8" s="4349"/>
      <c r="K8" s="4331">
        <v>2004</v>
      </c>
      <c r="L8" s="4331"/>
      <c r="M8" s="4331"/>
      <c r="N8" s="4328">
        <v>2009</v>
      </c>
      <c r="O8" s="4331"/>
      <c r="P8" s="4349"/>
      <c r="Q8" s="4328">
        <v>2014</v>
      </c>
      <c r="R8" s="4331"/>
      <c r="S8" s="4350"/>
      <c r="T8" s="4351"/>
      <c r="U8" s="4351"/>
      <c r="V8" s="4351"/>
    </row>
    <row r="9" spans="1:31" s="11" customFormat="1" ht="11.25" x14ac:dyDescent="0.2">
      <c r="A9" s="5"/>
      <c r="B9" s="6"/>
      <c r="C9" s="6"/>
      <c r="D9" s="3129"/>
      <c r="E9" s="3155" t="s">
        <v>468</v>
      </c>
      <c r="F9" s="3156" t="s">
        <v>257</v>
      </c>
      <c r="G9" s="3157" t="s">
        <v>69</v>
      </c>
      <c r="H9" s="3158" t="s">
        <v>468</v>
      </c>
      <c r="I9" s="3156" t="s">
        <v>257</v>
      </c>
      <c r="J9" s="3157" t="s">
        <v>69</v>
      </c>
      <c r="K9" s="3156" t="s">
        <v>468</v>
      </c>
      <c r="L9" s="3156" t="s">
        <v>257</v>
      </c>
      <c r="M9" s="3156" t="s">
        <v>69</v>
      </c>
      <c r="N9" s="3158" t="s">
        <v>468</v>
      </c>
      <c r="O9" s="3156" t="s">
        <v>257</v>
      </c>
      <c r="P9" s="3157" t="s">
        <v>69</v>
      </c>
      <c r="Q9" s="3158" t="s">
        <v>468</v>
      </c>
      <c r="R9" s="3156" t="s">
        <v>257</v>
      </c>
      <c r="S9" s="3159" t="s">
        <v>69</v>
      </c>
      <c r="T9" s="1691"/>
      <c r="U9" s="1691"/>
      <c r="V9" s="1691"/>
    </row>
    <row r="10" spans="1:31" s="11" customFormat="1" ht="11.25" x14ac:dyDescent="0.2">
      <c r="A10" s="5"/>
      <c r="B10" s="6"/>
      <c r="C10" s="6"/>
      <c r="D10" s="3160" t="s">
        <v>1342</v>
      </c>
      <c r="E10" s="3161">
        <v>111</v>
      </c>
      <c r="F10" s="3162">
        <v>400</v>
      </c>
      <c r="G10" s="3163">
        <f>E10/F10</f>
        <v>0.27750000000000002</v>
      </c>
      <c r="H10" s="3161">
        <v>120</v>
      </c>
      <c r="I10" s="3162">
        <v>400</v>
      </c>
      <c r="J10" s="3163">
        <f>H10/I10</f>
        <v>0.3</v>
      </c>
      <c r="K10" s="3162">
        <v>131</v>
      </c>
      <c r="L10" s="3162">
        <v>400</v>
      </c>
      <c r="M10" s="3164">
        <f>K10/L10</f>
        <v>0.32750000000000001</v>
      </c>
      <c r="N10" s="3161">
        <v>173</v>
      </c>
      <c r="O10" s="3162">
        <v>400</v>
      </c>
      <c r="P10" s="3163">
        <f>N10/O10</f>
        <v>0.4325</v>
      </c>
      <c r="Q10" s="3161">
        <v>172</v>
      </c>
      <c r="R10" s="3162">
        <v>400</v>
      </c>
      <c r="S10" s="3165">
        <f>Q10/R10</f>
        <v>0.43</v>
      </c>
      <c r="T10" s="17"/>
      <c r="U10" s="17"/>
      <c r="V10" s="3127"/>
    </row>
    <row r="11" spans="1:31" s="11" customFormat="1" ht="22.5" x14ac:dyDescent="0.2">
      <c r="A11" s="5"/>
      <c r="B11" s="6"/>
      <c r="C11" s="6"/>
      <c r="D11" s="3160" t="s">
        <v>1343</v>
      </c>
      <c r="E11" s="3166"/>
      <c r="F11" s="3167"/>
      <c r="G11" s="3168"/>
      <c r="H11" s="3161"/>
      <c r="I11" s="3167"/>
      <c r="J11" s="3168"/>
      <c r="K11" s="3162"/>
      <c r="L11" s="3167"/>
      <c r="M11" s="3167"/>
      <c r="N11" s="3161"/>
      <c r="O11" s="3167"/>
      <c r="P11" s="3168"/>
      <c r="Q11" s="3161"/>
      <c r="R11" s="3167"/>
      <c r="S11" s="3169"/>
      <c r="T11" s="17"/>
      <c r="U11" s="2040"/>
      <c r="V11" s="2040"/>
    </row>
    <row r="12" spans="1:31" s="11" customFormat="1" ht="11.25" x14ac:dyDescent="0.2">
      <c r="A12" s="5"/>
      <c r="B12" s="6"/>
      <c r="C12" s="6"/>
      <c r="D12" s="1863" t="s">
        <v>19</v>
      </c>
      <c r="E12" s="3170">
        <v>13</v>
      </c>
      <c r="F12" s="1355">
        <v>56</v>
      </c>
      <c r="G12" s="3125">
        <f t="shared" ref="G12:G21" si="0">E12/F12</f>
        <v>0.23214285714285715</v>
      </c>
      <c r="H12" s="3170">
        <v>15</v>
      </c>
      <c r="I12" s="1355">
        <v>63</v>
      </c>
      <c r="J12" s="3125">
        <f t="shared" ref="J12:J21" si="1">H12/I12</f>
        <v>0.23809523809523808</v>
      </c>
      <c r="K12" s="1355">
        <v>21</v>
      </c>
      <c r="L12" s="1355">
        <v>63</v>
      </c>
      <c r="M12" s="3127">
        <f t="shared" ref="M12:M21" si="2">K12/L12</f>
        <v>0.33333333333333331</v>
      </c>
      <c r="N12" s="3170">
        <v>28</v>
      </c>
      <c r="O12" s="1355">
        <v>63</v>
      </c>
      <c r="P12" s="3125">
        <f t="shared" ref="P12:P21" si="3">N12/O12</f>
        <v>0.44444444444444442</v>
      </c>
      <c r="Q12" s="3170">
        <v>26</v>
      </c>
      <c r="R12" s="1355">
        <v>63</v>
      </c>
      <c r="S12" s="3128">
        <f t="shared" ref="S12:S21" si="4">Q12/R12</f>
        <v>0.41269841269841268</v>
      </c>
      <c r="T12" s="1355"/>
      <c r="U12" s="1355"/>
      <c r="V12" s="3127"/>
    </row>
    <row r="13" spans="1:31" s="11" customFormat="1" ht="14.25" customHeight="1" x14ac:dyDescent="0.2">
      <c r="A13" s="5"/>
      <c r="B13" s="6"/>
      <c r="C13" s="6"/>
      <c r="D13" s="1863" t="s">
        <v>20</v>
      </c>
      <c r="E13" s="3170">
        <v>7</v>
      </c>
      <c r="F13" s="1355">
        <v>30</v>
      </c>
      <c r="G13" s="3125">
        <f t="shared" si="0"/>
        <v>0.23333333333333334</v>
      </c>
      <c r="H13" s="3170">
        <v>7</v>
      </c>
      <c r="I13" s="1355">
        <v>30</v>
      </c>
      <c r="J13" s="3125">
        <f t="shared" si="1"/>
        <v>0.23333333333333334</v>
      </c>
      <c r="K13" s="1355">
        <v>8</v>
      </c>
      <c r="L13" s="1355">
        <v>30</v>
      </c>
      <c r="M13" s="3127">
        <f t="shared" si="2"/>
        <v>0.26666666666666666</v>
      </c>
      <c r="N13" s="3170">
        <v>12</v>
      </c>
      <c r="O13" s="1355">
        <v>30</v>
      </c>
      <c r="P13" s="3125">
        <f t="shared" si="3"/>
        <v>0.4</v>
      </c>
      <c r="Q13" s="3170">
        <v>14</v>
      </c>
      <c r="R13" s="1355">
        <v>30</v>
      </c>
      <c r="S13" s="3128">
        <f t="shared" si="4"/>
        <v>0.46666666666666667</v>
      </c>
      <c r="T13" s="1355"/>
      <c r="U13" s="1355"/>
      <c r="V13" s="3127"/>
    </row>
    <row r="14" spans="1:31" s="11" customFormat="1" ht="14.25" customHeight="1" x14ac:dyDescent="0.2">
      <c r="A14" s="5"/>
      <c r="B14" s="6"/>
      <c r="C14" s="6"/>
      <c r="D14" s="1863" t="s">
        <v>21</v>
      </c>
      <c r="E14" s="3170">
        <v>25</v>
      </c>
      <c r="F14" s="1355">
        <v>86</v>
      </c>
      <c r="G14" s="3125">
        <f t="shared" si="0"/>
        <v>0.29069767441860467</v>
      </c>
      <c r="H14" s="3170">
        <v>26</v>
      </c>
      <c r="I14" s="1355">
        <v>73</v>
      </c>
      <c r="J14" s="3125">
        <f t="shared" si="1"/>
        <v>0.35616438356164382</v>
      </c>
      <c r="K14" s="1355">
        <v>31</v>
      </c>
      <c r="L14" s="1355">
        <v>73</v>
      </c>
      <c r="M14" s="3127">
        <f t="shared" si="2"/>
        <v>0.42465753424657532</v>
      </c>
      <c r="N14" s="3170">
        <v>33</v>
      </c>
      <c r="O14" s="1355">
        <v>73</v>
      </c>
      <c r="P14" s="3125">
        <f t="shared" si="3"/>
        <v>0.45205479452054792</v>
      </c>
      <c r="Q14" s="3170">
        <v>29</v>
      </c>
      <c r="R14" s="1355">
        <v>73</v>
      </c>
      <c r="S14" s="3128">
        <f t="shared" si="4"/>
        <v>0.39726027397260272</v>
      </c>
      <c r="T14" s="1355"/>
      <c r="U14" s="1355"/>
      <c r="V14" s="3127"/>
    </row>
    <row r="15" spans="1:31" s="11" customFormat="1" ht="14.25" customHeight="1" x14ac:dyDescent="0.2">
      <c r="A15" s="5"/>
      <c r="B15" s="6"/>
      <c r="C15" s="6"/>
      <c r="D15" s="1863" t="s">
        <v>22</v>
      </c>
      <c r="E15" s="3170">
        <v>11</v>
      </c>
      <c r="F15" s="1355">
        <v>81</v>
      </c>
      <c r="G15" s="3125">
        <f t="shared" si="0"/>
        <v>0.13580246913580246</v>
      </c>
      <c r="H15" s="3170">
        <v>22</v>
      </c>
      <c r="I15" s="1355">
        <v>80</v>
      </c>
      <c r="J15" s="3125">
        <f t="shared" si="1"/>
        <v>0.27500000000000002</v>
      </c>
      <c r="K15" s="1355">
        <v>21</v>
      </c>
      <c r="L15" s="1355">
        <v>80</v>
      </c>
      <c r="M15" s="3127">
        <f t="shared" si="2"/>
        <v>0.26250000000000001</v>
      </c>
      <c r="N15" s="3170">
        <v>30</v>
      </c>
      <c r="O15" s="1355">
        <v>80</v>
      </c>
      <c r="P15" s="3125">
        <f t="shared" si="3"/>
        <v>0.375</v>
      </c>
      <c r="Q15" s="3170">
        <v>32</v>
      </c>
      <c r="R15" s="1355">
        <v>80</v>
      </c>
      <c r="S15" s="3128">
        <f t="shared" si="4"/>
        <v>0.4</v>
      </c>
      <c r="T15" s="1355"/>
      <c r="U15" s="1355"/>
      <c r="V15" s="3127"/>
    </row>
    <row r="16" spans="1:31" s="11" customFormat="1" ht="14.25" customHeight="1" x14ac:dyDescent="0.2">
      <c r="A16" s="5"/>
      <c r="B16" s="6"/>
      <c r="C16" s="6"/>
      <c r="D16" s="1863" t="s">
        <v>23</v>
      </c>
      <c r="E16" s="3170">
        <v>11</v>
      </c>
      <c r="F16" s="1355">
        <v>40</v>
      </c>
      <c r="G16" s="3125">
        <f t="shared" si="0"/>
        <v>0.27500000000000002</v>
      </c>
      <c r="H16" s="3170">
        <v>16</v>
      </c>
      <c r="I16" s="1355">
        <v>49</v>
      </c>
      <c r="J16" s="3125">
        <f t="shared" si="1"/>
        <v>0.32653061224489793</v>
      </c>
      <c r="K16" s="1355">
        <v>16</v>
      </c>
      <c r="L16" s="1355">
        <v>49</v>
      </c>
      <c r="M16" s="3127">
        <f t="shared" si="2"/>
        <v>0.32653061224489793</v>
      </c>
      <c r="N16" s="3170">
        <v>23</v>
      </c>
      <c r="O16" s="1355">
        <v>49</v>
      </c>
      <c r="P16" s="3125">
        <f t="shared" si="3"/>
        <v>0.46938775510204084</v>
      </c>
      <c r="Q16" s="3170">
        <v>23</v>
      </c>
      <c r="R16" s="1355">
        <v>49</v>
      </c>
      <c r="S16" s="3128">
        <f t="shared" si="4"/>
        <v>0.46938775510204084</v>
      </c>
      <c r="T16" s="1355"/>
      <c r="U16" s="1355"/>
      <c r="V16" s="3127"/>
    </row>
    <row r="17" spans="1:31" s="11" customFormat="1" ht="14.25" customHeight="1" x14ac:dyDescent="0.2">
      <c r="A17" s="5"/>
      <c r="B17" s="6"/>
      <c r="C17" s="6"/>
      <c r="D17" s="1863" t="s">
        <v>24</v>
      </c>
      <c r="E17" s="3170">
        <v>6</v>
      </c>
      <c r="F17" s="1355">
        <v>30</v>
      </c>
      <c r="G17" s="3125">
        <f t="shared" si="0"/>
        <v>0.2</v>
      </c>
      <c r="H17" s="3170">
        <v>8</v>
      </c>
      <c r="I17" s="1355">
        <v>30</v>
      </c>
      <c r="J17" s="3125">
        <f t="shared" si="1"/>
        <v>0.26666666666666666</v>
      </c>
      <c r="K17" s="1355">
        <v>9</v>
      </c>
      <c r="L17" s="1355">
        <v>30</v>
      </c>
      <c r="M17" s="3127">
        <f t="shared" si="2"/>
        <v>0.3</v>
      </c>
      <c r="N17" s="3170">
        <v>12</v>
      </c>
      <c r="O17" s="1355">
        <v>30</v>
      </c>
      <c r="P17" s="3125">
        <f t="shared" si="3"/>
        <v>0.4</v>
      </c>
      <c r="Q17" s="3170">
        <v>14</v>
      </c>
      <c r="R17" s="1355">
        <v>30</v>
      </c>
      <c r="S17" s="3128">
        <f t="shared" si="4"/>
        <v>0.46666666666666667</v>
      </c>
      <c r="T17" s="1355"/>
      <c r="U17" s="1355"/>
      <c r="V17" s="3127"/>
    </row>
    <row r="18" spans="1:31" s="11" customFormat="1" ht="14.25" customHeight="1" x14ac:dyDescent="0.2">
      <c r="A18" s="5"/>
      <c r="B18" s="6"/>
      <c r="C18" s="6"/>
      <c r="D18" s="1863" t="s">
        <v>25</v>
      </c>
      <c r="E18" s="3170">
        <v>9</v>
      </c>
      <c r="F18" s="1355">
        <v>33</v>
      </c>
      <c r="G18" s="3125">
        <f t="shared" si="0"/>
        <v>0.27272727272727271</v>
      </c>
      <c r="H18" s="3170">
        <v>9</v>
      </c>
      <c r="I18" s="1355">
        <v>33</v>
      </c>
      <c r="J18" s="3125">
        <f t="shared" si="1"/>
        <v>0.27272727272727271</v>
      </c>
      <c r="K18" s="1355">
        <v>11</v>
      </c>
      <c r="L18" s="1355">
        <v>33</v>
      </c>
      <c r="M18" s="3127">
        <f t="shared" si="2"/>
        <v>0.33333333333333331</v>
      </c>
      <c r="N18" s="3170">
        <v>14</v>
      </c>
      <c r="O18" s="1355">
        <v>33</v>
      </c>
      <c r="P18" s="3125">
        <f t="shared" si="3"/>
        <v>0.42424242424242425</v>
      </c>
      <c r="Q18" s="3170">
        <v>15</v>
      </c>
      <c r="R18" s="1355">
        <v>33</v>
      </c>
      <c r="S18" s="3128">
        <f t="shared" si="4"/>
        <v>0.45454545454545453</v>
      </c>
      <c r="T18" s="1355"/>
      <c r="U18" s="1355"/>
      <c r="V18" s="3127"/>
    </row>
    <row r="19" spans="1:31" s="11" customFormat="1" ht="14.25" customHeight="1" x14ac:dyDescent="0.2">
      <c r="A19" s="5"/>
      <c r="B19" s="6"/>
      <c r="C19" s="6"/>
      <c r="D19" s="1863" t="s">
        <v>26</v>
      </c>
      <c r="E19" s="3170"/>
      <c r="F19" s="1355">
        <v>30</v>
      </c>
      <c r="G19" s="3125">
        <f t="shared" si="0"/>
        <v>0</v>
      </c>
      <c r="H19" s="3170">
        <v>8</v>
      </c>
      <c r="I19" s="1355">
        <v>30</v>
      </c>
      <c r="J19" s="3125">
        <f t="shared" si="1"/>
        <v>0.26666666666666666</v>
      </c>
      <c r="K19" s="1355">
        <v>9</v>
      </c>
      <c r="L19" s="1355">
        <v>30</v>
      </c>
      <c r="M19" s="3127">
        <f t="shared" si="2"/>
        <v>0.3</v>
      </c>
      <c r="N19" s="3170">
        <v>13</v>
      </c>
      <c r="O19" s="1355">
        <v>30</v>
      </c>
      <c r="P19" s="3125">
        <f t="shared" si="3"/>
        <v>0.43333333333333335</v>
      </c>
      <c r="Q19" s="3170">
        <v>12</v>
      </c>
      <c r="R19" s="1355">
        <v>30</v>
      </c>
      <c r="S19" s="3128">
        <f t="shared" si="4"/>
        <v>0.4</v>
      </c>
      <c r="T19" s="1355"/>
      <c r="U19" s="1355"/>
      <c r="V19" s="3127"/>
    </row>
    <row r="20" spans="1:31" s="11" customFormat="1" ht="14.25" customHeight="1" x14ac:dyDescent="0.2">
      <c r="A20" s="5"/>
      <c r="B20" s="6"/>
      <c r="C20" s="6"/>
      <c r="D20" s="1863" t="s">
        <v>27</v>
      </c>
      <c r="E20" s="3170">
        <v>10</v>
      </c>
      <c r="F20" s="1355">
        <v>42</v>
      </c>
      <c r="G20" s="3125">
        <f t="shared" si="0"/>
        <v>0.23809523809523808</v>
      </c>
      <c r="H20" s="3170">
        <v>11</v>
      </c>
      <c r="I20" s="1355">
        <v>42</v>
      </c>
      <c r="J20" s="3125">
        <f t="shared" si="1"/>
        <v>0.26190476190476192</v>
      </c>
      <c r="K20" s="1355">
        <v>13</v>
      </c>
      <c r="L20" s="1355">
        <v>42</v>
      </c>
      <c r="M20" s="3127">
        <f t="shared" si="2"/>
        <v>0.30952380952380953</v>
      </c>
      <c r="N20" s="3170">
        <v>14</v>
      </c>
      <c r="O20" s="1355">
        <v>42</v>
      </c>
      <c r="P20" s="3125">
        <f t="shared" si="3"/>
        <v>0.33333333333333331</v>
      </c>
      <c r="Q20" s="3170">
        <v>16</v>
      </c>
      <c r="R20" s="1355">
        <v>42</v>
      </c>
      <c r="S20" s="3128">
        <f t="shared" si="4"/>
        <v>0.38095238095238093</v>
      </c>
      <c r="T20" s="1355"/>
      <c r="U20" s="1355"/>
      <c r="V20" s="3127"/>
    </row>
    <row r="21" spans="1:31" s="13" customFormat="1" ht="14.25" customHeight="1" x14ac:dyDescent="0.2">
      <c r="A21" s="5"/>
      <c r="B21" s="35"/>
      <c r="C21" s="35"/>
      <c r="D21" s="3171" t="s">
        <v>257</v>
      </c>
      <c r="E21" s="3172">
        <f>SUM(E10:E20)</f>
        <v>203</v>
      </c>
      <c r="F21" s="2637">
        <f>SUM(F10:F20)</f>
        <v>828</v>
      </c>
      <c r="G21" s="3173">
        <f t="shared" si="0"/>
        <v>0.24516908212560387</v>
      </c>
      <c r="H21" s="3172">
        <f>SUM(H10:H20)</f>
        <v>242</v>
      </c>
      <c r="I21" s="2637">
        <f>SUM(I10:I20)</f>
        <v>830</v>
      </c>
      <c r="J21" s="3173">
        <f t="shared" si="1"/>
        <v>0.29156626506024097</v>
      </c>
      <c r="K21" s="2637">
        <f>SUM(K10:K20)</f>
        <v>270</v>
      </c>
      <c r="L21" s="3174">
        <f>SUM(L10:L20)</f>
        <v>830</v>
      </c>
      <c r="M21" s="3175">
        <f t="shared" si="2"/>
        <v>0.3253012048192771</v>
      </c>
      <c r="N21" s="3172">
        <f>SUM(N10:N20)</f>
        <v>352</v>
      </c>
      <c r="O21" s="2637">
        <f>SUM(O10:O20)</f>
        <v>830</v>
      </c>
      <c r="P21" s="3173">
        <f t="shared" si="3"/>
        <v>0.42409638554216866</v>
      </c>
      <c r="Q21" s="3172">
        <f>SUM(Q10:Q20)</f>
        <v>353</v>
      </c>
      <c r="R21" s="2637">
        <f>SUM(R10:R20)</f>
        <v>830</v>
      </c>
      <c r="S21" s="3176">
        <f t="shared" si="4"/>
        <v>0.42530120481927713</v>
      </c>
      <c r="T21" s="749"/>
      <c r="U21" s="749"/>
      <c r="V21" s="3177"/>
    </row>
    <row r="22" spans="1:31" x14ac:dyDescent="0.2">
      <c r="B22" s="3178"/>
      <c r="C22" s="3178"/>
      <c r="D22" s="17"/>
      <c r="E22" s="17"/>
      <c r="F22" s="17"/>
      <c r="G22" s="17"/>
      <c r="H22" s="17"/>
      <c r="I22" s="17"/>
      <c r="J22" s="17"/>
      <c r="K22" s="11"/>
      <c r="L22" s="17"/>
      <c r="M22" s="17"/>
      <c r="N22" s="17"/>
      <c r="O22" s="17"/>
      <c r="P22" s="11"/>
      <c r="Q22" s="11"/>
      <c r="R22" s="11"/>
      <c r="S22" s="11"/>
      <c r="T22" s="11"/>
      <c r="U22" s="11"/>
      <c r="V22" s="11"/>
    </row>
    <row r="23" spans="1:31" x14ac:dyDescent="0.2">
      <c r="B23" s="3178"/>
      <c r="C23" s="3178"/>
      <c r="D23" s="1381" t="s">
        <v>67</v>
      </c>
      <c r="E23" s="1381"/>
      <c r="F23" s="1381" t="s">
        <v>1344</v>
      </c>
      <c r="G23" s="3179"/>
      <c r="H23" s="3179"/>
      <c r="I23" s="3179"/>
      <c r="J23" s="3179"/>
      <c r="K23" s="3179"/>
      <c r="L23" s="3179"/>
      <c r="M23" s="11"/>
      <c r="N23" s="11"/>
      <c r="O23" s="11"/>
      <c r="P23" s="11"/>
      <c r="Q23" s="11"/>
      <c r="R23" s="11"/>
      <c r="S23" s="11"/>
      <c r="T23" s="11"/>
      <c r="U23" s="11"/>
      <c r="V23" s="11"/>
    </row>
    <row r="24" spans="1:31" ht="15" customHeight="1" x14ac:dyDescent="0.2">
      <c r="B24" s="3178"/>
      <c r="C24" s="3178"/>
      <c r="D24" s="3180"/>
      <c r="E24" s="4336">
        <v>2006</v>
      </c>
      <c r="F24" s="4337"/>
      <c r="G24" s="4337"/>
      <c r="H24" s="4337"/>
      <c r="I24" s="4337"/>
      <c r="J24" s="4337"/>
      <c r="K24" s="4337"/>
      <c r="L24" s="4337"/>
      <c r="M24" s="4338"/>
      <c r="N24" s="4339">
        <v>2011</v>
      </c>
      <c r="O24" s="4337"/>
      <c r="P24" s="4337"/>
      <c r="Q24" s="4337"/>
      <c r="R24" s="4337"/>
      <c r="S24" s="4337"/>
      <c r="T24" s="4337"/>
      <c r="U24" s="4337"/>
      <c r="V24" s="4340"/>
      <c r="W24" s="4339">
        <v>2016</v>
      </c>
      <c r="X24" s="4337"/>
      <c r="Y24" s="4337"/>
      <c r="Z24" s="4337"/>
      <c r="AA24" s="4337"/>
      <c r="AB24" s="4337"/>
      <c r="AC24" s="4337"/>
      <c r="AD24" s="4337"/>
      <c r="AE24" s="4338"/>
    </row>
    <row r="25" spans="1:31" ht="26.25" customHeight="1" x14ac:dyDescent="0.2">
      <c r="B25" s="3178"/>
      <c r="C25" s="3178"/>
      <c r="D25" s="1785"/>
      <c r="E25" s="4341" t="s">
        <v>1345</v>
      </c>
      <c r="F25" s="4342"/>
      <c r="G25" s="4343"/>
      <c r="H25" s="4344" t="s">
        <v>1346</v>
      </c>
      <c r="I25" s="4345"/>
      <c r="J25" s="4345"/>
      <c r="K25" s="4344" t="s">
        <v>1347</v>
      </c>
      <c r="L25" s="4345"/>
      <c r="M25" s="4346"/>
      <c r="N25" s="4347" t="s">
        <v>1345</v>
      </c>
      <c r="O25" s="4342"/>
      <c r="P25" s="4343"/>
      <c r="Q25" s="4344" t="s">
        <v>1346</v>
      </c>
      <c r="R25" s="4345"/>
      <c r="S25" s="4345"/>
      <c r="T25" s="4344" t="s">
        <v>1347</v>
      </c>
      <c r="U25" s="4345"/>
      <c r="V25" s="4348"/>
      <c r="W25" s="4347" t="s">
        <v>1345</v>
      </c>
      <c r="X25" s="4342"/>
      <c r="Y25" s="4343"/>
      <c r="Z25" s="4344" t="s">
        <v>1346</v>
      </c>
      <c r="AA25" s="4345"/>
      <c r="AB25" s="4345"/>
      <c r="AC25" s="4344" t="s">
        <v>1347</v>
      </c>
      <c r="AD25" s="4345"/>
      <c r="AE25" s="4346"/>
    </row>
    <row r="26" spans="1:31" ht="15.75" customHeight="1" x14ac:dyDescent="0.2">
      <c r="B26" s="3178"/>
      <c r="C26" s="3178"/>
      <c r="D26" s="3181" t="s">
        <v>480</v>
      </c>
      <c r="E26" s="3182" t="s">
        <v>468</v>
      </c>
      <c r="F26" s="1691" t="s">
        <v>257</v>
      </c>
      <c r="G26" s="3183" t="s">
        <v>69</v>
      </c>
      <c r="H26" s="1691" t="s">
        <v>468</v>
      </c>
      <c r="I26" s="1691" t="s">
        <v>257</v>
      </c>
      <c r="J26" s="3183" t="s">
        <v>69</v>
      </c>
      <c r="K26" s="1691" t="s">
        <v>468</v>
      </c>
      <c r="L26" s="1691" t="s">
        <v>257</v>
      </c>
      <c r="M26" s="3184" t="s">
        <v>69</v>
      </c>
      <c r="N26" s="3185" t="s">
        <v>468</v>
      </c>
      <c r="O26" s="1691" t="s">
        <v>257</v>
      </c>
      <c r="P26" s="3183" t="s">
        <v>69</v>
      </c>
      <c r="Q26" s="1691" t="s">
        <v>468</v>
      </c>
      <c r="R26" s="1691" t="s">
        <v>257</v>
      </c>
      <c r="S26" s="3183" t="s">
        <v>69</v>
      </c>
      <c r="T26" s="1691" t="s">
        <v>468</v>
      </c>
      <c r="U26" s="1691" t="s">
        <v>257</v>
      </c>
      <c r="V26" s="3186" t="s">
        <v>69</v>
      </c>
      <c r="W26" s="3185" t="s">
        <v>468</v>
      </c>
      <c r="X26" s="1691" t="s">
        <v>257</v>
      </c>
      <c r="Y26" s="3183" t="s">
        <v>69</v>
      </c>
      <c r="Z26" s="1691" t="s">
        <v>468</v>
      </c>
      <c r="AA26" s="1691" t="s">
        <v>257</v>
      </c>
      <c r="AB26" s="3183" t="s">
        <v>69</v>
      </c>
      <c r="AC26" s="1691" t="s">
        <v>468</v>
      </c>
      <c r="AD26" s="1691" t="s">
        <v>257</v>
      </c>
      <c r="AE26" s="3184" t="s">
        <v>69</v>
      </c>
    </row>
    <row r="27" spans="1:31" x14ac:dyDescent="0.2">
      <c r="B27" s="3178"/>
      <c r="C27" s="3178"/>
      <c r="D27" s="23" t="s">
        <v>19</v>
      </c>
      <c r="E27" s="3187">
        <v>348</v>
      </c>
      <c r="F27" s="1414">
        <v>743</v>
      </c>
      <c r="G27" s="3188">
        <v>46.837146702557206</v>
      </c>
      <c r="H27" s="1414">
        <v>236</v>
      </c>
      <c r="I27" s="1414">
        <v>636</v>
      </c>
      <c r="J27" s="3188">
        <v>37.106918238993707</v>
      </c>
      <c r="K27" s="1414">
        <v>584</v>
      </c>
      <c r="L27" s="1414">
        <v>1379</v>
      </c>
      <c r="M27" s="3189">
        <v>42.349528643944886</v>
      </c>
      <c r="N27" s="3190">
        <v>358</v>
      </c>
      <c r="O27" s="1414">
        <v>799</v>
      </c>
      <c r="P27" s="3188">
        <v>44.81</v>
      </c>
      <c r="Q27" s="1414">
        <v>278</v>
      </c>
      <c r="R27" s="1414">
        <v>715</v>
      </c>
      <c r="S27" s="3188">
        <v>38.879999999999995</v>
      </c>
      <c r="T27" s="1414">
        <v>636</v>
      </c>
      <c r="U27" s="1414">
        <v>1514</v>
      </c>
      <c r="V27" s="3188">
        <v>42.01</v>
      </c>
      <c r="W27" s="3190">
        <v>415</v>
      </c>
      <c r="X27" s="1414">
        <v>787</v>
      </c>
      <c r="Y27" s="3188">
        <v>52.7</v>
      </c>
      <c r="Z27" s="1414">
        <v>229</v>
      </c>
      <c r="AA27" s="1414">
        <v>705</v>
      </c>
      <c r="AB27" s="3188">
        <v>32.5</v>
      </c>
      <c r="AC27" s="1414">
        <v>644</v>
      </c>
      <c r="AD27" s="1414">
        <v>1490</v>
      </c>
      <c r="AE27" s="3189">
        <v>43.2</v>
      </c>
    </row>
    <row r="28" spans="1:31" x14ac:dyDescent="0.2">
      <c r="B28" s="3178"/>
      <c r="C28" s="3178"/>
      <c r="D28" s="23" t="s">
        <v>20</v>
      </c>
      <c r="E28" s="3187">
        <v>141</v>
      </c>
      <c r="F28" s="1414">
        <v>334</v>
      </c>
      <c r="G28" s="3188">
        <v>42.215568862275447</v>
      </c>
      <c r="H28" s="1414">
        <v>113</v>
      </c>
      <c r="I28" s="1414">
        <v>300</v>
      </c>
      <c r="J28" s="3188">
        <v>37.666666666666664</v>
      </c>
      <c r="K28" s="1414">
        <v>254</v>
      </c>
      <c r="L28" s="1414">
        <v>634</v>
      </c>
      <c r="M28" s="3189">
        <v>40.063091482649845</v>
      </c>
      <c r="N28" s="3190">
        <v>164</v>
      </c>
      <c r="O28" s="1414">
        <v>359</v>
      </c>
      <c r="P28" s="3188">
        <v>45.68</v>
      </c>
      <c r="Q28" s="1414">
        <v>93</v>
      </c>
      <c r="R28" s="1414">
        <v>317</v>
      </c>
      <c r="S28" s="3188">
        <v>29.34</v>
      </c>
      <c r="T28" s="1414">
        <v>257</v>
      </c>
      <c r="U28" s="1414">
        <v>676</v>
      </c>
      <c r="V28" s="3188">
        <v>38.019999999999996</v>
      </c>
      <c r="W28" s="3190">
        <v>173</v>
      </c>
      <c r="X28" s="1414">
        <v>350</v>
      </c>
      <c r="Y28" s="3188">
        <v>49.4</v>
      </c>
      <c r="Z28" s="1414">
        <v>79</v>
      </c>
      <c r="AA28" s="1414">
        <v>309</v>
      </c>
      <c r="AB28" s="3188">
        <v>25.6</v>
      </c>
      <c r="AC28" s="1414">
        <v>252</v>
      </c>
      <c r="AD28" s="1414">
        <v>659</v>
      </c>
      <c r="AE28" s="3189">
        <v>38.200000000000003</v>
      </c>
    </row>
    <row r="29" spans="1:31" x14ac:dyDescent="0.2">
      <c r="B29" s="3178"/>
      <c r="C29" s="3178"/>
      <c r="D29" s="23" t="s">
        <v>21</v>
      </c>
      <c r="E29" s="3187">
        <v>201</v>
      </c>
      <c r="F29" s="1414">
        <v>454</v>
      </c>
      <c r="G29" s="3188">
        <v>44.273127753303967</v>
      </c>
      <c r="H29" s="1414">
        <v>190</v>
      </c>
      <c r="I29" s="1414">
        <v>423</v>
      </c>
      <c r="J29" s="3188">
        <v>44.917257683215126</v>
      </c>
      <c r="K29" s="1414">
        <v>391</v>
      </c>
      <c r="L29" s="1414">
        <v>877</v>
      </c>
      <c r="M29" s="3189">
        <v>44.583808437856327</v>
      </c>
      <c r="N29" s="3190">
        <v>220</v>
      </c>
      <c r="O29" s="1414">
        <v>542</v>
      </c>
      <c r="P29" s="3188">
        <v>40.589999999999996</v>
      </c>
      <c r="Q29" s="1414">
        <v>199</v>
      </c>
      <c r="R29" s="1414">
        <v>508</v>
      </c>
      <c r="S29" s="3188">
        <v>39.17</v>
      </c>
      <c r="T29" s="1414">
        <v>419</v>
      </c>
      <c r="U29" s="1414">
        <v>1050</v>
      </c>
      <c r="V29" s="3188">
        <v>39.900000000000006</v>
      </c>
      <c r="W29" s="3190">
        <v>232</v>
      </c>
      <c r="X29" s="1414">
        <v>563</v>
      </c>
      <c r="Y29" s="3188">
        <v>41.2</v>
      </c>
      <c r="Z29" s="1414">
        <v>192</v>
      </c>
      <c r="AA29" s="1414">
        <v>529</v>
      </c>
      <c r="AB29" s="3188">
        <v>36.299999999999997</v>
      </c>
      <c r="AC29" s="1414">
        <v>424</v>
      </c>
      <c r="AD29" s="1414">
        <v>1092</v>
      </c>
      <c r="AE29" s="3189">
        <v>38.799999999999997</v>
      </c>
    </row>
    <row r="30" spans="1:31" x14ac:dyDescent="0.2">
      <c r="B30" s="3178"/>
      <c r="C30" s="3178"/>
      <c r="D30" s="23" t="s">
        <v>22</v>
      </c>
      <c r="E30" s="3187">
        <v>341</v>
      </c>
      <c r="F30" s="1414">
        <v>880</v>
      </c>
      <c r="G30" s="3188">
        <v>38.75</v>
      </c>
      <c r="H30" s="1414">
        <v>143</v>
      </c>
      <c r="I30" s="1414">
        <v>771</v>
      </c>
      <c r="J30" s="3188">
        <v>18.547341115434502</v>
      </c>
      <c r="K30" s="1414">
        <v>484</v>
      </c>
      <c r="L30" s="1414">
        <v>1651</v>
      </c>
      <c r="M30" s="3189">
        <v>29.31556632344034</v>
      </c>
      <c r="N30" s="3190">
        <v>416</v>
      </c>
      <c r="O30" s="1414">
        <v>935</v>
      </c>
      <c r="P30" s="3188">
        <v>44.49</v>
      </c>
      <c r="Q30" s="1414">
        <v>148</v>
      </c>
      <c r="R30" s="1414">
        <v>828</v>
      </c>
      <c r="S30" s="3188">
        <v>17.87</v>
      </c>
      <c r="T30" s="1414">
        <v>564</v>
      </c>
      <c r="U30" s="1414">
        <v>1763</v>
      </c>
      <c r="V30" s="3188">
        <v>31.990000000000002</v>
      </c>
      <c r="W30" s="3190">
        <v>478</v>
      </c>
      <c r="X30" s="1414">
        <v>976</v>
      </c>
      <c r="Y30" s="3188">
        <v>49</v>
      </c>
      <c r="Z30" s="1414">
        <v>193</v>
      </c>
      <c r="AA30" s="1414">
        <v>870</v>
      </c>
      <c r="AB30" s="3188">
        <v>22.2</v>
      </c>
      <c r="AC30" s="1414">
        <v>671</v>
      </c>
      <c r="AD30" s="1414">
        <v>1846</v>
      </c>
      <c r="AE30" s="3189">
        <v>36.299999999999997</v>
      </c>
    </row>
    <row r="31" spans="1:31" x14ac:dyDescent="0.2">
      <c r="B31" s="3178"/>
      <c r="C31" s="3178"/>
      <c r="D31" s="23" t="s">
        <v>24</v>
      </c>
      <c r="E31" s="3187">
        <v>254</v>
      </c>
      <c r="F31" s="1414">
        <v>593</v>
      </c>
      <c r="G31" s="3188">
        <v>42.833052276559862</v>
      </c>
      <c r="H31" s="1414">
        <v>235</v>
      </c>
      <c r="I31" s="1414">
        <v>513</v>
      </c>
      <c r="J31" s="3188">
        <v>45.808966861598435</v>
      </c>
      <c r="K31" s="1414">
        <v>489</v>
      </c>
      <c r="L31" s="1414">
        <v>1106</v>
      </c>
      <c r="M31" s="3189">
        <v>44.21338155515371</v>
      </c>
      <c r="N31" s="3190">
        <v>285</v>
      </c>
      <c r="O31" s="1414">
        <v>628</v>
      </c>
      <c r="P31" s="3188">
        <v>45.379999999999995</v>
      </c>
      <c r="Q31" s="1414">
        <v>227</v>
      </c>
      <c r="R31" s="1414">
        <v>543</v>
      </c>
      <c r="S31" s="3188">
        <v>41.8</v>
      </c>
      <c r="T31" s="1414">
        <v>512</v>
      </c>
      <c r="U31" s="1414">
        <v>1171</v>
      </c>
      <c r="V31" s="3188">
        <v>43.72</v>
      </c>
      <c r="W31" s="3190">
        <v>257</v>
      </c>
      <c r="X31" s="1414">
        <v>460</v>
      </c>
      <c r="Y31" s="3188">
        <v>55.9</v>
      </c>
      <c r="Z31" s="1414">
        <v>120</v>
      </c>
      <c r="AA31" s="1414">
        <v>400</v>
      </c>
      <c r="AB31" s="3188">
        <v>30</v>
      </c>
      <c r="AC31" s="1414">
        <v>377</v>
      </c>
      <c r="AD31" s="1414">
        <v>860</v>
      </c>
      <c r="AE31" s="3189">
        <v>43.8</v>
      </c>
    </row>
    <row r="32" spans="1:31" x14ac:dyDescent="0.2">
      <c r="B32" s="3178"/>
      <c r="C32" s="3178"/>
      <c r="D32" s="23" t="s">
        <v>25</v>
      </c>
      <c r="E32" s="3187">
        <v>186</v>
      </c>
      <c r="F32" s="1414">
        <v>423</v>
      </c>
      <c r="G32" s="3188">
        <v>43.971631205673759</v>
      </c>
      <c r="H32" s="1414">
        <v>152</v>
      </c>
      <c r="I32" s="1414">
        <v>365</v>
      </c>
      <c r="J32" s="3188">
        <v>41.643835616438359</v>
      </c>
      <c r="K32" s="1414">
        <v>338</v>
      </c>
      <c r="L32" s="1414">
        <v>788</v>
      </c>
      <c r="M32" s="3189">
        <v>42.893401015228427</v>
      </c>
      <c r="N32" s="3190">
        <v>230</v>
      </c>
      <c r="O32" s="1414">
        <v>466</v>
      </c>
      <c r="P32" s="3188">
        <v>49.36</v>
      </c>
      <c r="Q32" s="1414">
        <v>136</v>
      </c>
      <c r="R32" s="1414">
        <v>402</v>
      </c>
      <c r="S32" s="3188">
        <v>33.83</v>
      </c>
      <c r="T32" s="1414">
        <v>366</v>
      </c>
      <c r="U32" s="1414">
        <v>868</v>
      </c>
      <c r="V32" s="3188">
        <v>42.17</v>
      </c>
      <c r="W32" s="3190">
        <v>228</v>
      </c>
      <c r="X32" s="1414">
        <v>473</v>
      </c>
      <c r="Y32" s="3188">
        <v>48.2</v>
      </c>
      <c r="Z32" s="1414">
        <v>122</v>
      </c>
      <c r="AA32" s="1414">
        <v>407</v>
      </c>
      <c r="AB32" s="3188">
        <v>30</v>
      </c>
      <c r="AC32" s="1414">
        <v>350</v>
      </c>
      <c r="AD32" s="1414">
        <v>880</v>
      </c>
      <c r="AE32" s="3189">
        <v>39.799999999999997</v>
      </c>
    </row>
    <row r="33" spans="1:31" x14ac:dyDescent="0.2">
      <c r="B33" s="3178"/>
      <c r="C33" s="3178"/>
      <c r="D33" s="23" t="s">
        <v>26</v>
      </c>
      <c r="E33" s="3187">
        <v>183</v>
      </c>
      <c r="F33" s="1414">
        <v>423</v>
      </c>
      <c r="G33" s="3188">
        <v>43.262411347517734</v>
      </c>
      <c r="H33" s="1414">
        <v>167</v>
      </c>
      <c r="I33" s="1414">
        <v>365</v>
      </c>
      <c r="J33" s="3188">
        <v>45.753424657534246</v>
      </c>
      <c r="K33" s="1414">
        <v>350</v>
      </c>
      <c r="L33" s="1414">
        <v>788</v>
      </c>
      <c r="M33" s="3189">
        <v>44.416243654822338</v>
      </c>
      <c r="N33" s="3190">
        <v>213</v>
      </c>
      <c r="O33" s="1414">
        <v>449</v>
      </c>
      <c r="P33" s="3188">
        <v>47.44</v>
      </c>
      <c r="Q33" s="1414">
        <v>132</v>
      </c>
      <c r="R33" s="1414">
        <v>383</v>
      </c>
      <c r="S33" s="3188">
        <v>34.46</v>
      </c>
      <c r="T33" s="1414">
        <v>345</v>
      </c>
      <c r="U33" s="1414">
        <v>832</v>
      </c>
      <c r="V33" s="3188">
        <v>41.47</v>
      </c>
      <c r="W33" s="3190">
        <v>105</v>
      </c>
      <c r="X33" s="1414">
        <v>219</v>
      </c>
      <c r="Y33" s="3188">
        <v>47.9</v>
      </c>
      <c r="Z33" s="1414">
        <v>82</v>
      </c>
      <c r="AA33" s="1414">
        <v>204</v>
      </c>
      <c r="AB33" s="3188">
        <v>40.200000000000003</v>
      </c>
      <c r="AC33" s="1414">
        <v>187</v>
      </c>
      <c r="AD33" s="1414">
        <v>423</v>
      </c>
      <c r="AE33" s="3189">
        <v>44.2</v>
      </c>
    </row>
    <row r="34" spans="1:31" x14ac:dyDescent="0.2">
      <c r="B34" s="3178"/>
      <c r="C34" s="3178"/>
      <c r="D34" s="23" t="s">
        <v>1348</v>
      </c>
      <c r="E34" s="3187">
        <v>87</v>
      </c>
      <c r="F34" s="1414">
        <v>205</v>
      </c>
      <c r="G34" s="3188">
        <v>42.439024390243901</v>
      </c>
      <c r="H34" s="1414">
        <v>92</v>
      </c>
      <c r="I34" s="1414">
        <v>174</v>
      </c>
      <c r="J34" s="3188">
        <v>52.873563218390807</v>
      </c>
      <c r="K34" s="1414">
        <v>179</v>
      </c>
      <c r="L34" s="1414">
        <v>379</v>
      </c>
      <c r="M34" s="3189">
        <v>47.229551451187334</v>
      </c>
      <c r="N34" s="3190">
        <v>89</v>
      </c>
      <c r="O34" s="1414">
        <v>215</v>
      </c>
      <c r="P34" s="3188">
        <v>41.4</v>
      </c>
      <c r="Q34" s="1414">
        <v>71</v>
      </c>
      <c r="R34" s="1414">
        <v>194</v>
      </c>
      <c r="S34" s="3188">
        <v>36.6</v>
      </c>
      <c r="T34" s="1414">
        <v>160</v>
      </c>
      <c r="U34" s="1414">
        <v>409</v>
      </c>
      <c r="V34" s="3188">
        <v>39.119999999999997</v>
      </c>
      <c r="W34" s="3190">
        <v>351</v>
      </c>
      <c r="X34" s="1414">
        <v>657</v>
      </c>
      <c r="Y34" s="3188">
        <v>53.4</v>
      </c>
      <c r="Z34" s="1414">
        <v>212</v>
      </c>
      <c r="AA34" s="1414">
        <v>566</v>
      </c>
      <c r="AB34" s="3188">
        <v>37.5</v>
      </c>
      <c r="AC34" s="1414">
        <v>563</v>
      </c>
      <c r="AD34" s="1414">
        <v>1222</v>
      </c>
      <c r="AE34" s="3189">
        <v>46.1</v>
      </c>
    </row>
    <row r="35" spans="1:31" x14ac:dyDescent="0.2">
      <c r="B35" s="3178"/>
      <c r="C35" s="3178"/>
      <c r="D35" s="3129" t="s">
        <v>27</v>
      </c>
      <c r="E35" s="3191">
        <v>148</v>
      </c>
      <c r="F35" s="1360">
        <v>400</v>
      </c>
      <c r="G35" s="3192">
        <v>37</v>
      </c>
      <c r="H35" s="1360">
        <v>97</v>
      </c>
      <c r="I35" s="1360">
        <v>348</v>
      </c>
      <c r="J35" s="3192">
        <v>27.873563218390807</v>
      </c>
      <c r="K35" s="1360">
        <v>245</v>
      </c>
      <c r="L35" s="1360">
        <v>748</v>
      </c>
      <c r="M35" s="3193">
        <v>32.754010695187162</v>
      </c>
      <c r="N35" s="3194">
        <v>148</v>
      </c>
      <c r="O35" s="1360">
        <v>418</v>
      </c>
      <c r="P35" s="3192">
        <v>35.410000000000004</v>
      </c>
      <c r="Q35" s="1360">
        <v>127</v>
      </c>
      <c r="R35" s="1360">
        <v>387</v>
      </c>
      <c r="S35" s="3192">
        <v>32.82</v>
      </c>
      <c r="T35" s="1360">
        <v>275</v>
      </c>
      <c r="U35" s="1360">
        <v>805</v>
      </c>
      <c r="V35" s="3192">
        <v>34.160000000000004</v>
      </c>
      <c r="W35" s="3194">
        <v>167</v>
      </c>
      <c r="X35" s="1360">
        <v>433</v>
      </c>
      <c r="Y35" s="3192">
        <v>38.6</v>
      </c>
      <c r="Z35" s="1360">
        <v>155</v>
      </c>
      <c r="AA35" s="1360">
        <v>402</v>
      </c>
      <c r="AB35" s="3192">
        <v>38.6</v>
      </c>
      <c r="AC35" s="1360">
        <v>322</v>
      </c>
      <c r="AD35" s="1360">
        <v>834</v>
      </c>
      <c r="AE35" s="3193">
        <v>38.6</v>
      </c>
    </row>
    <row r="36" spans="1:31" x14ac:dyDescent="0.2">
      <c r="B36" s="3178"/>
      <c r="C36" s="3178"/>
      <c r="D36" s="1805" t="s">
        <v>257</v>
      </c>
      <c r="E36" s="3195">
        <v>1889</v>
      </c>
      <c r="F36" s="3196">
        <v>4455</v>
      </c>
      <c r="G36" s="3197">
        <v>42.401795735129063</v>
      </c>
      <c r="H36" s="3196">
        <v>1425</v>
      </c>
      <c r="I36" s="3196">
        <v>3895</v>
      </c>
      <c r="J36" s="3197">
        <v>36.585365853658537</v>
      </c>
      <c r="K36" s="3196">
        <v>3314</v>
      </c>
      <c r="L36" s="3196">
        <v>8350</v>
      </c>
      <c r="M36" s="3198">
        <v>39.688622754491014</v>
      </c>
      <c r="N36" s="3196" t="s">
        <v>1349</v>
      </c>
      <c r="O36" s="3196" t="s">
        <v>1350</v>
      </c>
      <c r="P36" s="3197">
        <v>44.13</v>
      </c>
      <c r="Q36" s="3196" t="s">
        <v>1351</v>
      </c>
      <c r="R36" s="3196" t="s">
        <v>1352</v>
      </c>
      <c r="S36" s="3197">
        <v>32.99</v>
      </c>
      <c r="T36" s="3196">
        <v>3534</v>
      </c>
      <c r="U36" s="3196">
        <v>9088</v>
      </c>
      <c r="V36" s="3197">
        <v>38.89</v>
      </c>
      <c r="W36" s="3196">
        <v>2406</v>
      </c>
      <c r="X36" s="3196">
        <v>4918</v>
      </c>
      <c r="Y36" s="3197">
        <v>48.9</v>
      </c>
      <c r="Z36" s="3196">
        <v>1384</v>
      </c>
      <c r="AA36" s="3196">
        <v>4392</v>
      </c>
      <c r="AB36" s="3197">
        <v>31.5</v>
      </c>
      <c r="AC36" s="3196">
        <v>3790</v>
      </c>
      <c r="AD36" s="3196">
        <v>9306</v>
      </c>
      <c r="AE36" s="3199">
        <v>40.700000000000003</v>
      </c>
    </row>
    <row r="37" spans="1:31" x14ac:dyDescent="0.2">
      <c r="B37" s="3178"/>
      <c r="C37" s="3178"/>
      <c r="D37" s="3036"/>
      <c r="E37" s="3036"/>
      <c r="F37" s="3036"/>
      <c r="G37" s="3036"/>
      <c r="H37" s="3036"/>
      <c r="I37" s="3036"/>
      <c r="J37" s="3036"/>
      <c r="L37" s="3036"/>
      <c r="M37" s="3036"/>
      <c r="N37" s="3036"/>
      <c r="O37" s="3036"/>
    </row>
    <row r="38" spans="1:31" s="943" customFormat="1" ht="14.25" x14ac:dyDescent="0.2">
      <c r="A38" s="1">
        <v>5</v>
      </c>
      <c r="B38" s="1" t="s">
        <v>29</v>
      </c>
      <c r="C38" s="1"/>
      <c r="D38" s="4333" t="s">
        <v>1335</v>
      </c>
      <c r="E38" s="4334"/>
      <c r="F38" s="4334"/>
      <c r="G38" s="4334"/>
      <c r="H38" s="4334"/>
      <c r="I38" s="4334"/>
      <c r="J38" s="4334"/>
      <c r="K38" s="4334"/>
      <c r="L38" s="4334"/>
      <c r="M38" s="4334"/>
      <c r="N38" s="4334"/>
      <c r="O38" s="4334"/>
      <c r="P38" s="4334"/>
      <c r="Q38" s="4334"/>
      <c r="R38" s="4334"/>
      <c r="S38" s="4334"/>
      <c r="T38" s="4334"/>
      <c r="U38" s="4334"/>
      <c r="V38" s="4334"/>
      <c r="W38" s="4334"/>
      <c r="X38" s="4334"/>
      <c r="Y38" s="4334"/>
      <c r="Z38" s="4334"/>
      <c r="AA38" s="4334"/>
      <c r="AB38" s="4334"/>
      <c r="AC38" s="4334"/>
      <c r="AD38" s="4334"/>
      <c r="AE38" s="4335"/>
    </row>
    <row r="39" spans="1:31" s="943" customFormat="1" ht="15" customHeight="1" x14ac:dyDescent="0.2">
      <c r="A39" s="40">
        <v>6</v>
      </c>
      <c r="B39" s="40" t="s">
        <v>32</v>
      </c>
      <c r="C39" s="40"/>
      <c r="D39" s="4235" t="s">
        <v>1353</v>
      </c>
      <c r="E39" s="4236"/>
      <c r="F39" s="4236"/>
      <c r="G39" s="4236"/>
      <c r="H39" s="4236"/>
      <c r="I39" s="4236"/>
      <c r="J39" s="4236"/>
      <c r="K39" s="4236"/>
      <c r="L39" s="4236"/>
      <c r="M39" s="4236"/>
      <c r="N39" s="4236"/>
      <c r="O39" s="4236"/>
      <c r="P39" s="4236"/>
      <c r="Q39" s="4236"/>
      <c r="R39" s="4236"/>
      <c r="S39" s="4236"/>
      <c r="T39" s="4236"/>
      <c r="U39" s="4236"/>
      <c r="V39" s="4236"/>
      <c r="W39" s="4236"/>
      <c r="X39" s="4236"/>
      <c r="Y39" s="4236"/>
      <c r="Z39" s="4236"/>
      <c r="AA39" s="4236"/>
      <c r="AB39" s="4236"/>
      <c r="AC39" s="4236"/>
      <c r="AD39" s="4236"/>
      <c r="AE39" s="4237"/>
    </row>
    <row r="40" spans="1:31" s="943" customFormat="1" ht="13.9" customHeight="1" x14ac:dyDescent="0.2">
      <c r="A40" s="1">
        <v>7</v>
      </c>
      <c r="B40" s="1" t="s">
        <v>31</v>
      </c>
      <c r="C40" s="1"/>
      <c r="D40" s="4140" t="s">
        <v>1354</v>
      </c>
      <c r="E40" s="4141"/>
      <c r="F40" s="4141"/>
      <c r="G40" s="4141"/>
      <c r="H40" s="4141"/>
      <c r="I40" s="4141"/>
      <c r="J40" s="4141"/>
      <c r="K40" s="4141"/>
      <c r="L40" s="4141"/>
      <c r="M40" s="4141"/>
      <c r="N40" s="4141"/>
      <c r="O40" s="4141"/>
      <c r="P40" s="4141"/>
      <c r="Q40" s="4141"/>
      <c r="R40" s="4141"/>
      <c r="S40" s="4141"/>
      <c r="T40" s="4141"/>
      <c r="U40" s="4141"/>
      <c r="V40" s="4141"/>
      <c r="W40" s="4141"/>
      <c r="X40" s="4141"/>
      <c r="Y40" s="4141"/>
      <c r="Z40" s="4141"/>
      <c r="AA40" s="4141"/>
      <c r="AB40" s="4141"/>
      <c r="AC40" s="4141"/>
      <c r="AD40" s="4141"/>
      <c r="AE40" s="4142"/>
    </row>
    <row r="41" spans="1:31" x14ac:dyDescent="0.2">
      <c r="R41" s="3036"/>
    </row>
    <row r="42" spans="1:31" ht="15" customHeight="1" x14ac:dyDescent="0.2">
      <c r="I42" s="3200"/>
    </row>
    <row r="43" spans="1:31" ht="13.5" customHeight="1" x14ac:dyDescent="0.2"/>
    <row r="59" spans="18:18" x14ac:dyDescent="0.2">
      <c r="R59" s="3201"/>
    </row>
  </sheetData>
  <mergeCells count="23">
    <mergeCell ref="D3:AE3"/>
    <mergeCell ref="D4:AE4"/>
    <mergeCell ref="E8:G8"/>
    <mergeCell ref="H8:J8"/>
    <mergeCell ref="K8:M8"/>
    <mergeCell ref="N8:P8"/>
    <mergeCell ref="Q8:S8"/>
    <mergeCell ref="T8:V8"/>
    <mergeCell ref="D38:AE38"/>
    <mergeCell ref="D39:AE39"/>
    <mergeCell ref="D40:AE40"/>
    <mergeCell ref="E24:M24"/>
    <mergeCell ref="N24:V24"/>
    <mergeCell ref="W24:AE24"/>
    <mergeCell ref="E25:G25"/>
    <mergeCell ref="H25:J25"/>
    <mergeCell ref="K25:M25"/>
    <mergeCell ref="N25:P25"/>
    <mergeCell ref="Q25:S25"/>
    <mergeCell ref="T25:V25"/>
    <mergeCell ref="W25:Y25"/>
    <mergeCell ref="Z25:AB25"/>
    <mergeCell ref="AC25:AE25"/>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X118"/>
  <sheetViews>
    <sheetView showGridLines="0" view="pageBreakPreview" zoomScaleNormal="100" zoomScaleSheetLayoutView="100" workbookViewId="0">
      <selection activeCell="J8" sqref="J8"/>
    </sheetView>
  </sheetViews>
  <sheetFormatPr defaultColWidth="9.28515625" defaultRowHeight="15" x14ac:dyDescent="0.25"/>
  <cols>
    <col min="1" max="1" width="3.7109375" style="116" customWidth="1"/>
    <col min="2" max="2" width="12.7109375" style="113" customWidth="1"/>
    <col min="3" max="3" width="3.7109375" style="114" customWidth="1"/>
    <col min="4" max="4" width="8.28515625" style="44" customWidth="1"/>
    <col min="5" max="5" width="5.7109375" style="44" customWidth="1"/>
    <col min="6" max="6" width="4.28515625" style="44" customWidth="1"/>
    <col min="7" max="28" width="5.42578125" style="44" bestFit="1" customWidth="1"/>
    <col min="29" max="29" width="10" style="44" bestFit="1" customWidth="1"/>
    <col min="30" max="31" width="9.7109375" style="44" bestFit="1" customWidth="1"/>
    <col min="32" max="33" width="10" style="44" bestFit="1" customWidth="1"/>
    <col min="34" max="35" width="9.7109375" style="44" bestFit="1" customWidth="1"/>
    <col min="36" max="37" width="10" style="44" bestFit="1" customWidth="1"/>
    <col min="38" max="39" width="9.7109375" style="44" bestFit="1" customWidth="1"/>
    <col min="40" max="41" width="10" style="44" bestFit="1" customWidth="1"/>
    <col min="42" max="43" width="9.7109375" style="44" bestFit="1" customWidth="1"/>
    <col min="44" max="45" width="10" style="44" bestFit="1" customWidth="1"/>
    <col min="46" max="47" width="9.7109375" style="44" bestFit="1" customWidth="1"/>
    <col min="48" max="49" width="10" style="44" bestFit="1" customWidth="1"/>
    <col min="50" max="51" width="9.7109375" style="44" bestFit="1" customWidth="1"/>
    <col min="52" max="52" width="10" style="44" bestFit="1" customWidth="1"/>
    <col min="53" max="53" width="10" style="44" customWidth="1"/>
    <col min="54" max="55" width="9.7109375" style="44" customWidth="1"/>
    <col min="56" max="57" width="10" style="44" bestFit="1" customWidth="1"/>
    <col min="58" max="58" width="9.7109375" style="44" bestFit="1" customWidth="1"/>
    <col min="59" max="59" width="9.7109375" style="44" customWidth="1"/>
    <col min="60" max="61" width="10" style="44" bestFit="1" customWidth="1"/>
    <col min="62" max="63" width="9.7109375" style="44" bestFit="1" customWidth="1"/>
    <col min="64" max="65" width="10" style="44" customWidth="1"/>
    <col min="66" max="67" width="9.7109375" style="44" bestFit="1" customWidth="1"/>
    <col min="68" max="69" width="10" style="44" bestFit="1" customWidth="1"/>
    <col min="70" max="16384" width="9.28515625" style="44"/>
  </cols>
  <sheetData>
    <row r="1" spans="1:45" x14ac:dyDescent="0.25">
      <c r="A1" s="112"/>
      <c r="D1" s="115"/>
      <c r="E1" s="115"/>
      <c r="F1" s="115"/>
      <c r="G1" s="115"/>
      <c r="H1" s="115"/>
      <c r="I1" s="115"/>
      <c r="J1" s="115"/>
      <c r="K1" s="115"/>
      <c r="L1" s="115"/>
      <c r="M1" s="115"/>
      <c r="N1" s="115"/>
      <c r="O1" s="115"/>
      <c r="P1" s="115"/>
      <c r="Q1" s="115"/>
      <c r="R1" s="115"/>
      <c r="S1" s="115"/>
      <c r="T1" s="115"/>
      <c r="U1" s="115"/>
      <c r="V1" s="115"/>
      <c r="W1" s="115"/>
    </row>
    <row r="2" spans="1:45" ht="15" customHeight="1" x14ac:dyDescent="0.25">
      <c r="A2" s="116">
        <v>1</v>
      </c>
      <c r="B2" s="117" t="s">
        <v>0</v>
      </c>
      <c r="C2" s="116">
        <f>[1]NFDI!C2+1</f>
        <v>4</v>
      </c>
      <c r="D2" s="4060" t="s">
        <v>120</v>
      </c>
      <c r="E2" s="4061"/>
      <c r="F2" s="4061"/>
      <c r="G2" s="4061"/>
      <c r="H2" s="4061"/>
      <c r="I2" s="4061"/>
      <c r="J2" s="4061"/>
      <c r="K2" s="4061"/>
      <c r="L2" s="4061"/>
      <c r="M2" s="4061"/>
      <c r="N2" s="4061"/>
      <c r="O2" s="4061"/>
      <c r="P2" s="4061"/>
      <c r="Q2" s="4061"/>
      <c r="R2" s="4061"/>
      <c r="S2" s="4061"/>
      <c r="T2" s="4061"/>
      <c r="U2" s="4061"/>
      <c r="V2" s="4061"/>
      <c r="W2" s="4061"/>
      <c r="X2" s="4061"/>
      <c r="Y2" s="4061"/>
      <c r="Z2" s="4061"/>
      <c r="AA2" s="4062"/>
      <c r="AB2" s="173"/>
      <c r="AC2" s="174"/>
      <c r="AD2" s="174"/>
      <c r="AE2" s="174"/>
      <c r="AF2" s="174"/>
      <c r="AG2" s="174"/>
      <c r="AH2" s="174"/>
      <c r="AI2" s="174"/>
      <c r="AJ2" s="174"/>
      <c r="AK2" s="174"/>
      <c r="AL2" s="174"/>
      <c r="AM2" s="174"/>
      <c r="AN2" s="174"/>
      <c r="AO2" s="174"/>
      <c r="AP2" s="174"/>
      <c r="AQ2" s="174"/>
      <c r="AR2" s="174"/>
      <c r="AS2" s="174"/>
    </row>
    <row r="3" spans="1:45" ht="15" customHeight="1" x14ac:dyDescent="0.25">
      <c r="A3" s="116">
        <v>2</v>
      </c>
      <c r="B3" s="117" t="s">
        <v>2</v>
      </c>
      <c r="C3" s="116"/>
      <c r="D3" s="4057" t="s">
        <v>110</v>
      </c>
      <c r="E3" s="4058"/>
      <c r="F3" s="4058"/>
      <c r="G3" s="4058"/>
      <c r="H3" s="4058"/>
      <c r="I3" s="4058"/>
      <c r="J3" s="4058"/>
      <c r="K3" s="4058"/>
      <c r="L3" s="4058"/>
      <c r="M3" s="4058"/>
      <c r="N3" s="4058"/>
      <c r="O3" s="4058"/>
      <c r="P3" s="4058"/>
      <c r="Q3" s="4058"/>
      <c r="R3" s="4058"/>
      <c r="S3" s="4058"/>
      <c r="T3" s="4058"/>
      <c r="U3" s="4058"/>
      <c r="V3" s="4058"/>
      <c r="W3" s="4058"/>
      <c r="X3" s="4058"/>
      <c r="Y3" s="4058"/>
      <c r="Z3" s="4058"/>
      <c r="AA3" s="4059"/>
      <c r="AB3" s="175"/>
      <c r="AC3" s="176"/>
      <c r="AD3" s="176"/>
      <c r="AE3" s="176"/>
      <c r="AF3" s="176"/>
      <c r="AG3" s="176"/>
      <c r="AH3" s="176"/>
      <c r="AI3" s="176"/>
      <c r="AJ3" s="176"/>
      <c r="AK3" s="176"/>
      <c r="AL3" s="176"/>
      <c r="AM3" s="176"/>
      <c r="AN3" s="176"/>
      <c r="AO3" s="176"/>
      <c r="AP3" s="176"/>
      <c r="AQ3" s="176"/>
      <c r="AR3" s="176"/>
      <c r="AS3" s="176"/>
    </row>
    <row r="4" spans="1:45" ht="15" customHeight="1" x14ac:dyDescent="0.25">
      <c r="A4" s="116">
        <v>3</v>
      </c>
      <c r="B4" s="117" t="s">
        <v>4</v>
      </c>
      <c r="C4" s="116"/>
      <c r="D4" s="4057" t="s">
        <v>1788</v>
      </c>
      <c r="E4" s="4058"/>
      <c r="F4" s="4058"/>
      <c r="G4" s="4058"/>
      <c r="H4" s="4058"/>
      <c r="I4" s="4058"/>
      <c r="J4" s="4058"/>
      <c r="K4" s="4058"/>
      <c r="L4" s="4058"/>
      <c r="M4" s="4058"/>
      <c r="N4" s="4058"/>
      <c r="O4" s="4058"/>
      <c r="P4" s="4058"/>
      <c r="Q4" s="4058"/>
      <c r="R4" s="4058"/>
      <c r="S4" s="4058"/>
      <c r="T4" s="4058"/>
      <c r="U4" s="4058"/>
      <c r="V4" s="4058"/>
      <c r="W4" s="4058"/>
      <c r="X4" s="4058"/>
      <c r="Y4" s="4058"/>
      <c r="Z4" s="4058"/>
      <c r="AA4" s="4059"/>
      <c r="AB4" s="175"/>
      <c r="AC4" s="176"/>
      <c r="AD4" s="176"/>
      <c r="AE4" s="176"/>
      <c r="AF4" s="176"/>
      <c r="AG4" s="176"/>
      <c r="AH4" s="176"/>
      <c r="AI4" s="176"/>
      <c r="AJ4" s="176"/>
      <c r="AK4" s="176"/>
      <c r="AL4" s="176"/>
      <c r="AM4" s="176"/>
      <c r="AN4" s="176"/>
      <c r="AO4" s="176"/>
      <c r="AP4" s="176"/>
      <c r="AQ4" s="176"/>
      <c r="AR4" s="176"/>
      <c r="AS4" s="177"/>
    </row>
    <row r="5" spans="1:45" ht="15" customHeight="1" x14ac:dyDescent="0.25">
      <c r="B5" s="117"/>
      <c r="C5" s="116"/>
      <c r="D5" s="4057"/>
      <c r="E5" s="4058"/>
      <c r="F5" s="4058"/>
      <c r="G5" s="4058"/>
      <c r="H5" s="4058"/>
      <c r="I5" s="4058"/>
      <c r="J5" s="4058"/>
      <c r="K5" s="4058"/>
      <c r="L5" s="4058"/>
      <c r="M5" s="4058"/>
      <c r="N5" s="4058"/>
      <c r="O5" s="4058"/>
      <c r="P5" s="4058"/>
      <c r="Q5" s="4058"/>
      <c r="R5" s="4058"/>
      <c r="S5" s="4058"/>
      <c r="T5" s="4058"/>
      <c r="U5" s="4058"/>
      <c r="V5" s="4058"/>
      <c r="W5" s="4058"/>
      <c r="X5" s="4058"/>
      <c r="Y5" s="4058"/>
      <c r="Z5" s="4058"/>
      <c r="AA5" s="4059"/>
      <c r="AB5" s="178"/>
      <c r="AC5" s="178"/>
      <c r="AD5" s="178"/>
      <c r="AE5" s="178"/>
      <c r="AF5" s="178"/>
      <c r="AG5" s="178"/>
      <c r="AH5" s="178"/>
      <c r="AI5" s="178"/>
      <c r="AJ5" s="178"/>
      <c r="AK5" s="178"/>
      <c r="AL5" s="178"/>
      <c r="AM5" s="178"/>
      <c r="AN5" s="178"/>
      <c r="AO5" s="178"/>
      <c r="AP5" s="178"/>
      <c r="AQ5" s="178"/>
      <c r="AR5" s="178"/>
      <c r="AS5" s="178"/>
    </row>
    <row r="6" spans="1:45" x14ac:dyDescent="0.25">
      <c r="A6" s="116">
        <v>4</v>
      </c>
      <c r="B6" s="121" t="s">
        <v>5</v>
      </c>
      <c r="C6" s="118"/>
      <c r="D6" s="180" t="s">
        <v>112</v>
      </c>
      <c r="E6" s="180"/>
      <c r="F6" s="180" t="s">
        <v>121</v>
      </c>
      <c r="G6" s="181"/>
      <c r="H6" s="181"/>
      <c r="I6" s="181"/>
      <c r="J6" s="181"/>
      <c r="K6" s="181"/>
      <c r="L6" s="181"/>
      <c r="M6" s="181"/>
      <c r="N6" s="181"/>
      <c r="O6" s="181"/>
      <c r="P6" s="181"/>
      <c r="Q6" s="181"/>
      <c r="R6" s="181"/>
      <c r="S6" s="182"/>
      <c r="T6" s="115"/>
      <c r="U6" s="115"/>
      <c r="V6" s="115"/>
      <c r="W6" s="115"/>
    </row>
    <row r="7" spans="1:45" x14ac:dyDescent="0.25">
      <c r="D7" s="183"/>
      <c r="E7" s="184">
        <v>1994</v>
      </c>
      <c r="F7" s="184">
        <v>1995</v>
      </c>
      <c r="G7" s="184">
        <v>1996</v>
      </c>
      <c r="H7" s="184">
        <v>1997</v>
      </c>
      <c r="I7" s="184">
        <v>1998</v>
      </c>
      <c r="J7" s="184">
        <v>1999</v>
      </c>
      <c r="K7" s="184">
        <v>2000</v>
      </c>
      <c r="L7" s="184">
        <v>2001</v>
      </c>
      <c r="M7" s="184">
        <v>2002</v>
      </c>
      <c r="N7" s="184">
        <v>2003</v>
      </c>
      <c r="O7" s="184">
        <v>2004</v>
      </c>
      <c r="P7" s="184">
        <v>2005</v>
      </c>
      <c r="Q7" s="184">
        <v>2006</v>
      </c>
      <c r="R7" s="184">
        <v>2007</v>
      </c>
      <c r="S7" s="184">
        <v>2008</v>
      </c>
      <c r="T7" s="184">
        <v>2009</v>
      </c>
      <c r="U7" s="184">
        <v>2010</v>
      </c>
      <c r="V7" s="184">
        <v>2011</v>
      </c>
      <c r="W7" s="184">
        <v>2012</v>
      </c>
      <c r="X7" s="184">
        <v>2013</v>
      </c>
      <c r="Y7" s="184">
        <v>2014</v>
      </c>
      <c r="Z7" s="184">
        <v>2015</v>
      </c>
      <c r="AA7" s="184">
        <v>2016</v>
      </c>
      <c r="AB7" s="852">
        <v>2017</v>
      </c>
      <c r="AC7" s="185"/>
    </row>
    <row r="8" spans="1:45" x14ac:dyDescent="0.25">
      <c r="D8" s="186" t="s">
        <v>122</v>
      </c>
      <c r="E8" s="187">
        <v>16.100000000000001</v>
      </c>
      <c r="F8" s="187">
        <v>17</v>
      </c>
      <c r="G8" s="187">
        <v>17.2</v>
      </c>
      <c r="H8" s="187">
        <v>17.600000000000001</v>
      </c>
      <c r="I8" s="187">
        <v>18.100000000000001</v>
      </c>
      <c r="J8" s="187">
        <v>16.100000000000001</v>
      </c>
      <c r="K8" s="187">
        <v>15.6</v>
      </c>
      <c r="L8" s="187">
        <v>15.5</v>
      </c>
      <c r="M8" s="187">
        <v>15.2</v>
      </c>
      <c r="N8" s="187">
        <v>16</v>
      </c>
      <c r="O8" s="187">
        <v>16.5</v>
      </c>
      <c r="P8" s="187">
        <v>17.2</v>
      </c>
      <c r="Q8" s="187">
        <v>18.899999999999999</v>
      </c>
      <c r="R8" s="187">
        <v>20.6</v>
      </c>
      <c r="S8" s="187">
        <v>23.5</v>
      </c>
      <c r="T8" s="187">
        <v>21.5</v>
      </c>
      <c r="U8" s="187">
        <v>19.3</v>
      </c>
      <c r="V8" s="187">
        <v>19.100000000000001</v>
      </c>
      <c r="W8" s="187">
        <v>19.2</v>
      </c>
      <c r="X8" s="187">
        <v>20.399999999999999</v>
      </c>
      <c r="Y8" s="187">
        <v>20.399999999999999</v>
      </c>
      <c r="Z8" s="187">
        <v>20.399999999999999</v>
      </c>
      <c r="AA8" s="187">
        <v>19.5</v>
      </c>
      <c r="AB8" s="896">
        <v>18.7</v>
      </c>
      <c r="AC8" s="188"/>
    </row>
    <row r="9" spans="1:45" x14ac:dyDescent="0.25">
      <c r="D9" s="189"/>
      <c r="E9" s="190"/>
      <c r="F9" s="191"/>
      <c r="G9" s="191"/>
      <c r="H9" s="191"/>
      <c r="I9" s="191"/>
      <c r="J9" s="191"/>
      <c r="K9" s="191"/>
      <c r="L9" s="191"/>
      <c r="M9" s="191"/>
      <c r="N9" s="191"/>
      <c r="O9" s="191"/>
      <c r="P9" s="191"/>
      <c r="Q9" s="191"/>
      <c r="R9" s="191"/>
      <c r="S9" s="191"/>
      <c r="T9" s="191"/>
      <c r="U9" s="191"/>
      <c r="V9" s="191"/>
      <c r="W9" s="191"/>
      <c r="X9" s="191"/>
      <c r="Y9" s="191"/>
      <c r="Z9" s="97"/>
      <c r="AA9" s="192"/>
      <c r="AB9" s="192"/>
    </row>
    <row r="10" spans="1:45" x14ac:dyDescent="0.25">
      <c r="D10" s="189"/>
      <c r="E10" s="193"/>
      <c r="F10" s="191"/>
      <c r="G10" s="191"/>
      <c r="H10" s="191"/>
      <c r="I10" s="191"/>
      <c r="J10" s="191"/>
      <c r="K10" s="191"/>
      <c r="L10" s="191"/>
      <c r="M10" s="191"/>
      <c r="N10" s="191"/>
      <c r="O10" s="191"/>
      <c r="P10" s="191"/>
      <c r="Q10" s="191"/>
      <c r="R10" s="191"/>
      <c r="S10" s="191"/>
      <c r="T10" s="191"/>
      <c r="U10" s="191"/>
      <c r="V10" s="191"/>
      <c r="W10" s="191"/>
      <c r="X10" s="191"/>
      <c r="Y10" s="191"/>
      <c r="Z10" s="97"/>
      <c r="AA10" s="192"/>
      <c r="AB10" s="192"/>
    </row>
    <row r="11" spans="1:45" x14ac:dyDescent="0.25">
      <c r="D11" s="138"/>
      <c r="E11" s="138"/>
      <c r="F11" s="139"/>
      <c r="G11" s="139"/>
      <c r="H11" s="139"/>
      <c r="I11" s="139"/>
      <c r="J11" s="139"/>
      <c r="K11" s="139"/>
      <c r="L11" s="139"/>
      <c r="M11" s="139"/>
      <c r="N11" s="194"/>
      <c r="O11" s="139"/>
      <c r="P11" s="139"/>
      <c r="Q11" s="139"/>
      <c r="R11" s="139"/>
      <c r="S11" s="139"/>
      <c r="T11" s="139"/>
      <c r="U11" s="139"/>
      <c r="V11" s="139"/>
      <c r="W11" s="139"/>
      <c r="AA11" s="192"/>
      <c r="AB11" s="192"/>
    </row>
    <row r="12" spans="1:45" ht="25.5" customHeight="1" x14ac:dyDescent="0.25">
      <c r="A12" s="116">
        <v>5</v>
      </c>
      <c r="B12" s="117" t="s">
        <v>90</v>
      </c>
      <c r="D12" s="138"/>
      <c r="E12" s="138"/>
      <c r="F12" s="139"/>
      <c r="G12" s="139"/>
      <c r="H12" s="139"/>
      <c r="I12" s="139"/>
      <c r="J12" s="139"/>
      <c r="K12" s="139"/>
      <c r="L12" s="139"/>
      <c r="M12" s="139"/>
      <c r="N12" s="139"/>
      <c r="O12" s="139"/>
      <c r="P12" s="139"/>
      <c r="Q12" s="139"/>
      <c r="R12" s="139"/>
      <c r="S12" s="139"/>
      <c r="T12" s="115"/>
      <c r="U12" s="115"/>
      <c r="V12" s="115"/>
      <c r="W12" s="115"/>
      <c r="AA12" s="195"/>
      <c r="AB12" s="195"/>
    </row>
    <row r="13" spans="1:45" x14ac:dyDescent="0.25">
      <c r="D13" s="115"/>
      <c r="E13" s="115"/>
      <c r="F13" s="120"/>
      <c r="G13" s="120"/>
      <c r="H13" s="120"/>
      <c r="I13" s="120"/>
      <c r="J13" s="120"/>
      <c r="K13" s="120"/>
      <c r="L13" s="120"/>
      <c r="M13" s="120"/>
      <c r="N13" s="120"/>
      <c r="O13" s="120"/>
      <c r="P13" s="120"/>
      <c r="Q13" s="120"/>
      <c r="R13" s="120"/>
      <c r="S13" s="120"/>
      <c r="T13" s="115"/>
      <c r="U13" s="115"/>
      <c r="V13" s="115"/>
      <c r="W13" s="115"/>
      <c r="AA13" s="195"/>
      <c r="AB13" s="195"/>
    </row>
    <row r="14" spans="1:45" x14ac:dyDescent="0.25">
      <c r="C14" s="116"/>
      <c r="D14" s="115"/>
      <c r="E14" s="115"/>
      <c r="F14" s="120"/>
      <c r="G14" s="120"/>
      <c r="H14" s="120"/>
      <c r="I14" s="120"/>
      <c r="J14" s="120"/>
      <c r="K14" s="120"/>
      <c r="L14" s="120"/>
      <c r="M14" s="120"/>
      <c r="N14" s="120"/>
      <c r="O14" s="120"/>
      <c r="P14" s="120"/>
      <c r="Q14" s="120"/>
      <c r="R14" s="120"/>
      <c r="S14" s="120"/>
      <c r="T14" s="115"/>
      <c r="U14" s="115"/>
      <c r="V14" s="115"/>
      <c r="W14" s="115"/>
      <c r="AA14" s="195"/>
      <c r="AB14" s="195"/>
    </row>
    <row r="15" spans="1:45" x14ac:dyDescent="0.25">
      <c r="D15" s="115"/>
      <c r="E15" s="115"/>
      <c r="F15" s="120"/>
      <c r="G15" s="120"/>
      <c r="H15" s="120"/>
      <c r="I15" s="120"/>
      <c r="J15" s="120"/>
      <c r="K15" s="120"/>
      <c r="L15" s="120"/>
      <c r="M15" s="120"/>
      <c r="N15" s="120"/>
      <c r="O15" s="120"/>
      <c r="P15" s="120"/>
      <c r="Q15" s="120"/>
      <c r="R15" s="120"/>
      <c r="S15" s="120"/>
      <c r="T15" s="115"/>
      <c r="U15" s="115"/>
      <c r="V15" s="115"/>
      <c r="W15" s="115"/>
      <c r="AA15" s="195"/>
      <c r="AB15" s="195"/>
    </row>
    <row r="16" spans="1:45" x14ac:dyDescent="0.25">
      <c r="D16" s="115"/>
      <c r="E16" s="115"/>
      <c r="F16" s="120"/>
      <c r="G16" s="120"/>
      <c r="H16" s="120"/>
      <c r="I16" s="120"/>
      <c r="J16" s="120"/>
      <c r="K16" s="120"/>
      <c r="L16" s="120"/>
      <c r="M16" s="120"/>
      <c r="N16" s="120"/>
      <c r="O16" s="120"/>
      <c r="P16" s="120"/>
      <c r="Q16" s="120"/>
      <c r="R16" s="120"/>
      <c r="S16" s="120"/>
      <c r="T16" s="115"/>
      <c r="U16" s="115"/>
      <c r="V16" s="115"/>
      <c r="W16" s="115"/>
      <c r="AA16" s="195"/>
      <c r="AB16" s="195"/>
    </row>
    <row r="17" spans="1:28" x14ac:dyDescent="0.25">
      <c r="D17" s="115"/>
      <c r="E17" s="115"/>
      <c r="F17" s="120"/>
      <c r="G17" s="120"/>
      <c r="H17" s="120"/>
      <c r="I17" s="120"/>
      <c r="J17" s="120"/>
      <c r="K17" s="120"/>
      <c r="L17" s="120"/>
      <c r="M17" s="120"/>
      <c r="N17" s="120"/>
      <c r="O17" s="115"/>
      <c r="P17" s="120"/>
      <c r="Q17" s="115"/>
      <c r="R17" s="115"/>
      <c r="S17" s="115"/>
      <c r="T17" s="119"/>
      <c r="U17" s="119"/>
      <c r="V17" s="119"/>
      <c r="W17" s="119"/>
      <c r="X17" s="196"/>
      <c r="Y17" s="196"/>
      <c r="AA17" s="195"/>
      <c r="AB17" s="195"/>
    </row>
    <row r="18" spans="1:28" x14ac:dyDescent="0.25">
      <c r="D18" s="115"/>
      <c r="E18" s="115"/>
      <c r="F18" s="120"/>
      <c r="G18" s="120"/>
      <c r="H18" s="120"/>
      <c r="I18" s="120"/>
      <c r="J18" s="120"/>
      <c r="K18" s="120"/>
      <c r="L18" s="120"/>
      <c r="M18" s="120"/>
      <c r="N18" s="120"/>
      <c r="O18" s="115"/>
      <c r="P18" s="120"/>
      <c r="Q18" s="115"/>
      <c r="R18" s="115"/>
      <c r="S18" s="115"/>
      <c r="T18" s="119"/>
      <c r="U18" s="119"/>
      <c r="V18" s="119"/>
      <c r="W18" s="119"/>
      <c r="AA18" s="195"/>
      <c r="AB18" s="195"/>
    </row>
    <row r="19" spans="1:28" x14ac:dyDescent="0.25">
      <c r="D19" s="115"/>
      <c r="E19" s="115"/>
      <c r="F19" s="120"/>
      <c r="G19" s="120"/>
      <c r="H19" s="120"/>
      <c r="I19" s="120"/>
      <c r="J19" s="120"/>
      <c r="K19" s="120"/>
      <c r="L19" s="120"/>
      <c r="M19" s="120"/>
      <c r="N19" s="120"/>
      <c r="O19" s="120"/>
      <c r="P19" s="120"/>
      <c r="Q19" s="120"/>
      <c r="R19" s="120"/>
      <c r="S19" s="120"/>
      <c r="T19" s="115"/>
      <c r="U19" s="115"/>
      <c r="V19" s="115"/>
      <c r="W19" s="115"/>
      <c r="AA19" s="195"/>
      <c r="AB19" s="195"/>
    </row>
    <row r="20" spans="1:28" x14ac:dyDescent="0.25">
      <c r="D20" s="115"/>
      <c r="E20" s="115"/>
      <c r="F20" s="120"/>
      <c r="G20" s="120"/>
      <c r="H20" s="120"/>
      <c r="I20" s="120"/>
      <c r="J20" s="120"/>
      <c r="K20" s="120"/>
      <c r="L20" s="120"/>
      <c r="M20" s="120"/>
      <c r="N20" s="120"/>
      <c r="O20" s="120"/>
      <c r="P20" s="120"/>
      <c r="Q20" s="120"/>
      <c r="R20" s="120"/>
      <c r="S20" s="120"/>
      <c r="T20" s="115"/>
      <c r="U20" s="115"/>
      <c r="V20" s="115"/>
      <c r="W20" s="115"/>
      <c r="AA20" s="195"/>
      <c r="AB20" s="195"/>
    </row>
    <row r="21" spans="1:28" x14ac:dyDescent="0.25">
      <c r="D21" s="115"/>
      <c r="E21" s="115"/>
      <c r="F21" s="120"/>
      <c r="G21" s="120"/>
      <c r="H21" s="120"/>
      <c r="I21" s="120"/>
      <c r="J21" s="120"/>
      <c r="K21" s="120"/>
      <c r="L21" s="120"/>
      <c r="M21" s="120"/>
      <c r="N21" s="120"/>
      <c r="O21" s="120"/>
      <c r="P21" s="120"/>
      <c r="Q21" s="120"/>
      <c r="R21" s="120"/>
      <c r="S21" s="120"/>
      <c r="T21" s="115"/>
      <c r="U21" s="115"/>
      <c r="V21" s="115"/>
      <c r="W21" s="115"/>
      <c r="AA21" s="195"/>
      <c r="AB21" s="195"/>
    </row>
    <row r="22" spans="1:28" x14ac:dyDescent="0.25">
      <c r="D22" s="115"/>
      <c r="E22" s="115"/>
      <c r="F22" s="120"/>
      <c r="G22" s="120"/>
      <c r="H22" s="120"/>
      <c r="I22" s="120"/>
      <c r="J22" s="120"/>
      <c r="K22" s="120"/>
      <c r="L22" s="120"/>
      <c r="M22" s="120"/>
      <c r="N22" s="120"/>
      <c r="O22" s="120"/>
      <c r="P22" s="120"/>
      <c r="Q22" s="120"/>
      <c r="R22" s="120"/>
      <c r="S22" s="120"/>
      <c r="T22" s="115"/>
      <c r="U22" s="115"/>
      <c r="V22" s="115"/>
      <c r="W22" s="115"/>
      <c r="AA22" s="195"/>
      <c r="AB22" s="195"/>
    </row>
    <row r="23" spans="1:28" x14ac:dyDescent="0.25">
      <c r="D23" s="115"/>
      <c r="E23" s="115"/>
      <c r="F23" s="120"/>
      <c r="G23" s="120"/>
      <c r="H23" s="120"/>
      <c r="I23" s="120"/>
      <c r="J23" s="120"/>
      <c r="K23" s="120"/>
      <c r="L23" s="120"/>
      <c r="M23" s="120"/>
      <c r="N23" s="120"/>
      <c r="O23" s="120"/>
      <c r="P23" s="120"/>
      <c r="Q23" s="120"/>
      <c r="R23" s="120"/>
      <c r="S23" s="120"/>
      <c r="T23" s="115"/>
      <c r="U23" s="115"/>
      <c r="V23" s="115"/>
      <c r="W23" s="115"/>
      <c r="AA23" s="195"/>
      <c r="AB23" s="195"/>
    </row>
    <row r="24" spans="1:28" x14ac:dyDescent="0.25">
      <c r="D24" s="115"/>
      <c r="E24" s="115"/>
      <c r="F24" s="115"/>
      <c r="G24" s="115"/>
      <c r="H24" s="115"/>
      <c r="I24" s="115"/>
      <c r="J24" s="115"/>
      <c r="K24" s="115"/>
      <c r="L24" s="115"/>
      <c r="M24" s="115"/>
      <c r="N24" s="115"/>
      <c r="O24" s="115"/>
      <c r="P24" s="115"/>
      <c r="Q24" s="115"/>
      <c r="R24" s="115"/>
      <c r="S24" s="115"/>
      <c r="T24" s="115"/>
      <c r="U24" s="115"/>
      <c r="V24" s="115"/>
      <c r="W24" s="115"/>
      <c r="AA24" s="195"/>
      <c r="AB24" s="195"/>
    </row>
    <row r="25" spans="1:28" x14ac:dyDescent="0.25">
      <c r="D25" s="115"/>
      <c r="E25" s="115"/>
      <c r="F25" s="115"/>
      <c r="G25" s="115"/>
      <c r="H25" s="115"/>
      <c r="I25" s="115"/>
      <c r="J25" s="115"/>
      <c r="K25" s="115"/>
      <c r="L25" s="115"/>
      <c r="M25" s="115"/>
      <c r="N25" s="115"/>
      <c r="O25" s="115"/>
      <c r="P25" s="115"/>
      <c r="Q25" s="115"/>
      <c r="R25" s="115"/>
      <c r="S25" s="115"/>
      <c r="T25" s="115"/>
      <c r="U25" s="115"/>
      <c r="V25" s="115"/>
      <c r="W25" s="115"/>
      <c r="AA25" s="195"/>
      <c r="AB25" s="195"/>
    </row>
    <row r="26" spans="1:28" x14ac:dyDescent="0.25">
      <c r="D26" s="115"/>
      <c r="E26" s="115"/>
      <c r="F26" s="115"/>
      <c r="G26" s="115"/>
      <c r="H26" s="115"/>
      <c r="I26" s="115"/>
      <c r="J26" s="115"/>
      <c r="K26" s="115"/>
      <c r="L26" s="115"/>
      <c r="M26" s="115"/>
      <c r="N26" s="115"/>
      <c r="O26" s="115"/>
      <c r="P26" s="115"/>
      <c r="Q26" s="115"/>
      <c r="R26" s="115"/>
      <c r="S26" s="115"/>
      <c r="T26" s="115"/>
      <c r="U26" s="115"/>
      <c r="V26" s="115"/>
      <c r="W26" s="115"/>
      <c r="AA26" s="195"/>
      <c r="AB26" s="195"/>
    </row>
    <row r="27" spans="1:28" x14ac:dyDescent="0.25">
      <c r="D27" s="115"/>
      <c r="E27" s="115"/>
      <c r="F27" s="115"/>
      <c r="G27" s="115"/>
      <c r="H27" s="115"/>
      <c r="I27" s="115"/>
      <c r="J27" s="115"/>
      <c r="K27" s="115"/>
      <c r="L27" s="115"/>
      <c r="M27" s="115"/>
      <c r="N27" s="115"/>
      <c r="O27" s="115"/>
      <c r="P27" s="115"/>
      <c r="Q27" s="115"/>
      <c r="R27" s="115"/>
      <c r="S27" s="115"/>
      <c r="T27" s="115"/>
      <c r="U27" s="115"/>
      <c r="V27" s="115"/>
      <c r="W27" s="115"/>
      <c r="AA27" s="195"/>
      <c r="AB27" s="195"/>
    </row>
    <row r="28" spans="1:28" x14ac:dyDescent="0.25">
      <c r="D28" s="115"/>
      <c r="E28" s="115"/>
      <c r="F28" s="115"/>
      <c r="G28" s="115"/>
      <c r="H28" s="115"/>
      <c r="I28" s="115"/>
      <c r="J28" s="115"/>
      <c r="K28" s="115"/>
      <c r="L28" s="115"/>
      <c r="M28" s="115"/>
      <c r="N28" s="115"/>
      <c r="O28" s="115"/>
      <c r="P28" s="115"/>
      <c r="Q28" s="115"/>
      <c r="R28" s="115"/>
      <c r="S28" s="115"/>
      <c r="T28" s="115"/>
      <c r="U28" s="115"/>
      <c r="V28" s="115"/>
      <c r="W28" s="115"/>
      <c r="AA28" s="195"/>
      <c r="AB28" s="195"/>
    </row>
    <row r="29" spans="1:28" ht="12.75" customHeight="1" x14ac:dyDescent="0.25">
      <c r="A29" s="116">
        <v>6</v>
      </c>
      <c r="B29" s="117" t="s">
        <v>29</v>
      </c>
      <c r="C29" s="116"/>
      <c r="D29" s="4048" t="s">
        <v>123</v>
      </c>
      <c r="E29" s="4049"/>
      <c r="F29" s="4049"/>
      <c r="G29" s="4049"/>
      <c r="H29" s="4049"/>
      <c r="I29" s="4049"/>
      <c r="J29" s="4049"/>
      <c r="K29" s="4049"/>
      <c r="L29" s="4049"/>
      <c r="M29" s="4049"/>
      <c r="N29" s="4049"/>
      <c r="O29" s="4049"/>
      <c r="P29" s="4049"/>
      <c r="Q29" s="4049"/>
      <c r="R29" s="4049"/>
      <c r="S29" s="4049"/>
      <c r="T29" s="4049"/>
      <c r="U29" s="4049"/>
      <c r="V29" s="4049"/>
      <c r="W29" s="4049"/>
      <c r="X29" s="4049"/>
      <c r="Y29" s="4049"/>
      <c r="Z29" s="4049"/>
      <c r="AA29" s="4050"/>
      <c r="AB29" s="142"/>
    </row>
    <row r="30" spans="1:28" ht="12.75" customHeight="1" x14ac:dyDescent="0.25">
      <c r="A30" s="143">
        <v>7</v>
      </c>
      <c r="B30" s="144" t="s">
        <v>32</v>
      </c>
      <c r="C30" s="143"/>
      <c r="D30" s="4066" t="s">
        <v>124</v>
      </c>
      <c r="E30" s="4067"/>
      <c r="F30" s="4067"/>
      <c r="G30" s="4067"/>
      <c r="H30" s="4067"/>
      <c r="I30" s="4067"/>
      <c r="J30" s="4067"/>
      <c r="K30" s="4067"/>
      <c r="L30" s="4067"/>
      <c r="M30" s="4067"/>
      <c r="N30" s="4067"/>
      <c r="O30" s="4067"/>
      <c r="P30" s="4067"/>
      <c r="Q30" s="4067"/>
      <c r="R30" s="4067"/>
      <c r="S30" s="4067"/>
      <c r="T30" s="4067"/>
      <c r="U30" s="4067"/>
      <c r="V30" s="4067"/>
      <c r="W30" s="4067"/>
      <c r="X30" s="4067"/>
      <c r="Y30" s="4067"/>
      <c r="Z30" s="4067"/>
      <c r="AA30" s="4068"/>
      <c r="AB30" s="170"/>
    </row>
    <row r="31" spans="1:28" ht="12.75" customHeight="1" x14ac:dyDescent="0.25">
      <c r="A31" s="116">
        <v>8</v>
      </c>
      <c r="B31" s="117" t="s">
        <v>31</v>
      </c>
      <c r="C31" s="116"/>
      <c r="D31" s="4048" t="s">
        <v>125</v>
      </c>
      <c r="E31" s="4049"/>
      <c r="F31" s="4049"/>
      <c r="G31" s="4049"/>
      <c r="H31" s="4049"/>
      <c r="I31" s="4049"/>
      <c r="J31" s="4049"/>
      <c r="K31" s="4049"/>
      <c r="L31" s="4049"/>
      <c r="M31" s="4049"/>
      <c r="N31" s="4049"/>
      <c r="O31" s="4049"/>
      <c r="P31" s="4049"/>
      <c r="Q31" s="4049"/>
      <c r="R31" s="4049"/>
      <c r="S31" s="4049"/>
      <c r="T31" s="4049"/>
      <c r="U31" s="4049"/>
      <c r="V31" s="4049"/>
      <c r="W31" s="4049"/>
      <c r="X31" s="4049"/>
      <c r="Y31" s="4049"/>
      <c r="Z31" s="4049"/>
      <c r="AA31" s="4050"/>
      <c r="AB31" s="142"/>
    </row>
    <row r="32" spans="1:28" ht="12.75" customHeight="1" x14ac:dyDescent="0.25">
      <c r="A32" s="116">
        <v>9</v>
      </c>
      <c r="B32" s="117" t="s">
        <v>95</v>
      </c>
      <c r="C32" s="116"/>
      <c r="D32" s="4048" t="s">
        <v>1730</v>
      </c>
      <c r="E32" s="4049"/>
      <c r="F32" s="4049"/>
      <c r="G32" s="4049"/>
      <c r="H32" s="4049"/>
      <c r="I32" s="4049"/>
      <c r="J32" s="4049"/>
      <c r="K32" s="4049"/>
      <c r="L32" s="4049"/>
      <c r="M32" s="4049"/>
      <c r="N32" s="4049"/>
      <c r="O32" s="4049"/>
      <c r="P32" s="4049"/>
      <c r="Q32" s="4049"/>
      <c r="R32" s="4049"/>
      <c r="S32" s="4049"/>
      <c r="T32" s="4049"/>
      <c r="U32" s="4049"/>
      <c r="V32" s="4049"/>
      <c r="W32" s="4049"/>
      <c r="X32" s="4049"/>
      <c r="Y32" s="4049"/>
      <c r="Z32" s="4049"/>
      <c r="AA32" s="4050"/>
      <c r="AB32" s="142"/>
    </row>
    <row r="33" spans="1:102" x14ac:dyDescent="0.25">
      <c r="B33" s="197"/>
      <c r="C33" s="198"/>
    </row>
    <row r="34" spans="1:102" ht="18" customHeight="1" x14ac:dyDescent="0.25">
      <c r="B34" s="199" t="s">
        <v>112</v>
      </c>
      <c r="C34" s="200"/>
      <c r="D34" s="201" t="str">
        <f>D2</f>
        <v xml:space="preserve">Gross fixed capital formation </v>
      </c>
      <c r="E34" s="201"/>
      <c r="F34" s="201"/>
      <c r="G34" s="201"/>
      <c r="H34" s="201"/>
      <c r="I34" s="201"/>
      <c r="J34" s="201"/>
      <c r="K34" s="201"/>
      <c r="L34" s="201"/>
      <c r="M34" s="202"/>
      <c r="N34" s="202"/>
      <c r="O34" s="202"/>
      <c r="P34" s="202"/>
      <c r="Q34" s="202"/>
      <c r="R34" s="203"/>
      <c r="S34" s="203"/>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53"/>
      <c r="AY34" s="53"/>
      <c r="AZ34" s="53"/>
      <c r="BA34" s="53"/>
      <c r="BB34" s="53"/>
      <c r="BC34" s="53"/>
      <c r="BD34" s="53"/>
      <c r="BE34" s="53"/>
      <c r="BF34" s="53"/>
      <c r="BG34" s="53"/>
      <c r="BH34" s="53"/>
    </row>
    <row r="35" spans="1:102" ht="18" customHeight="1" x14ac:dyDescent="0.25">
      <c r="B35" s="204"/>
      <c r="C35" s="205"/>
      <c r="D35" s="4069">
        <v>1994</v>
      </c>
      <c r="E35" s="4069"/>
      <c r="F35" s="4069"/>
      <c r="G35" s="4069"/>
      <c r="H35" s="4069">
        <v>1995</v>
      </c>
      <c r="I35" s="4069"/>
      <c r="J35" s="4069"/>
      <c r="K35" s="4069"/>
      <c r="L35" s="4069">
        <v>1996</v>
      </c>
      <c r="M35" s="4069"/>
      <c r="N35" s="4069"/>
      <c r="O35" s="4069"/>
      <c r="P35" s="4069">
        <v>1997</v>
      </c>
      <c r="Q35" s="4069"/>
      <c r="R35" s="4069"/>
      <c r="S35" s="4069"/>
      <c r="T35" s="4069">
        <v>1998</v>
      </c>
      <c r="U35" s="4069"/>
      <c r="V35" s="4069"/>
      <c r="W35" s="4069"/>
      <c r="X35" s="4069">
        <v>1999</v>
      </c>
      <c r="Y35" s="4069"/>
      <c r="Z35" s="4069"/>
      <c r="AA35" s="4069"/>
      <c r="AB35" s="4070">
        <v>2000</v>
      </c>
      <c r="AC35" s="4069"/>
      <c r="AD35" s="4069"/>
      <c r="AE35" s="4069"/>
      <c r="AF35" s="4069">
        <v>2001</v>
      </c>
      <c r="AG35" s="4069"/>
      <c r="AH35" s="4069"/>
      <c r="AI35" s="4069"/>
      <c r="AJ35" s="4069">
        <v>2002</v>
      </c>
      <c r="AK35" s="4069"/>
      <c r="AL35" s="4069"/>
      <c r="AM35" s="4069"/>
      <c r="AN35" s="4069">
        <v>2003</v>
      </c>
      <c r="AO35" s="4069"/>
      <c r="AP35" s="4069"/>
      <c r="AQ35" s="4069"/>
      <c r="AR35" s="4069">
        <v>2004</v>
      </c>
      <c r="AS35" s="4069"/>
      <c r="AT35" s="4069"/>
      <c r="AU35" s="4069"/>
      <c r="AV35" s="4069">
        <v>2005</v>
      </c>
      <c r="AW35" s="4069"/>
      <c r="AX35" s="4069"/>
      <c r="AY35" s="4069"/>
      <c r="AZ35" s="4069">
        <v>2006</v>
      </c>
      <c r="BA35" s="4069"/>
      <c r="BB35" s="4069"/>
      <c r="BC35" s="4069"/>
      <c r="BD35" s="4069">
        <v>2007</v>
      </c>
      <c r="BE35" s="4069"/>
      <c r="BF35" s="4069"/>
      <c r="BG35" s="4069"/>
      <c r="BH35" s="4069">
        <v>2008</v>
      </c>
      <c r="BI35" s="4069"/>
      <c r="BJ35" s="4069"/>
      <c r="BK35" s="4069"/>
      <c r="BL35" s="4069">
        <v>2009</v>
      </c>
      <c r="BM35" s="4069"/>
      <c r="BN35" s="4069"/>
      <c r="BO35" s="4069"/>
      <c r="BP35" s="4069">
        <v>2010</v>
      </c>
      <c r="BQ35" s="4069"/>
      <c r="BR35" s="4069"/>
      <c r="BS35" s="4069"/>
      <c r="BT35" s="4069">
        <v>2011</v>
      </c>
      <c r="BU35" s="4069"/>
      <c r="BV35" s="4069"/>
      <c r="BW35" s="4069"/>
      <c r="BX35" s="4069">
        <v>2012</v>
      </c>
      <c r="BY35" s="4069"/>
      <c r="BZ35" s="4069"/>
      <c r="CA35" s="4069"/>
      <c r="CB35" s="4069">
        <v>2013</v>
      </c>
      <c r="CC35" s="4069"/>
      <c r="CD35" s="4069"/>
      <c r="CE35" s="4069"/>
      <c r="CF35" s="4069">
        <v>2014</v>
      </c>
      <c r="CG35" s="4069"/>
      <c r="CH35" s="4069"/>
      <c r="CI35" s="4069"/>
      <c r="CJ35" s="4071">
        <v>2015</v>
      </c>
      <c r="CK35" s="4071"/>
      <c r="CL35" s="4071"/>
      <c r="CM35" s="4071"/>
    </row>
    <row r="36" spans="1:102" s="196" customFormat="1" x14ac:dyDescent="0.2">
      <c r="A36" s="206"/>
      <c r="B36" s="113"/>
      <c r="C36" s="198"/>
      <c r="D36" s="207" t="s">
        <v>96</v>
      </c>
      <c r="E36" s="207"/>
      <c r="F36" s="207" t="s">
        <v>98</v>
      </c>
      <c r="G36" s="208" t="s">
        <v>99</v>
      </c>
      <c r="H36" s="207" t="s">
        <v>96</v>
      </c>
      <c r="I36" s="207" t="s">
        <v>97</v>
      </c>
      <c r="J36" s="207" t="s">
        <v>98</v>
      </c>
      <c r="K36" s="208" t="s">
        <v>99</v>
      </c>
      <c r="L36" s="207" t="s">
        <v>96</v>
      </c>
      <c r="M36" s="207" t="s">
        <v>97</v>
      </c>
      <c r="N36" s="207" t="s">
        <v>98</v>
      </c>
      <c r="O36" s="208" t="s">
        <v>99</v>
      </c>
      <c r="P36" s="207" t="s">
        <v>96</v>
      </c>
      <c r="Q36" s="207" t="s">
        <v>97</v>
      </c>
      <c r="R36" s="207" t="s">
        <v>98</v>
      </c>
      <c r="S36" s="208" t="s">
        <v>99</v>
      </c>
      <c r="T36" s="207" t="s">
        <v>96</v>
      </c>
      <c r="U36" s="207" t="s">
        <v>97</v>
      </c>
      <c r="V36" s="207" t="s">
        <v>98</v>
      </c>
      <c r="W36" s="208" t="s">
        <v>99</v>
      </c>
      <c r="X36" s="207" t="s">
        <v>96</v>
      </c>
      <c r="Y36" s="207" t="s">
        <v>97</v>
      </c>
      <c r="Z36" s="207" t="s">
        <v>98</v>
      </c>
      <c r="AA36" s="208" t="s">
        <v>99</v>
      </c>
      <c r="AB36" s="207" t="s">
        <v>96</v>
      </c>
      <c r="AC36" s="207" t="s">
        <v>97</v>
      </c>
      <c r="AD36" s="207" t="s">
        <v>98</v>
      </c>
      <c r="AE36" s="208" t="s">
        <v>99</v>
      </c>
      <c r="AF36" s="207" t="s">
        <v>96</v>
      </c>
      <c r="AG36" s="207" t="s">
        <v>97</v>
      </c>
      <c r="AH36" s="207" t="s">
        <v>98</v>
      </c>
      <c r="AI36" s="208" t="s">
        <v>99</v>
      </c>
      <c r="AJ36" s="207" t="s">
        <v>96</v>
      </c>
      <c r="AK36" s="207" t="s">
        <v>97</v>
      </c>
      <c r="AL36" s="207" t="s">
        <v>98</v>
      </c>
      <c r="AM36" s="208" t="s">
        <v>99</v>
      </c>
      <c r="AN36" s="207" t="s">
        <v>96</v>
      </c>
      <c r="AO36" s="207" t="s">
        <v>97</v>
      </c>
      <c r="AP36" s="207" t="s">
        <v>98</v>
      </c>
      <c r="AQ36" s="208" t="s">
        <v>99</v>
      </c>
      <c r="AR36" s="207" t="s">
        <v>96</v>
      </c>
      <c r="AS36" s="207" t="s">
        <v>97</v>
      </c>
      <c r="AT36" s="207" t="s">
        <v>98</v>
      </c>
      <c r="AU36" s="208" t="s">
        <v>99</v>
      </c>
      <c r="AV36" s="207" t="s">
        <v>96</v>
      </c>
      <c r="AW36" s="207" t="s">
        <v>97</v>
      </c>
      <c r="AX36" s="207" t="s">
        <v>98</v>
      </c>
      <c r="AY36" s="208" t="s">
        <v>99</v>
      </c>
      <c r="AZ36" s="207" t="s">
        <v>96</v>
      </c>
      <c r="BA36" s="207" t="s">
        <v>97</v>
      </c>
      <c r="BB36" s="207" t="s">
        <v>98</v>
      </c>
      <c r="BC36" s="208" t="s">
        <v>99</v>
      </c>
      <c r="BD36" s="207" t="s">
        <v>96</v>
      </c>
      <c r="BE36" s="207" t="s">
        <v>97</v>
      </c>
      <c r="BF36" s="207" t="s">
        <v>98</v>
      </c>
      <c r="BG36" s="208" t="s">
        <v>99</v>
      </c>
      <c r="BH36" s="207" t="s">
        <v>96</v>
      </c>
      <c r="BI36" s="207" t="s">
        <v>97</v>
      </c>
      <c r="BJ36" s="207" t="s">
        <v>98</v>
      </c>
      <c r="BK36" s="208" t="s">
        <v>99</v>
      </c>
      <c r="BL36" s="207" t="s">
        <v>96</v>
      </c>
      <c r="BM36" s="207" t="s">
        <v>97</v>
      </c>
      <c r="BN36" s="207" t="s">
        <v>98</v>
      </c>
      <c r="BO36" s="208" t="s">
        <v>99</v>
      </c>
      <c r="BP36" s="207" t="s">
        <v>96</v>
      </c>
      <c r="BQ36" s="207" t="s">
        <v>97</v>
      </c>
      <c r="BR36" s="207" t="s">
        <v>98</v>
      </c>
      <c r="BS36" s="208" t="s">
        <v>99</v>
      </c>
      <c r="BT36" s="207" t="s">
        <v>96</v>
      </c>
      <c r="BU36" s="207" t="s">
        <v>97</v>
      </c>
      <c r="BV36" s="207" t="s">
        <v>98</v>
      </c>
      <c r="BW36" s="208" t="s">
        <v>99</v>
      </c>
      <c r="BX36" s="207" t="s">
        <v>96</v>
      </c>
      <c r="BY36" s="207" t="s">
        <v>97</v>
      </c>
      <c r="BZ36" s="207" t="s">
        <v>98</v>
      </c>
      <c r="CA36" s="208" t="s">
        <v>99</v>
      </c>
      <c r="CB36" s="207" t="s">
        <v>96</v>
      </c>
      <c r="CC36" s="207" t="s">
        <v>97</v>
      </c>
      <c r="CD36" s="207" t="s">
        <v>98</v>
      </c>
      <c r="CE36" s="208" t="s">
        <v>99</v>
      </c>
      <c r="CF36" s="207" t="s">
        <v>96</v>
      </c>
      <c r="CG36" s="207" t="s">
        <v>97</v>
      </c>
      <c r="CH36" s="207" t="s">
        <v>98</v>
      </c>
      <c r="CI36" s="208" t="s">
        <v>99</v>
      </c>
      <c r="CJ36" s="209" t="s">
        <v>96</v>
      </c>
      <c r="CK36" s="209" t="s">
        <v>97</v>
      </c>
      <c r="CL36" s="209" t="s">
        <v>98</v>
      </c>
      <c r="CM36" s="210" t="s">
        <v>99</v>
      </c>
    </row>
    <row r="37" spans="1:102" x14ac:dyDescent="0.25">
      <c r="B37" s="211" t="s">
        <v>69</v>
      </c>
      <c r="D37" s="212">
        <v>15.7</v>
      </c>
      <c r="E37" s="212"/>
      <c r="F37" s="212">
        <v>16.399999999999999</v>
      </c>
      <c r="G37" s="212">
        <v>16.2</v>
      </c>
      <c r="H37" s="212">
        <v>16.8</v>
      </c>
      <c r="I37" s="212">
        <v>17.399999999999999</v>
      </c>
      <c r="J37" s="212">
        <v>17</v>
      </c>
      <c r="K37" s="212">
        <v>16.7</v>
      </c>
      <c r="L37" s="212">
        <v>17.100000000000001</v>
      </c>
      <c r="M37" s="212">
        <v>17.2</v>
      </c>
      <c r="N37" s="212">
        <v>17.3</v>
      </c>
      <c r="O37" s="212">
        <v>17.2</v>
      </c>
      <c r="P37" s="212">
        <v>17.7</v>
      </c>
      <c r="Q37" s="212">
        <v>17.600000000000001</v>
      </c>
      <c r="R37" s="212">
        <v>17.5</v>
      </c>
      <c r="S37" s="212">
        <v>17.399999999999999</v>
      </c>
      <c r="T37" s="212">
        <v>17.8</v>
      </c>
      <c r="U37" s="212">
        <v>17.7</v>
      </c>
      <c r="V37" s="212">
        <v>18.3</v>
      </c>
      <c r="W37" s="212">
        <v>18.5</v>
      </c>
      <c r="X37" s="212">
        <v>16.899999999999999</v>
      </c>
      <c r="Y37" s="212">
        <v>16.3</v>
      </c>
      <c r="Z37" s="212">
        <v>15.8</v>
      </c>
      <c r="AA37" s="212">
        <v>15.6</v>
      </c>
      <c r="AB37" s="212">
        <v>15.8</v>
      </c>
      <c r="AC37" s="212">
        <v>15.7</v>
      </c>
      <c r="AD37" s="212">
        <v>15.4</v>
      </c>
      <c r="AE37" s="212">
        <v>15.6</v>
      </c>
      <c r="AF37" s="212">
        <v>15.6</v>
      </c>
      <c r="AG37" s="212">
        <v>15.5</v>
      </c>
      <c r="AH37" s="212">
        <v>15.6</v>
      </c>
      <c r="AI37" s="212">
        <v>15.3</v>
      </c>
      <c r="AJ37" s="212">
        <v>15.1</v>
      </c>
      <c r="AK37" s="212">
        <v>15</v>
      </c>
      <c r="AL37" s="212">
        <v>15.1</v>
      </c>
      <c r="AM37" s="212">
        <v>15.4</v>
      </c>
      <c r="AN37" s="212">
        <v>15.5</v>
      </c>
      <c r="AO37" s="212">
        <v>15.9</v>
      </c>
      <c r="AP37" s="212">
        <v>16</v>
      </c>
      <c r="AQ37" s="212">
        <v>16.399999999999999</v>
      </c>
      <c r="AR37" s="212">
        <v>16.2</v>
      </c>
      <c r="AS37" s="212">
        <v>16.2</v>
      </c>
      <c r="AT37" s="212">
        <v>16.600000000000001</v>
      </c>
      <c r="AU37" s="212">
        <v>16.7</v>
      </c>
      <c r="AV37" s="212">
        <v>16.8</v>
      </c>
      <c r="AW37" s="212">
        <v>16.899999999999999</v>
      </c>
      <c r="AX37" s="212">
        <v>17.399999999999999</v>
      </c>
      <c r="AY37" s="212">
        <v>17.8</v>
      </c>
      <c r="AZ37" s="212">
        <v>18.399999999999999</v>
      </c>
      <c r="BA37" s="212">
        <v>18.600000000000001</v>
      </c>
      <c r="BB37" s="212">
        <v>19</v>
      </c>
      <c r="BC37" s="212">
        <v>19.600000000000001</v>
      </c>
      <c r="BD37" s="212">
        <v>20.3</v>
      </c>
      <c r="BE37" s="212">
        <v>20.8</v>
      </c>
      <c r="BF37" s="212">
        <v>20.9</v>
      </c>
      <c r="BG37" s="212">
        <v>20.6</v>
      </c>
      <c r="BH37" s="212">
        <v>21.5</v>
      </c>
      <c r="BI37" s="212">
        <v>22.8</v>
      </c>
      <c r="BJ37" s="212">
        <v>24.4</v>
      </c>
      <c r="BK37" s="212">
        <v>25.1</v>
      </c>
      <c r="BL37" s="212">
        <v>23.1</v>
      </c>
      <c r="BM37" s="212">
        <v>21.9</v>
      </c>
      <c r="BN37" s="212">
        <v>20.8</v>
      </c>
      <c r="BO37" s="212">
        <v>20.3</v>
      </c>
      <c r="BP37" s="212">
        <v>20</v>
      </c>
      <c r="BQ37" s="212">
        <v>19.399999999999999</v>
      </c>
      <c r="BR37" s="212">
        <v>19.100000000000001</v>
      </c>
      <c r="BS37" s="212">
        <v>18.7</v>
      </c>
      <c r="BT37" s="212">
        <v>18.600000000000001</v>
      </c>
      <c r="BU37" s="212">
        <v>18.7</v>
      </c>
      <c r="BV37" s="212">
        <v>18.7</v>
      </c>
      <c r="BW37" s="212">
        <v>18.899999999999999</v>
      </c>
      <c r="BX37" s="212">
        <v>18.8</v>
      </c>
      <c r="BY37" s="213">
        <v>18.7</v>
      </c>
      <c r="BZ37" s="214">
        <v>18.899999999999999</v>
      </c>
      <c r="CA37" s="213">
        <v>18.8</v>
      </c>
      <c r="CB37" s="213">
        <v>19.2</v>
      </c>
      <c r="CC37" s="213">
        <v>19.8</v>
      </c>
      <c r="CD37" s="213">
        <v>20.399999999999999</v>
      </c>
      <c r="CE37" s="213">
        <v>20.7</v>
      </c>
      <c r="CF37" s="213">
        <v>20.2</v>
      </c>
      <c r="CG37" s="213">
        <v>20.399999999999999</v>
      </c>
      <c r="CH37" s="213">
        <v>20.3</v>
      </c>
      <c r="CI37" s="44">
        <v>20.100000000000001</v>
      </c>
      <c r="CJ37" s="215"/>
      <c r="CK37" s="215"/>
      <c r="CL37" s="215"/>
      <c r="CM37" s="110"/>
    </row>
    <row r="39" spans="1:102" x14ac:dyDescent="0.25">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row>
    <row r="40" spans="1:102" x14ac:dyDescent="0.25">
      <c r="D40" s="216"/>
      <c r="E40" s="216"/>
      <c r="H40" s="74"/>
      <c r="I40" s="74"/>
      <c r="J40" s="74"/>
      <c r="K40" s="74"/>
      <c r="L40" s="74"/>
      <c r="M40" s="74"/>
      <c r="N40" s="74"/>
      <c r="O40" s="74"/>
      <c r="P40" s="74"/>
      <c r="Q40" s="74"/>
      <c r="R40" s="74"/>
      <c r="S40" s="74"/>
      <c r="T40" s="74"/>
      <c r="U40" s="74"/>
      <c r="V40" s="74"/>
      <c r="W40" s="74"/>
      <c r="BV40" s="216"/>
    </row>
    <row r="41" spans="1:102" x14ac:dyDescent="0.25">
      <c r="D41" s="216"/>
      <c r="E41" s="216"/>
      <c r="H41" s="74"/>
      <c r="I41" s="74"/>
      <c r="J41" s="74"/>
      <c r="K41" s="74"/>
      <c r="L41" s="74"/>
      <c r="M41" s="74"/>
      <c r="N41" s="74"/>
      <c r="O41" s="74"/>
      <c r="P41" s="74"/>
      <c r="Q41" s="74"/>
      <c r="R41" s="74"/>
      <c r="S41" s="74"/>
      <c r="T41" s="74"/>
      <c r="U41" s="74"/>
      <c r="V41" s="74"/>
      <c r="W41" s="74"/>
      <c r="BV41" s="216"/>
    </row>
    <row r="42" spans="1:102" x14ac:dyDescent="0.25">
      <c r="D42" s="216"/>
      <c r="E42" s="217"/>
      <c r="F42" s="217"/>
      <c r="G42" s="217"/>
      <c r="H42" s="217"/>
      <c r="I42" s="217"/>
      <c r="J42" s="217"/>
      <c r="K42" s="217"/>
      <c r="L42" s="217"/>
      <c r="M42" s="217"/>
      <c r="N42" s="217"/>
      <c r="O42" s="217"/>
      <c r="P42" s="217"/>
      <c r="Q42" s="217"/>
      <c r="R42" s="217"/>
      <c r="S42" s="217"/>
      <c r="T42" s="195"/>
      <c r="U42" s="217"/>
      <c r="V42" s="217"/>
      <c r="W42" s="217"/>
      <c r="X42" s="217"/>
      <c r="Y42" s="196"/>
      <c r="BV42" s="216"/>
    </row>
    <row r="43" spans="1:102" x14ac:dyDescent="0.25">
      <c r="D43" s="216"/>
      <c r="E43" s="216"/>
      <c r="H43" s="74"/>
      <c r="I43" s="74"/>
      <c r="J43" s="74"/>
      <c r="K43" s="74"/>
      <c r="L43" s="74"/>
      <c r="M43" s="74"/>
      <c r="N43" s="74"/>
      <c r="O43" s="74"/>
      <c r="P43" s="92"/>
      <c r="Q43" s="74"/>
      <c r="R43" s="74"/>
      <c r="S43" s="74"/>
      <c r="T43" s="74"/>
      <c r="U43" s="74"/>
      <c r="V43" s="74"/>
      <c r="W43" s="74"/>
      <c r="BV43" s="216"/>
    </row>
    <row r="44" spans="1:102" x14ac:dyDescent="0.25">
      <c r="D44" s="216"/>
      <c r="E44" s="216"/>
      <c r="H44" s="74"/>
      <c r="I44" s="74"/>
      <c r="J44" s="74"/>
      <c r="K44" s="74"/>
      <c r="L44" s="74"/>
      <c r="M44" s="74"/>
      <c r="N44" s="74"/>
      <c r="O44" s="74"/>
      <c r="P44" s="74"/>
      <c r="Q44" s="74"/>
      <c r="R44" s="74"/>
      <c r="S44" s="74"/>
      <c r="T44" s="74"/>
      <c r="U44" s="74"/>
      <c r="V44" s="74"/>
      <c r="W44" s="74"/>
      <c r="BV44" s="214"/>
    </row>
    <row r="45" spans="1:102" x14ac:dyDescent="0.25">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3"/>
      <c r="CP45" s="214"/>
      <c r="CQ45" s="213"/>
      <c r="CR45" s="213"/>
      <c r="CS45" s="213"/>
      <c r="CT45" s="213"/>
      <c r="CU45" s="213"/>
      <c r="CV45" s="213"/>
      <c r="CW45" s="213"/>
      <c r="CX45" s="213"/>
    </row>
    <row r="46" spans="1:102" x14ac:dyDescent="0.25">
      <c r="D46" s="216"/>
      <c r="E46" s="216"/>
      <c r="H46" s="74"/>
      <c r="I46" s="74"/>
      <c r="J46" s="74"/>
      <c r="K46" s="74"/>
      <c r="L46" s="74"/>
      <c r="M46" s="74"/>
      <c r="N46" s="74"/>
      <c r="O46" s="74"/>
      <c r="P46" s="74"/>
      <c r="Q46" s="74"/>
      <c r="R46" s="74"/>
      <c r="S46" s="74"/>
      <c r="T46" s="74"/>
      <c r="U46" s="74"/>
      <c r="V46" s="74"/>
      <c r="W46" s="74"/>
      <c r="BV46" s="214"/>
    </row>
    <row r="47" spans="1:102" x14ac:dyDescent="0.25">
      <c r="D47" s="216"/>
      <c r="E47" s="216"/>
      <c r="H47" s="74"/>
      <c r="I47" s="74"/>
      <c r="J47" s="74"/>
      <c r="K47" s="74"/>
      <c r="L47" s="74"/>
      <c r="M47" s="74"/>
      <c r="N47" s="74"/>
      <c r="O47" s="74"/>
      <c r="P47" s="74"/>
      <c r="Q47" s="74"/>
      <c r="R47" s="74"/>
      <c r="S47" s="74"/>
      <c r="T47" s="74"/>
      <c r="U47" s="74"/>
      <c r="V47" s="74"/>
      <c r="W47" s="74"/>
    </row>
    <row r="48" spans="1:102" x14ac:dyDescent="0.25">
      <c r="D48" s="216"/>
      <c r="E48" s="216"/>
      <c r="H48" s="74"/>
      <c r="I48" s="74"/>
      <c r="J48" s="74"/>
      <c r="K48" s="74"/>
      <c r="L48" s="74"/>
      <c r="M48" s="74"/>
      <c r="N48" s="74"/>
      <c r="O48" s="74"/>
      <c r="P48" s="74"/>
      <c r="Q48" s="74"/>
      <c r="R48" s="74"/>
      <c r="S48" s="74"/>
      <c r="T48" s="74"/>
      <c r="U48" s="74"/>
      <c r="V48" s="74"/>
      <c r="W48" s="74"/>
    </row>
    <row r="49" spans="4:29" x14ac:dyDescent="0.25">
      <c r="D49" s="216"/>
      <c r="E49" s="216"/>
    </row>
    <row r="50" spans="4:29" x14ac:dyDescent="0.25">
      <c r="D50" s="216"/>
      <c r="E50" s="216"/>
    </row>
    <row r="51" spans="4:29" x14ac:dyDescent="0.25">
      <c r="D51" s="216"/>
      <c r="E51" s="216"/>
    </row>
    <row r="52" spans="4:29" x14ac:dyDescent="0.25">
      <c r="D52" s="216"/>
      <c r="E52" s="216"/>
    </row>
    <row r="53" spans="4:29" x14ac:dyDescent="0.25">
      <c r="D53" s="216"/>
      <c r="E53" s="216"/>
    </row>
    <row r="54" spans="4:29" x14ac:dyDescent="0.25">
      <c r="D54" s="216"/>
      <c r="E54" s="216"/>
    </row>
    <row r="55" spans="4:29" x14ac:dyDescent="0.25">
      <c r="D55" s="216"/>
      <c r="E55" s="216"/>
    </row>
    <row r="56" spans="4:29" x14ac:dyDescent="0.25">
      <c r="D56" s="216"/>
      <c r="E56" s="216"/>
    </row>
    <row r="57" spans="4:29" x14ac:dyDescent="0.25">
      <c r="D57" s="216"/>
      <c r="E57" s="216"/>
    </row>
    <row r="58" spans="4:29" x14ac:dyDescent="0.25">
      <c r="D58" s="216"/>
      <c r="E58" s="216"/>
    </row>
    <row r="59" spans="4:29" x14ac:dyDescent="0.25">
      <c r="D59" s="216"/>
      <c r="E59" s="216"/>
    </row>
    <row r="60" spans="4:29" x14ac:dyDescent="0.25">
      <c r="D60" s="216"/>
      <c r="E60" s="216"/>
    </row>
    <row r="61" spans="4:29" x14ac:dyDescent="0.25">
      <c r="D61" s="216"/>
      <c r="E61" s="216"/>
      <c r="AC61" s="44" t="s">
        <v>97</v>
      </c>
    </row>
    <row r="62" spans="4:29" x14ac:dyDescent="0.25">
      <c r="D62" s="216"/>
      <c r="E62" s="216"/>
    </row>
    <row r="63" spans="4:29" x14ac:dyDescent="0.25">
      <c r="D63" s="216"/>
      <c r="E63" s="216"/>
    </row>
    <row r="64" spans="4:29" x14ac:dyDescent="0.25">
      <c r="D64" s="216"/>
      <c r="E64" s="216"/>
    </row>
    <row r="65" spans="4:5" x14ac:dyDescent="0.25">
      <c r="D65" s="216"/>
      <c r="E65" s="216"/>
    </row>
    <row r="66" spans="4:5" x14ac:dyDescent="0.25">
      <c r="D66" s="216"/>
      <c r="E66" s="216"/>
    </row>
    <row r="67" spans="4:5" x14ac:dyDescent="0.25">
      <c r="D67" s="216"/>
      <c r="E67" s="216"/>
    </row>
    <row r="68" spans="4:5" x14ac:dyDescent="0.25">
      <c r="D68" s="216"/>
      <c r="E68" s="216"/>
    </row>
    <row r="69" spans="4:5" x14ac:dyDescent="0.25">
      <c r="D69" s="216"/>
      <c r="E69" s="216"/>
    </row>
    <row r="70" spans="4:5" x14ac:dyDescent="0.25">
      <c r="D70" s="216"/>
      <c r="E70" s="216"/>
    </row>
    <row r="71" spans="4:5" x14ac:dyDescent="0.25">
      <c r="D71" s="216"/>
      <c r="E71" s="216"/>
    </row>
    <row r="72" spans="4:5" x14ac:dyDescent="0.25">
      <c r="D72" s="216"/>
      <c r="E72" s="216"/>
    </row>
    <row r="73" spans="4:5" x14ac:dyDescent="0.25">
      <c r="D73" s="216"/>
      <c r="E73" s="216"/>
    </row>
    <row r="74" spans="4:5" x14ac:dyDescent="0.25">
      <c r="D74" s="216"/>
      <c r="E74" s="216"/>
    </row>
    <row r="75" spans="4:5" x14ac:dyDescent="0.25">
      <c r="D75" s="216"/>
      <c r="E75" s="216"/>
    </row>
    <row r="76" spans="4:5" x14ac:dyDescent="0.25">
      <c r="D76" s="216"/>
      <c r="E76" s="216"/>
    </row>
    <row r="77" spans="4:5" x14ac:dyDescent="0.25">
      <c r="D77" s="216"/>
      <c r="E77" s="216"/>
    </row>
    <row r="78" spans="4:5" x14ac:dyDescent="0.25">
      <c r="D78" s="216"/>
      <c r="E78" s="216"/>
    </row>
    <row r="79" spans="4:5" x14ac:dyDescent="0.25">
      <c r="D79" s="216"/>
      <c r="E79" s="216"/>
    </row>
    <row r="80" spans="4:5" x14ac:dyDescent="0.25">
      <c r="D80" s="216"/>
      <c r="E80" s="216"/>
    </row>
    <row r="81" spans="4:5" x14ac:dyDescent="0.25">
      <c r="D81" s="216"/>
      <c r="E81" s="216"/>
    </row>
    <row r="82" spans="4:5" x14ac:dyDescent="0.25">
      <c r="D82" s="216"/>
      <c r="E82" s="216"/>
    </row>
    <row r="83" spans="4:5" x14ac:dyDescent="0.25">
      <c r="D83" s="216"/>
      <c r="E83" s="216"/>
    </row>
    <row r="84" spans="4:5" x14ac:dyDescent="0.25">
      <c r="D84" s="216"/>
      <c r="E84" s="216"/>
    </row>
    <row r="85" spans="4:5" x14ac:dyDescent="0.25">
      <c r="D85" s="216"/>
      <c r="E85" s="216"/>
    </row>
    <row r="86" spans="4:5" x14ac:dyDescent="0.25">
      <c r="D86" s="216"/>
      <c r="E86" s="216"/>
    </row>
    <row r="87" spans="4:5" x14ac:dyDescent="0.25">
      <c r="D87" s="216"/>
      <c r="E87" s="216"/>
    </row>
    <row r="88" spans="4:5" x14ac:dyDescent="0.25">
      <c r="D88" s="216"/>
      <c r="E88" s="216"/>
    </row>
    <row r="89" spans="4:5" x14ac:dyDescent="0.25">
      <c r="D89" s="216"/>
      <c r="E89" s="216"/>
    </row>
    <row r="90" spans="4:5" x14ac:dyDescent="0.25">
      <c r="D90" s="216"/>
      <c r="E90" s="216"/>
    </row>
    <row r="91" spans="4:5" x14ac:dyDescent="0.25">
      <c r="D91" s="216"/>
      <c r="E91" s="216"/>
    </row>
    <row r="92" spans="4:5" x14ac:dyDescent="0.25">
      <c r="D92" s="216"/>
      <c r="E92" s="216"/>
    </row>
    <row r="93" spans="4:5" x14ac:dyDescent="0.25">
      <c r="D93" s="216"/>
      <c r="E93" s="216"/>
    </row>
    <row r="94" spans="4:5" x14ac:dyDescent="0.25">
      <c r="D94" s="216"/>
      <c r="E94" s="216"/>
    </row>
    <row r="95" spans="4:5" x14ac:dyDescent="0.25">
      <c r="D95" s="216"/>
      <c r="E95" s="216"/>
    </row>
    <row r="96" spans="4:5" x14ac:dyDescent="0.25">
      <c r="D96" s="216"/>
      <c r="E96" s="216"/>
    </row>
    <row r="97" spans="4:5" x14ac:dyDescent="0.25">
      <c r="D97" s="216"/>
      <c r="E97" s="216"/>
    </row>
    <row r="98" spans="4:5" x14ac:dyDescent="0.25">
      <c r="D98" s="216"/>
      <c r="E98" s="216"/>
    </row>
    <row r="99" spans="4:5" x14ac:dyDescent="0.25">
      <c r="D99" s="216"/>
      <c r="E99" s="216"/>
    </row>
    <row r="100" spans="4:5" x14ac:dyDescent="0.25">
      <c r="D100" s="216"/>
      <c r="E100" s="216"/>
    </row>
    <row r="101" spans="4:5" x14ac:dyDescent="0.25">
      <c r="D101" s="216"/>
      <c r="E101" s="216"/>
    </row>
    <row r="102" spans="4:5" x14ac:dyDescent="0.25">
      <c r="D102" s="216"/>
      <c r="E102" s="216"/>
    </row>
    <row r="103" spans="4:5" x14ac:dyDescent="0.25">
      <c r="D103" s="216"/>
      <c r="E103" s="216"/>
    </row>
    <row r="104" spans="4:5" x14ac:dyDescent="0.25">
      <c r="D104" s="216"/>
      <c r="E104" s="216"/>
    </row>
    <row r="105" spans="4:5" x14ac:dyDescent="0.25">
      <c r="D105" s="216"/>
      <c r="E105" s="216"/>
    </row>
    <row r="106" spans="4:5" x14ac:dyDescent="0.25">
      <c r="D106" s="216"/>
      <c r="E106" s="216"/>
    </row>
    <row r="107" spans="4:5" x14ac:dyDescent="0.25">
      <c r="D107" s="216"/>
      <c r="E107" s="216"/>
    </row>
    <row r="108" spans="4:5" x14ac:dyDescent="0.25">
      <c r="D108" s="216"/>
      <c r="E108" s="216"/>
    </row>
    <row r="109" spans="4:5" x14ac:dyDescent="0.25">
      <c r="D109" s="216"/>
      <c r="E109" s="216"/>
    </row>
    <row r="110" spans="4:5" x14ac:dyDescent="0.25">
      <c r="D110" s="216"/>
      <c r="E110" s="216"/>
    </row>
    <row r="111" spans="4:5" x14ac:dyDescent="0.25">
      <c r="D111" s="214"/>
      <c r="E111" s="216"/>
    </row>
    <row r="112" spans="4:5" x14ac:dyDescent="0.25">
      <c r="D112" s="214"/>
      <c r="E112" s="214"/>
    </row>
    <row r="113" spans="4:5" x14ac:dyDescent="0.25">
      <c r="D113" s="214"/>
      <c r="E113" s="214"/>
    </row>
    <row r="114" spans="4:5" x14ac:dyDescent="0.25">
      <c r="D114" s="214"/>
      <c r="E114" s="214"/>
    </row>
    <row r="115" spans="4:5" x14ac:dyDescent="0.25">
      <c r="D115" s="214"/>
    </row>
    <row r="116" spans="4:5" x14ac:dyDescent="0.25">
      <c r="D116" s="214"/>
    </row>
    <row r="117" spans="4:5" x14ac:dyDescent="0.25">
      <c r="D117" s="214"/>
    </row>
    <row r="118" spans="4:5" x14ac:dyDescent="0.25">
      <c r="D118" s="214"/>
    </row>
  </sheetData>
  <mergeCells count="30">
    <mergeCell ref="BX35:CA35"/>
    <mergeCell ref="CB35:CE35"/>
    <mergeCell ref="CF35:CI35"/>
    <mergeCell ref="CJ35:CM35"/>
    <mergeCell ref="AZ35:BC35"/>
    <mergeCell ref="BD35:BG35"/>
    <mergeCell ref="BH35:BK35"/>
    <mergeCell ref="BL35:BO35"/>
    <mergeCell ref="BP35:BS35"/>
    <mergeCell ref="BT35:BW35"/>
    <mergeCell ref="AV35:AY35"/>
    <mergeCell ref="D31:AA31"/>
    <mergeCell ref="D32:AA32"/>
    <mergeCell ref="D35:G35"/>
    <mergeCell ref="H35:K35"/>
    <mergeCell ref="L35:O35"/>
    <mergeCell ref="P35:S35"/>
    <mergeCell ref="T35:W35"/>
    <mergeCell ref="X35:AA35"/>
    <mergeCell ref="AB35:AE35"/>
    <mergeCell ref="AF35:AI35"/>
    <mergeCell ref="AJ35:AM35"/>
    <mergeCell ref="AN35:AQ35"/>
    <mergeCell ref="AR35:AU35"/>
    <mergeCell ref="D30:AA30"/>
    <mergeCell ref="D2:AA2"/>
    <mergeCell ref="D3:AA3"/>
    <mergeCell ref="D4:AA4"/>
    <mergeCell ref="D5:AA5"/>
    <mergeCell ref="D29:AA29"/>
  </mergeCells>
  <pageMargins left="0.74803149606299202" right="0.74803149606299202" top="0.98425196850393704" bottom="0.98425196850393704" header="0.511811023622047" footer="0.511811023622047"/>
  <pageSetup paperSize="9" scale="7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G42"/>
  <sheetViews>
    <sheetView showGridLines="0" view="pageBreakPreview" zoomScale="90" zoomScaleNormal="100" zoomScaleSheetLayoutView="90" workbookViewId="0">
      <selection activeCell="D3" sqref="D3:AN3"/>
    </sheetView>
  </sheetViews>
  <sheetFormatPr defaultColWidth="9.140625" defaultRowHeight="15" x14ac:dyDescent="0.2"/>
  <cols>
    <col min="1" max="1" width="3.7109375" style="1076" customWidth="1"/>
    <col min="2" max="2" width="14.42578125" style="1077" customWidth="1"/>
    <col min="3" max="3" width="3.7109375" style="1077" customWidth="1"/>
    <col min="4" max="4" width="18.7109375" style="1079" customWidth="1"/>
    <col min="5" max="29" width="6.28515625" style="1079" customWidth="1"/>
    <col min="30" max="30" width="5.7109375" style="1079" customWidth="1"/>
    <col min="31" max="33" width="6.28515625" style="1079" customWidth="1"/>
    <col min="34" max="34" width="5.7109375" style="1079" customWidth="1"/>
    <col min="35" max="38" width="9.140625" style="1079"/>
    <col min="39" max="39" width="12.7109375" style="1079" customWidth="1"/>
    <col min="40" max="40" width="10.28515625" style="1079" customWidth="1"/>
    <col min="41" max="41" width="9.85546875" style="1079" customWidth="1"/>
    <col min="42" max="263" width="9.140625" style="1079"/>
    <col min="264" max="264" width="3.7109375" style="1079" customWidth="1"/>
    <col min="265" max="265" width="14.42578125" style="1079" customWidth="1"/>
    <col min="266" max="266" width="3.7109375" style="1079" customWidth="1"/>
    <col min="267" max="267" width="18.7109375" style="1079" customWidth="1"/>
    <col min="268" max="290" width="6.28515625" style="1079" customWidth="1"/>
    <col min="291" max="519" width="9.140625" style="1079"/>
    <col min="520" max="520" width="3.7109375" style="1079" customWidth="1"/>
    <col min="521" max="521" width="14.42578125" style="1079" customWidth="1"/>
    <col min="522" max="522" width="3.7109375" style="1079" customWidth="1"/>
    <col min="523" max="523" width="18.7109375" style="1079" customWidth="1"/>
    <col min="524" max="546" width="6.28515625" style="1079" customWidth="1"/>
    <col min="547" max="775" width="9.140625" style="1079"/>
    <col min="776" max="776" width="3.7109375" style="1079" customWidth="1"/>
    <col min="777" max="777" width="14.42578125" style="1079" customWidth="1"/>
    <col min="778" max="778" width="3.7109375" style="1079" customWidth="1"/>
    <col min="779" max="779" width="18.7109375" style="1079" customWidth="1"/>
    <col min="780" max="802" width="6.28515625" style="1079" customWidth="1"/>
    <col min="803" max="1031" width="9.140625" style="1079"/>
    <col min="1032" max="1032" width="3.7109375" style="1079" customWidth="1"/>
    <col min="1033" max="1033" width="14.42578125" style="1079" customWidth="1"/>
    <col min="1034" max="1034" width="3.7109375" style="1079" customWidth="1"/>
    <col min="1035" max="1035" width="18.7109375" style="1079" customWidth="1"/>
    <col min="1036" max="1058" width="6.28515625" style="1079" customWidth="1"/>
    <col min="1059" max="1287" width="9.140625" style="1079"/>
    <col min="1288" max="1288" width="3.7109375" style="1079" customWidth="1"/>
    <col min="1289" max="1289" width="14.42578125" style="1079" customWidth="1"/>
    <col min="1290" max="1290" width="3.7109375" style="1079" customWidth="1"/>
    <col min="1291" max="1291" width="18.7109375" style="1079" customWidth="1"/>
    <col min="1292" max="1314" width="6.28515625" style="1079" customWidth="1"/>
    <col min="1315" max="1543" width="9.140625" style="1079"/>
    <col min="1544" max="1544" width="3.7109375" style="1079" customWidth="1"/>
    <col min="1545" max="1545" width="14.42578125" style="1079" customWidth="1"/>
    <col min="1546" max="1546" width="3.7109375" style="1079" customWidth="1"/>
    <col min="1547" max="1547" width="18.7109375" style="1079" customWidth="1"/>
    <col min="1548" max="1570" width="6.28515625" style="1079" customWidth="1"/>
    <col min="1571" max="1799" width="9.140625" style="1079"/>
    <col min="1800" max="1800" width="3.7109375" style="1079" customWidth="1"/>
    <col min="1801" max="1801" width="14.42578125" style="1079" customWidth="1"/>
    <col min="1802" max="1802" width="3.7109375" style="1079" customWidth="1"/>
    <col min="1803" max="1803" width="18.7109375" style="1079" customWidth="1"/>
    <col min="1804" max="1826" width="6.28515625" style="1079" customWidth="1"/>
    <col min="1827" max="2055" width="9.140625" style="1079"/>
    <col min="2056" max="2056" width="3.7109375" style="1079" customWidth="1"/>
    <col min="2057" max="2057" width="14.42578125" style="1079" customWidth="1"/>
    <col min="2058" max="2058" width="3.7109375" style="1079" customWidth="1"/>
    <col min="2059" max="2059" width="18.7109375" style="1079" customWidth="1"/>
    <col min="2060" max="2082" width="6.28515625" style="1079" customWidth="1"/>
    <col min="2083" max="2311" width="9.140625" style="1079"/>
    <col min="2312" max="2312" width="3.7109375" style="1079" customWidth="1"/>
    <col min="2313" max="2313" width="14.42578125" style="1079" customWidth="1"/>
    <col min="2314" max="2314" width="3.7109375" style="1079" customWidth="1"/>
    <col min="2315" max="2315" width="18.7109375" style="1079" customWidth="1"/>
    <col min="2316" max="2338" width="6.28515625" style="1079" customWidth="1"/>
    <col min="2339" max="2567" width="9.140625" style="1079"/>
    <col min="2568" max="2568" width="3.7109375" style="1079" customWidth="1"/>
    <col min="2569" max="2569" width="14.42578125" style="1079" customWidth="1"/>
    <col min="2570" max="2570" width="3.7109375" style="1079" customWidth="1"/>
    <col min="2571" max="2571" width="18.7109375" style="1079" customWidth="1"/>
    <col min="2572" max="2594" width="6.28515625" style="1079" customWidth="1"/>
    <col min="2595" max="2823" width="9.140625" style="1079"/>
    <col min="2824" max="2824" width="3.7109375" style="1079" customWidth="1"/>
    <col min="2825" max="2825" width="14.42578125" style="1079" customWidth="1"/>
    <col min="2826" max="2826" width="3.7109375" style="1079" customWidth="1"/>
    <col min="2827" max="2827" width="18.7109375" style="1079" customWidth="1"/>
    <col min="2828" max="2850" width="6.28515625" style="1079" customWidth="1"/>
    <col min="2851" max="3079" width="9.140625" style="1079"/>
    <col min="3080" max="3080" width="3.7109375" style="1079" customWidth="1"/>
    <col min="3081" max="3081" width="14.42578125" style="1079" customWidth="1"/>
    <col min="3082" max="3082" width="3.7109375" style="1079" customWidth="1"/>
    <col min="3083" max="3083" width="18.7109375" style="1079" customWidth="1"/>
    <col min="3084" max="3106" width="6.28515625" style="1079" customWidth="1"/>
    <col min="3107" max="3335" width="9.140625" style="1079"/>
    <col min="3336" max="3336" width="3.7109375" style="1079" customWidth="1"/>
    <col min="3337" max="3337" width="14.42578125" style="1079" customWidth="1"/>
    <col min="3338" max="3338" width="3.7109375" style="1079" customWidth="1"/>
    <col min="3339" max="3339" width="18.7109375" style="1079" customWidth="1"/>
    <col min="3340" max="3362" width="6.28515625" style="1079" customWidth="1"/>
    <col min="3363" max="3591" width="9.140625" style="1079"/>
    <col min="3592" max="3592" width="3.7109375" style="1079" customWidth="1"/>
    <col min="3593" max="3593" width="14.42578125" style="1079" customWidth="1"/>
    <col min="3594" max="3594" width="3.7109375" style="1079" customWidth="1"/>
    <col min="3595" max="3595" width="18.7109375" style="1079" customWidth="1"/>
    <col min="3596" max="3618" width="6.28515625" style="1079" customWidth="1"/>
    <col min="3619" max="3847" width="9.140625" style="1079"/>
    <col min="3848" max="3848" width="3.7109375" style="1079" customWidth="1"/>
    <col min="3849" max="3849" width="14.42578125" style="1079" customWidth="1"/>
    <col min="3850" max="3850" width="3.7109375" style="1079" customWidth="1"/>
    <col min="3851" max="3851" width="18.7109375" style="1079" customWidth="1"/>
    <col min="3852" max="3874" width="6.28515625" style="1079" customWidth="1"/>
    <col min="3875" max="4103" width="9.140625" style="1079"/>
    <col min="4104" max="4104" width="3.7109375" style="1079" customWidth="1"/>
    <col min="4105" max="4105" width="14.42578125" style="1079" customWidth="1"/>
    <col min="4106" max="4106" width="3.7109375" style="1079" customWidth="1"/>
    <col min="4107" max="4107" width="18.7109375" style="1079" customWidth="1"/>
    <col min="4108" max="4130" width="6.28515625" style="1079" customWidth="1"/>
    <col min="4131" max="4359" width="9.140625" style="1079"/>
    <col min="4360" max="4360" width="3.7109375" style="1079" customWidth="1"/>
    <col min="4361" max="4361" width="14.42578125" style="1079" customWidth="1"/>
    <col min="4362" max="4362" width="3.7109375" style="1079" customWidth="1"/>
    <col min="4363" max="4363" width="18.7109375" style="1079" customWidth="1"/>
    <col min="4364" max="4386" width="6.28515625" style="1079" customWidth="1"/>
    <col min="4387" max="4615" width="9.140625" style="1079"/>
    <col min="4616" max="4616" width="3.7109375" style="1079" customWidth="1"/>
    <col min="4617" max="4617" width="14.42578125" style="1079" customWidth="1"/>
    <col min="4618" max="4618" width="3.7109375" style="1079" customWidth="1"/>
    <col min="4619" max="4619" width="18.7109375" style="1079" customWidth="1"/>
    <col min="4620" max="4642" width="6.28515625" style="1079" customWidth="1"/>
    <col min="4643" max="4871" width="9.140625" style="1079"/>
    <col min="4872" max="4872" width="3.7109375" style="1079" customWidth="1"/>
    <col min="4873" max="4873" width="14.42578125" style="1079" customWidth="1"/>
    <col min="4874" max="4874" width="3.7109375" style="1079" customWidth="1"/>
    <col min="4875" max="4875" width="18.7109375" style="1079" customWidth="1"/>
    <col min="4876" max="4898" width="6.28515625" style="1079" customWidth="1"/>
    <col min="4899" max="5127" width="9.140625" style="1079"/>
    <col min="5128" max="5128" width="3.7109375" style="1079" customWidth="1"/>
    <col min="5129" max="5129" width="14.42578125" style="1079" customWidth="1"/>
    <col min="5130" max="5130" width="3.7109375" style="1079" customWidth="1"/>
    <col min="5131" max="5131" width="18.7109375" style="1079" customWidth="1"/>
    <col min="5132" max="5154" width="6.28515625" style="1079" customWidth="1"/>
    <col min="5155" max="5383" width="9.140625" style="1079"/>
    <col min="5384" max="5384" width="3.7109375" style="1079" customWidth="1"/>
    <col min="5385" max="5385" width="14.42578125" style="1079" customWidth="1"/>
    <col min="5386" max="5386" width="3.7109375" style="1079" customWidth="1"/>
    <col min="5387" max="5387" width="18.7109375" style="1079" customWidth="1"/>
    <col min="5388" max="5410" width="6.28515625" style="1079" customWidth="1"/>
    <col min="5411" max="5639" width="9.140625" style="1079"/>
    <col min="5640" max="5640" width="3.7109375" style="1079" customWidth="1"/>
    <col min="5641" max="5641" width="14.42578125" style="1079" customWidth="1"/>
    <col min="5642" max="5642" width="3.7109375" style="1079" customWidth="1"/>
    <col min="5643" max="5643" width="18.7109375" style="1079" customWidth="1"/>
    <col min="5644" max="5666" width="6.28515625" style="1079" customWidth="1"/>
    <col min="5667" max="5895" width="9.140625" style="1079"/>
    <col min="5896" max="5896" width="3.7109375" style="1079" customWidth="1"/>
    <col min="5897" max="5897" width="14.42578125" style="1079" customWidth="1"/>
    <col min="5898" max="5898" width="3.7109375" style="1079" customWidth="1"/>
    <col min="5899" max="5899" width="18.7109375" style="1079" customWidth="1"/>
    <col min="5900" max="5922" width="6.28515625" style="1079" customWidth="1"/>
    <col min="5923" max="6151" width="9.140625" style="1079"/>
    <col min="6152" max="6152" width="3.7109375" style="1079" customWidth="1"/>
    <col min="6153" max="6153" width="14.42578125" style="1079" customWidth="1"/>
    <col min="6154" max="6154" width="3.7109375" style="1079" customWidth="1"/>
    <col min="6155" max="6155" width="18.7109375" style="1079" customWidth="1"/>
    <col min="6156" max="6178" width="6.28515625" style="1079" customWidth="1"/>
    <col min="6179" max="6407" width="9.140625" style="1079"/>
    <col min="6408" max="6408" width="3.7109375" style="1079" customWidth="1"/>
    <col min="6409" max="6409" width="14.42578125" style="1079" customWidth="1"/>
    <col min="6410" max="6410" width="3.7109375" style="1079" customWidth="1"/>
    <col min="6411" max="6411" width="18.7109375" style="1079" customWidth="1"/>
    <col min="6412" max="6434" width="6.28515625" style="1079" customWidth="1"/>
    <col min="6435" max="6663" width="9.140625" style="1079"/>
    <col min="6664" max="6664" width="3.7109375" style="1079" customWidth="1"/>
    <col min="6665" max="6665" width="14.42578125" style="1079" customWidth="1"/>
    <col min="6666" max="6666" width="3.7109375" style="1079" customWidth="1"/>
    <col min="6667" max="6667" width="18.7109375" style="1079" customWidth="1"/>
    <col min="6668" max="6690" width="6.28515625" style="1079" customWidth="1"/>
    <col min="6691" max="6919" width="9.140625" style="1079"/>
    <col min="6920" max="6920" width="3.7109375" style="1079" customWidth="1"/>
    <col min="6921" max="6921" width="14.42578125" style="1079" customWidth="1"/>
    <col min="6922" max="6922" width="3.7109375" style="1079" customWidth="1"/>
    <col min="6923" max="6923" width="18.7109375" style="1079" customWidth="1"/>
    <col min="6924" max="6946" width="6.28515625" style="1079" customWidth="1"/>
    <col min="6947" max="7175" width="9.140625" style="1079"/>
    <col min="7176" max="7176" width="3.7109375" style="1079" customWidth="1"/>
    <col min="7177" max="7177" width="14.42578125" style="1079" customWidth="1"/>
    <col min="7178" max="7178" width="3.7109375" style="1079" customWidth="1"/>
    <col min="7179" max="7179" width="18.7109375" style="1079" customWidth="1"/>
    <col min="7180" max="7202" width="6.28515625" style="1079" customWidth="1"/>
    <col min="7203" max="7431" width="9.140625" style="1079"/>
    <col min="7432" max="7432" width="3.7109375" style="1079" customWidth="1"/>
    <col min="7433" max="7433" width="14.42578125" style="1079" customWidth="1"/>
    <col min="7434" max="7434" width="3.7109375" style="1079" customWidth="1"/>
    <col min="7435" max="7435" width="18.7109375" style="1079" customWidth="1"/>
    <col min="7436" max="7458" width="6.28515625" style="1079" customWidth="1"/>
    <col min="7459" max="7687" width="9.140625" style="1079"/>
    <col min="7688" max="7688" width="3.7109375" style="1079" customWidth="1"/>
    <col min="7689" max="7689" width="14.42578125" style="1079" customWidth="1"/>
    <col min="7690" max="7690" width="3.7109375" style="1079" customWidth="1"/>
    <col min="7691" max="7691" width="18.7109375" style="1079" customWidth="1"/>
    <col min="7692" max="7714" width="6.28515625" style="1079" customWidth="1"/>
    <col min="7715" max="7943" width="9.140625" style="1079"/>
    <col min="7944" max="7944" width="3.7109375" style="1079" customWidth="1"/>
    <col min="7945" max="7945" width="14.42578125" style="1079" customWidth="1"/>
    <col min="7946" max="7946" width="3.7109375" style="1079" customWidth="1"/>
    <col min="7947" max="7947" width="18.7109375" style="1079" customWidth="1"/>
    <col min="7948" max="7970" width="6.28515625" style="1079" customWidth="1"/>
    <col min="7971" max="8199" width="9.140625" style="1079"/>
    <col min="8200" max="8200" width="3.7109375" style="1079" customWidth="1"/>
    <col min="8201" max="8201" width="14.42578125" style="1079" customWidth="1"/>
    <col min="8202" max="8202" width="3.7109375" style="1079" customWidth="1"/>
    <col min="8203" max="8203" width="18.7109375" style="1079" customWidth="1"/>
    <col min="8204" max="8226" width="6.28515625" style="1079" customWidth="1"/>
    <col min="8227" max="8455" width="9.140625" style="1079"/>
    <col min="8456" max="8456" width="3.7109375" style="1079" customWidth="1"/>
    <col min="8457" max="8457" width="14.42578125" style="1079" customWidth="1"/>
    <col min="8458" max="8458" width="3.7109375" style="1079" customWidth="1"/>
    <col min="8459" max="8459" width="18.7109375" style="1079" customWidth="1"/>
    <col min="8460" max="8482" width="6.28515625" style="1079" customWidth="1"/>
    <col min="8483" max="8711" width="9.140625" style="1079"/>
    <col min="8712" max="8712" width="3.7109375" style="1079" customWidth="1"/>
    <col min="8713" max="8713" width="14.42578125" style="1079" customWidth="1"/>
    <col min="8714" max="8714" width="3.7109375" style="1079" customWidth="1"/>
    <col min="8715" max="8715" width="18.7109375" style="1079" customWidth="1"/>
    <col min="8716" max="8738" width="6.28515625" style="1079" customWidth="1"/>
    <col min="8739" max="8967" width="9.140625" style="1079"/>
    <col min="8968" max="8968" width="3.7109375" style="1079" customWidth="1"/>
    <col min="8969" max="8969" width="14.42578125" style="1079" customWidth="1"/>
    <col min="8970" max="8970" width="3.7109375" style="1079" customWidth="1"/>
    <col min="8971" max="8971" width="18.7109375" style="1079" customWidth="1"/>
    <col min="8972" max="8994" width="6.28515625" style="1079" customWidth="1"/>
    <col min="8995" max="9223" width="9.140625" style="1079"/>
    <col min="9224" max="9224" width="3.7109375" style="1079" customWidth="1"/>
    <col min="9225" max="9225" width="14.42578125" style="1079" customWidth="1"/>
    <col min="9226" max="9226" width="3.7109375" style="1079" customWidth="1"/>
    <col min="9227" max="9227" width="18.7109375" style="1079" customWidth="1"/>
    <col min="9228" max="9250" width="6.28515625" style="1079" customWidth="1"/>
    <col min="9251" max="9479" width="9.140625" style="1079"/>
    <col min="9480" max="9480" width="3.7109375" style="1079" customWidth="1"/>
    <col min="9481" max="9481" width="14.42578125" style="1079" customWidth="1"/>
    <col min="9482" max="9482" width="3.7109375" style="1079" customWidth="1"/>
    <col min="9483" max="9483" width="18.7109375" style="1079" customWidth="1"/>
    <col min="9484" max="9506" width="6.28515625" style="1079" customWidth="1"/>
    <col min="9507" max="9735" width="9.140625" style="1079"/>
    <col min="9736" max="9736" width="3.7109375" style="1079" customWidth="1"/>
    <col min="9737" max="9737" width="14.42578125" style="1079" customWidth="1"/>
    <col min="9738" max="9738" width="3.7109375" style="1079" customWidth="1"/>
    <col min="9739" max="9739" width="18.7109375" style="1079" customWidth="1"/>
    <col min="9740" max="9762" width="6.28515625" style="1079" customWidth="1"/>
    <col min="9763" max="9991" width="9.140625" style="1079"/>
    <col min="9992" max="9992" width="3.7109375" style="1079" customWidth="1"/>
    <col min="9993" max="9993" width="14.42578125" style="1079" customWidth="1"/>
    <col min="9994" max="9994" width="3.7109375" style="1079" customWidth="1"/>
    <col min="9995" max="9995" width="18.7109375" style="1079" customWidth="1"/>
    <col min="9996" max="10018" width="6.28515625" style="1079" customWidth="1"/>
    <col min="10019" max="10247" width="9.140625" style="1079"/>
    <col min="10248" max="10248" width="3.7109375" style="1079" customWidth="1"/>
    <col min="10249" max="10249" width="14.42578125" style="1079" customWidth="1"/>
    <col min="10250" max="10250" width="3.7109375" style="1079" customWidth="1"/>
    <col min="10251" max="10251" width="18.7109375" style="1079" customWidth="1"/>
    <col min="10252" max="10274" width="6.28515625" style="1079" customWidth="1"/>
    <col min="10275" max="10503" width="9.140625" style="1079"/>
    <col min="10504" max="10504" width="3.7109375" style="1079" customWidth="1"/>
    <col min="10505" max="10505" width="14.42578125" style="1079" customWidth="1"/>
    <col min="10506" max="10506" width="3.7109375" style="1079" customWidth="1"/>
    <col min="10507" max="10507" width="18.7109375" style="1079" customWidth="1"/>
    <col min="10508" max="10530" width="6.28515625" style="1079" customWidth="1"/>
    <col min="10531" max="10759" width="9.140625" style="1079"/>
    <col min="10760" max="10760" width="3.7109375" style="1079" customWidth="1"/>
    <col min="10761" max="10761" width="14.42578125" style="1079" customWidth="1"/>
    <col min="10762" max="10762" width="3.7109375" style="1079" customWidth="1"/>
    <col min="10763" max="10763" width="18.7109375" style="1079" customWidth="1"/>
    <col min="10764" max="10786" width="6.28515625" style="1079" customWidth="1"/>
    <col min="10787" max="11015" width="9.140625" style="1079"/>
    <col min="11016" max="11016" width="3.7109375" style="1079" customWidth="1"/>
    <col min="11017" max="11017" width="14.42578125" style="1079" customWidth="1"/>
    <col min="11018" max="11018" width="3.7109375" style="1079" customWidth="1"/>
    <col min="11019" max="11019" width="18.7109375" style="1079" customWidth="1"/>
    <col min="11020" max="11042" width="6.28515625" style="1079" customWidth="1"/>
    <col min="11043" max="11271" width="9.140625" style="1079"/>
    <col min="11272" max="11272" width="3.7109375" style="1079" customWidth="1"/>
    <col min="11273" max="11273" width="14.42578125" style="1079" customWidth="1"/>
    <col min="11274" max="11274" width="3.7109375" style="1079" customWidth="1"/>
    <col min="11275" max="11275" width="18.7109375" style="1079" customWidth="1"/>
    <col min="11276" max="11298" width="6.28515625" style="1079" customWidth="1"/>
    <col min="11299" max="11527" width="9.140625" style="1079"/>
    <col min="11528" max="11528" width="3.7109375" style="1079" customWidth="1"/>
    <col min="11529" max="11529" width="14.42578125" style="1079" customWidth="1"/>
    <col min="11530" max="11530" width="3.7109375" style="1079" customWidth="1"/>
    <col min="11531" max="11531" width="18.7109375" style="1079" customWidth="1"/>
    <col min="11532" max="11554" width="6.28515625" style="1079" customWidth="1"/>
    <col min="11555" max="11783" width="9.140625" style="1079"/>
    <col min="11784" max="11784" width="3.7109375" style="1079" customWidth="1"/>
    <col min="11785" max="11785" width="14.42578125" style="1079" customWidth="1"/>
    <col min="11786" max="11786" width="3.7109375" style="1079" customWidth="1"/>
    <col min="11787" max="11787" width="18.7109375" style="1079" customWidth="1"/>
    <col min="11788" max="11810" width="6.28515625" style="1079" customWidth="1"/>
    <col min="11811" max="12039" width="9.140625" style="1079"/>
    <col min="12040" max="12040" width="3.7109375" style="1079" customWidth="1"/>
    <col min="12041" max="12041" width="14.42578125" style="1079" customWidth="1"/>
    <col min="12042" max="12042" width="3.7109375" style="1079" customWidth="1"/>
    <col min="12043" max="12043" width="18.7109375" style="1079" customWidth="1"/>
    <col min="12044" max="12066" width="6.28515625" style="1079" customWidth="1"/>
    <col min="12067" max="12295" width="9.140625" style="1079"/>
    <col min="12296" max="12296" width="3.7109375" style="1079" customWidth="1"/>
    <col min="12297" max="12297" width="14.42578125" style="1079" customWidth="1"/>
    <col min="12298" max="12298" width="3.7109375" style="1079" customWidth="1"/>
    <col min="12299" max="12299" width="18.7109375" style="1079" customWidth="1"/>
    <col min="12300" max="12322" width="6.28515625" style="1079" customWidth="1"/>
    <col min="12323" max="12551" width="9.140625" style="1079"/>
    <col min="12552" max="12552" width="3.7109375" style="1079" customWidth="1"/>
    <col min="12553" max="12553" width="14.42578125" style="1079" customWidth="1"/>
    <col min="12554" max="12554" width="3.7109375" style="1079" customWidth="1"/>
    <col min="12555" max="12555" width="18.7109375" style="1079" customWidth="1"/>
    <col min="12556" max="12578" width="6.28515625" style="1079" customWidth="1"/>
    <col min="12579" max="12807" width="9.140625" style="1079"/>
    <col min="12808" max="12808" width="3.7109375" style="1079" customWidth="1"/>
    <col min="12809" max="12809" width="14.42578125" style="1079" customWidth="1"/>
    <col min="12810" max="12810" width="3.7109375" style="1079" customWidth="1"/>
    <col min="12811" max="12811" width="18.7109375" style="1079" customWidth="1"/>
    <col min="12812" max="12834" width="6.28515625" style="1079" customWidth="1"/>
    <col min="12835" max="13063" width="9.140625" style="1079"/>
    <col min="13064" max="13064" width="3.7109375" style="1079" customWidth="1"/>
    <col min="13065" max="13065" width="14.42578125" style="1079" customWidth="1"/>
    <col min="13066" max="13066" width="3.7109375" style="1079" customWidth="1"/>
    <col min="13067" max="13067" width="18.7109375" style="1079" customWidth="1"/>
    <col min="13068" max="13090" width="6.28515625" style="1079" customWidth="1"/>
    <col min="13091" max="13319" width="9.140625" style="1079"/>
    <col min="13320" max="13320" width="3.7109375" style="1079" customWidth="1"/>
    <col min="13321" max="13321" width="14.42578125" style="1079" customWidth="1"/>
    <col min="13322" max="13322" width="3.7109375" style="1079" customWidth="1"/>
    <col min="13323" max="13323" width="18.7109375" style="1079" customWidth="1"/>
    <col min="13324" max="13346" width="6.28515625" style="1079" customWidth="1"/>
    <col min="13347" max="13575" width="9.140625" style="1079"/>
    <col min="13576" max="13576" width="3.7109375" style="1079" customWidth="1"/>
    <col min="13577" max="13577" width="14.42578125" style="1079" customWidth="1"/>
    <col min="13578" max="13578" width="3.7109375" style="1079" customWidth="1"/>
    <col min="13579" max="13579" width="18.7109375" style="1079" customWidth="1"/>
    <col min="13580" max="13602" width="6.28515625" style="1079" customWidth="1"/>
    <col min="13603" max="13831" width="9.140625" style="1079"/>
    <col min="13832" max="13832" width="3.7109375" style="1079" customWidth="1"/>
    <col min="13833" max="13833" width="14.42578125" style="1079" customWidth="1"/>
    <col min="13834" max="13834" width="3.7109375" style="1079" customWidth="1"/>
    <col min="13835" max="13835" width="18.7109375" style="1079" customWidth="1"/>
    <col min="13836" max="13858" width="6.28515625" style="1079" customWidth="1"/>
    <col min="13859" max="14087" width="9.140625" style="1079"/>
    <col min="14088" max="14088" width="3.7109375" style="1079" customWidth="1"/>
    <col min="14089" max="14089" width="14.42578125" style="1079" customWidth="1"/>
    <col min="14090" max="14090" width="3.7109375" style="1079" customWidth="1"/>
    <col min="14091" max="14091" width="18.7109375" style="1079" customWidth="1"/>
    <col min="14092" max="14114" width="6.28515625" style="1079" customWidth="1"/>
    <col min="14115" max="14343" width="9.140625" style="1079"/>
    <col min="14344" max="14344" width="3.7109375" style="1079" customWidth="1"/>
    <col min="14345" max="14345" width="14.42578125" style="1079" customWidth="1"/>
    <col min="14346" max="14346" width="3.7109375" style="1079" customWidth="1"/>
    <col min="14347" max="14347" width="18.7109375" style="1079" customWidth="1"/>
    <col min="14348" max="14370" width="6.28515625" style="1079" customWidth="1"/>
    <col min="14371" max="14599" width="9.140625" style="1079"/>
    <col min="14600" max="14600" width="3.7109375" style="1079" customWidth="1"/>
    <col min="14601" max="14601" width="14.42578125" style="1079" customWidth="1"/>
    <col min="14602" max="14602" width="3.7109375" style="1079" customWidth="1"/>
    <col min="14603" max="14603" width="18.7109375" style="1079" customWidth="1"/>
    <col min="14604" max="14626" width="6.28515625" style="1079" customWidth="1"/>
    <col min="14627" max="14855" width="9.140625" style="1079"/>
    <col min="14856" max="14856" width="3.7109375" style="1079" customWidth="1"/>
    <col min="14857" max="14857" width="14.42578125" style="1079" customWidth="1"/>
    <col min="14858" max="14858" width="3.7109375" style="1079" customWidth="1"/>
    <col min="14859" max="14859" width="18.7109375" style="1079" customWidth="1"/>
    <col min="14860" max="14882" width="6.28515625" style="1079" customWidth="1"/>
    <col min="14883" max="15111" width="9.140625" style="1079"/>
    <col min="15112" max="15112" width="3.7109375" style="1079" customWidth="1"/>
    <col min="15113" max="15113" width="14.42578125" style="1079" customWidth="1"/>
    <col min="15114" max="15114" width="3.7109375" style="1079" customWidth="1"/>
    <col min="15115" max="15115" width="18.7109375" style="1079" customWidth="1"/>
    <col min="15116" max="15138" width="6.28515625" style="1079" customWidth="1"/>
    <col min="15139" max="15367" width="9.140625" style="1079"/>
    <col min="15368" max="15368" width="3.7109375" style="1079" customWidth="1"/>
    <col min="15369" max="15369" width="14.42578125" style="1079" customWidth="1"/>
    <col min="15370" max="15370" width="3.7109375" style="1079" customWidth="1"/>
    <col min="15371" max="15371" width="18.7109375" style="1079" customWidth="1"/>
    <col min="15372" max="15394" width="6.28515625" style="1079" customWidth="1"/>
    <col min="15395" max="15623" width="9.140625" style="1079"/>
    <col min="15624" max="15624" width="3.7109375" style="1079" customWidth="1"/>
    <col min="15625" max="15625" width="14.42578125" style="1079" customWidth="1"/>
    <col min="15626" max="15626" width="3.7109375" style="1079" customWidth="1"/>
    <col min="15627" max="15627" width="18.7109375" style="1079" customWidth="1"/>
    <col min="15628" max="15650" width="6.28515625" style="1079" customWidth="1"/>
    <col min="15651" max="15879" width="9.140625" style="1079"/>
    <col min="15880" max="15880" width="3.7109375" style="1079" customWidth="1"/>
    <col min="15881" max="15881" width="14.42578125" style="1079" customWidth="1"/>
    <col min="15882" max="15882" width="3.7109375" style="1079" customWidth="1"/>
    <col min="15883" max="15883" width="18.7109375" style="1079" customWidth="1"/>
    <col min="15884" max="15906" width="6.28515625" style="1079" customWidth="1"/>
    <col min="15907" max="16135" width="9.140625" style="1079"/>
    <col min="16136" max="16136" width="3.7109375" style="1079" customWidth="1"/>
    <col min="16137" max="16137" width="14.42578125" style="1079" customWidth="1"/>
    <col min="16138" max="16138" width="3.7109375" style="1079" customWidth="1"/>
    <col min="16139" max="16139" width="18.7109375" style="1079" customWidth="1"/>
    <col min="16140" max="16162" width="6.28515625" style="1079" customWidth="1"/>
    <col min="16163" max="16384" width="9.140625" style="1079"/>
  </cols>
  <sheetData>
    <row r="1" spans="1:40" x14ac:dyDescent="0.2">
      <c r="D1" s="1078"/>
      <c r="E1" s="1078"/>
      <c r="F1" s="1078"/>
      <c r="G1" s="1078"/>
      <c r="H1" s="1078"/>
      <c r="I1" s="1078"/>
      <c r="J1" s="1078"/>
      <c r="K1" s="1078"/>
      <c r="L1" s="1078"/>
      <c r="M1" s="1078"/>
      <c r="N1" s="1078"/>
      <c r="O1" s="1078"/>
      <c r="P1" s="1078"/>
      <c r="Q1" s="1078"/>
    </row>
    <row r="2" spans="1:40" ht="14.25" customHeight="1" x14ac:dyDescent="0.2">
      <c r="A2" s="782">
        <v>1</v>
      </c>
      <c r="B2" s="782" t="s">
        <v>0</v>
      </c>
      <c r="C2" s="782">
        <v>55</v>
      </c>
      <c r="D2" s="4048" t="s">
        <v>1355</v>
      </c>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49"/>
      <c r="AC2" s="4049"/>
      <c r="AD2" s="4049"/>
      <c r="AE2" s="4049"/>
      <c r="AF2" s="4049"/>
      <c r="AG2" s="4049"/>
      <c r="AH2" s="4049"/>
      <c r="AI2" s="4049"/>
      <c r="AJ2" s="4049"/>
      <c r="AK2" s="4049"/>
      <c r="AL2" s="4049"/>
      <c r="AM2" s="4049"/>
      <c r="AN2" s="4050"/>
    </row>
    <row r="3" spans="1:40" ht="14.25" customHeight="1" x14ac:dyDescent="0.2">
      <c r="A3" s="782">
        <v>2</v>
      </c>
      <c r="B3" s="782" t="s">
        <v>2</v>
      </c>
      <c r="C3" s="782"/>
      <c r="D3" s="4048" t="s">
        <v>1356</v>
      </c>
      <c r="E3" s="4049"/>
      <c r="F3" s="4049"/>
      <c r="G3" s="4049"/>
      <c r="H3" s="4049"/>
      <c r="I3" s="4049"/>
      <c r="J3" s="4049"/>
      <c r="K3" s="4049"/>
      <c r="L3" s="4049"/>
      <c r="M3" s="4049"/>
      <c r="N3" s="4049"/>
      <c r="O3" s="4049"/>
      <c r="P3" s="4049"/>
      <c r="Q3" s="4049"/>
      <c r="R3" s="4049"/>
      <c r="S3" s="4049"/>
      <c r="T3" s="4049"/>
      <c r="U3" s="4049"/>
      <c r="V3" s="4049"/>
      <c r="W3" s="4049"/>
      <c r="X3" s="4049"/>
      <c r="Y3" s="4049"/>
      <c r="Z3" s="4049"/>
      <c r="AA3" s="4049"/>
      <c r="AB3" s="4049"/>
      <c r="AC3" s="4049"/>
      <c r="AD3" s="4049"/>
      <c r="AE3" s="4049"/>
      <c r="AF3" s="4049"/>
      <c r="AG3" s="4049"/>
      <c r="AH3" s="4049"/>
      <c r="AI3" s="4049"/>
      <c r="AJ3" s="4049"/>
      <c r="AK3" s="4049"/>
      <c r="AL3" s="4049"/>
      <c r="AM3" s="4049"/>
      <c r="AN3" s="4050"/>
    </row>
    <row r="4" spans="1:40" ht="15" customHeight="1" x14ac:dyDescent="0.2">
      <c r="A4" s="782">
        <v>3</v>
      </c>
      <c r="B4" s="782" t="s">
        <v>4</v>
      </c>
      <c r="C4" s="782"/>
      <c r="D4" s="4048" t="s">
        <v>1357</v>
      </c>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c r="AL4" s="4049"/>
      <c r="AM4" s="4049"/>
      <c r="AN4" s="4050"/>
    </row>
    <row r="5" spans="1:40" x14ac:dyDescent="0.2">
      <c r="C5" s="902"/>
      <c r="D5" s="1059"/>
      <c r="E5" s="1059"/>
      <c r="F5" s="1059"/>
      <c r="G5" s="1059"/>
      <c r="H5" s="1059"/>
      <c r="I5" s="1059"/>
      <c r="J5" s="1059"/>
      <c r="K5" s="1059"/>
      <c r="L5" s="1059"/>
      <c r="M5" s="1059"/>
      <c r="N5" s="1059"/>
      <c r="O5" s="1059"/>
      <c r="P5" s="1059"/>
      <c r="Q5" s="1078"/>
      <c r="V5" s="74"/>
      <c r="W5" s="74"/>
      <c r="X5" s="74"/>
    </row>
    <row r="6" spans="1:40" s="74" customFormat="1" ht="11.25" customHeight="1" x14ac:dyDescent="0.2">
      <c r="A6" s="782">
        <v>5</v>
      </c>
      <c r="B6" s="902" t="s">
        <v>5</v>
      </c>
      <c r="C6" s="1082"/>
      <c r="D6" s="3202" t="s">
        <v>112</v>
      </c>
      <c r="E6" s="3202" t="s">
        <v>1355</v>
      </c>
      <c r="F6" s="3202"/>
      <c r="G6" s="122"/>
      <c r="H6" s="122"/>
      <c r="I6" s="122"/>
      <c r="J6" s="122"/>
      <c r="K6" s="122"/>
      <c r="L6" s="122"/>
      <c r="M6" s="139"/>
      <c r="N6" s="139"/>
      <c r="O6" s="139"/>
      <c r="P6" s="139"/>
      <c r="Q6" s="139"/>
      <c r="T6" s="52"/>
      <c r="U6" s="52"/>
      <c r="W6" s="3203"/>
      <c r="X6" s="3203"/>
      <c r="Y6" s="52"/>
      <c r="Z6" s="52"/>
      <c r="AA6" s="52"/>
      <c r="AB6" s="52"/>
      <c r="AC6" s="52"/>
      <c r="AE6" s="52"/>
      <c r="AF6" s="52"/>
      <c r="AG6" s="52"/>
    </row>
    <row r="7" spans="1:40" s="74" customFormat="1" ht="11.25" customHeight="1" x14ac:dyDescent="0.25">
      <c r="A7" s="1083"/>
      <c r="B7" s="1082"/>
      <c r="C7" s="1082"/>
      <c r="D7" s="3204"/>
      <c r="E7" s="4355">
        <v>2000</v>
      </c>
      <c r="F7" s="4353"/>
      <c r="G7" s="4352">
        <v>2001</v>
      </c>
      <c r="H7" s="4353"/>
      <c r="I7" s="4352">
        <v>2002</v>
      </c>
      <c r="J7" s="4353"/>
      <c r="K7" s="4352">
        <v>2003</v>
      </c>
      <c r="L7" s="4353"/>
      <c r="M7" s="4352">
        <v>2004</v>
      </c>
      <c r="N7" s="4353"/>
      <c r="O7" s="4352">
        <v>2005</v>
      </c>
      <c r="P7" s="4353"/>
      <c r="Q7" s="4352">
        <v>2006</v>
      </c>
      <c r="R7" s="4353"/>
      <c r="S7" s="4352">
        <v>2007</v>
      </c>
      <c r="T7" s="4353"/>
      <c r="U7" s="4352">
        <v>2008</v>
      </c>
      <c r="V7" s="4353"/>
      <c r="W7" s="4352" t="s">
        <v>57</v>
      </c>
      <c r="X7" s="4353"/>
      <c r="Y7" s="4352">
        <v>2010</v>
      </c>
      <c r="Z7" s="4353"/>
      <c r="AA7" s="4352">
        <v>2011</v>
      </c>
      <c r="AB7" s="4353"/>
      <c r="AC7" s="4352">
        <v>2012</v>
      </c>
      <c r="AD7" s="4353"/>
      <c r="AE7" s="4352">
        <v>2013</v>
      </c>
      <c r="AF7" s="4353"/>
      <c r="AG7" s="4352">
        <v>2014</v>
      </c>
      <c r="AH7" s="4353"/>
      <c r="AI7" s="4352">
        <v>2015</v>
      </c>
      <c r="AJ7" s="4353"/>
      <c r="AK7" s="4352">
        <v>2016</v>
      </c>
      <c r="AL7" s="4354"/>
      <c r="AM7" s="4356">
        <v>2017</v>
      </c>
      <c r="AN7" s="4357"/>
    </row>
    <row r="8" spans="1:40" s="74" customFormat="1" ht="15.75" customHeight="1" x14ac:dyDescent="0.2">
      <c r="A8" s="1083"/>
      <c r="B8" s="1082"/>
      <c r="C8" s="1082"/>
      <c r="D8" s="3205"/>
      <c r="E8" s="3206" t="s">
        <v>1358</v>
      </c>
      <c r="F8" s="3207" t="s">
        <v>994</v>
      </c>
      <c r="G8" s="3208" t="s">
        <v>1358</v>
      </c>
      <c r="H8" s="3207" t="s">
        <v>994</v>
      </c>
      <c r="I8" s="3208" t="s">
        <v>1358</v>
      </c>
      <c r="J8" s="3207" t="s">
        <v>994</v>
      </c>
      <c r="K8" s="3208" t="s">
        <v>1358</v>
      </c>
      <c r="L8" s="3207" t="s">
        <v>994</v>
      </c>
      <c r="M8" s="3208" t="s">
        <v>1358</v>
      </c>
      <c r="N8" s="3207" t="s">
        <v>994</v>
      </c>
      <c r="O8" s="3208" t="s">
        <v>1358</v>
      </c>
      <c r="P8" s="3207" t="s">
        <v>994</v>
      </c>
      <c r="Q8" s="3208" t="s">
        <v>1358</v>
      </c>
      <c r="R8" s="3207" t="s">
        <v>994</v>
      </c>
      <c r="S8" s="3208" t="s">
        <v>1358</v>
      </c>
      <c r="T8" s="3207" t="s">
        <v>994</v>
      </c>
      <c r="U8" s="3209" t="s">
        <v>988</v>
      </c>
      <c r="V8" s="3207" t="s">
        <v>994</v>
      </c>
      <c r="W8" s="3209" t="s">
        <v>988</v>
      </c>
      <c r="X8" s="3207" t="s">
        <v>994</v>
      </c>
      <c r="Y8" s="3209" t="s">
        <v>988</v>
      </c>
      <c r="Z8" s="3207" t="s">
        <v>994</v>
      </c>
      <c r="AA8" s="3209" t="s">
        <v>988</v>
      </c>
      <c r="AB8" s="3207" t="s">
        <v>994</v>
      </c>
      <c r="AC8" s="3209" t="s">
        <v>988</v>
      </c>
      <c r="AD8" s="3207" t="s">
        <v>994</v>
      </c>
      <c r="AE8" s="3209" t="s">
        <v>988</v>
      </c>
      <c r="AF8" s="3207" t="s">
        <v>994</v>
      </c>
      <c r="AG8" s="3209" t="s">
        <v>988</v>
      </c>
      <c r="AH8" s="3207" t="s">
        <v>994</v>
      </c>
      <c r="AI8" s="3209" t="s">
        <v>988</v>
      </c>
      <c r="AJ8" s="3207" t="s">
        <v>994</v>
      </c>
      <c r="AK8" s="3209" t="s">
        <v>988</v>
      </c>
      <c r="AL8" s="3210" t="s">
        <v>994</v>
      </c>
      <c r="AM8" s="1803" t="s">
        <v>1359</v>
      </c>
      <c r="AN8" s="1803" t="s">
        <v>1360</v>
      </c>
    </row>
    <row r="9" spans="1:40" s="74" customFormat="1" ht="22.5" x14ac:dyDescent="0.2">
      <c r="A9" s="1083"/>
      <c r="B9" s="1082"/>
      <c r="C9" s="1082"/>
      <c r="D9" s="1866" t="s">
        <v>1355</v>
      </c>
      <c r="E9" s="3211">
        <v>74</v>
      </c>
      <c r="F9" s="3212">
        <v>69</v>
      </c>
      <c r="G9" s="931">
        <v>69</v>
      </c>
      <c r="H9" s="2048">
        <v>71</v>
      </c>
      <c r="I9" s="931">
        <v>70</v>
      </c>
      <c r="J9" s="2048">
        <v>72</v>
      </c>
      <c r="K9" s="2071">
        <v>75.099999999999994</v>
      </c>
      <c r="L9" s="3213">
        <v>77.5</v>
      </c>
      <c r="M9" s="2071">
        <v>85.6</v>
      </c>
      <c r="N9" s="3213">
        <v>85</v>
      </c>
      <c r="O9" s="3214">
        <v>85.7</v>
      </c>
      <c r="P9" s="3213">
        <v>84.2</v>
      </c>
      <c r="Q9" s="2071">
        <v>83.8</v>
      </c>
      <c r="R9" s="3213">
        <v>79.8</v>
      </c>
      <c r="S9" s="2071">
        <v>77.8</v>
      </c>
      <c r="T9" s="3213">
        <v>76.599999999999994</v>
      </c>
      <c r="U9" s="2071">
        <v>62</v>
      </c>
      <c r="V9" s="3213">
        <v>60.1</v>
      </c>
      <c r="W9" s="2071">
        <v>61.7</v>
      </c>
      <c r="X9" s="3213">
        <v>66</v>
      </c>
      <c r="Y9" s="2071">
        <v>67</v>
      </c>
      <c r="Z9" s="3213">
        <v>66</v>
      </c>
      <c r="AA9" s="2071">
        <v>65</v>
      </c>
      <c r="AB9" s="3213">
        <v>62</v>
      </c>
      <c r="AC9" s="2071">
        <v>63.1</v>
      </c>
      <c r="AD9" s="3213">
        <v>53.3</v>
      </c>
      <c r="AE9" s="2071">
        <v>57</v>
      </c>
      <c r="AF9" s="3213">
        <v>53</v>
      </c>
      <c r="AG9" s="2071">
        <v>66</v>
      </c>
      <c r="AH9" s="3213">
        <v>67</v>
      </c>
      <c r="AI9" s="2071">
        <v>66</v>
      </c>
      <c r="AJ9" s="3213">
        <v>68</v>
      </c>
      <c r="AK9" s="2071">
        <v>45</v>
      </c>
      <c r="AL9" s="3215">
        <v>46</v>
      </c>
      <c r="AM9" s="2070">
        <v>61</v>
      </c>
      <c r="AN9" s="2070">
        <v>68</v>
      </c>
    </row>
    <row r="10" spans="1:40" ht="14.25" x14ac:dyDescent="0.2">
      <c r="A10" s="782"/>
      <c r="B10" s="782"/>
      <c r="C10" s="782"/>
      <c r="D10" s="1078"/>
      <c r="E10" s="3216">
        <f>+AVERAGE(E9:F9)</f>
        <v>71.5</v>
      </c>
      <c r="F10" s="3216"/>
      <c r="G10" s="3216">
        <f>+AVERAGE(G9:H9)</f>
        <v>70</v>
      </c>
      <c r="H10" s="3216"/>
      <c r="I10" s="3216">
        <f>+AVERAGE(I9:J9)</f>
        <v>71</v>
      </c>
      <c r="J10" s="3216"/>
      <c r="K10" s="3216">
        <f>+AVERAGE(K9:L9)</f>
        <v>76.3</v>
      </c>
      <c r="L10" s="3216"/>
      <c r="M10" s="3216">
        <f>+AVERAGE(M9:N9)</f>
        <v>85.3</v>
      </c>
      <c r="N10" s="3216"/>
      <c r="O10" s="3216">
        <f>+AVERAGE(O9:P9)</f>
        <v>84.95</v>
      </c>
      <c r="P10" s="3216"/>
      <c r="Q10" s="3216">
        <f>+AVERAGE(Q9:R9)</f>
        <v>81.8</v>
      </c>
      <c r="R10" s="3217"/>
      <c r="S10" s="3216">
        <f>+AVERAGE(S9:T9)</f>
        <v>77.199999999999989</v>
      </c>
      <c r="T10" s="3217"/>
      <c r="U10" s="3216">
        <f>+AVERAGE(U9:V9)</f>
        <v>61.05</v>
      </c>
      <c r="V10" s="3217"/>
      <c r="W10" s="3216">
        <f>+AVERAGE(W9:X9)</f>
        <v>63.85</v>
      </c>
      <c r="X10" s="3217"/>
      <c r="Y10" s="3216">
        <f>+AVERAGE(Y9:Z9)</f>
        <v>66.5</v>
      </c>
      <c r="Z10" s="3217"/>
      <c r="AA10" s="3216">
        <f>+AVERAGE(AA9:AB9)</f>
        <v>63.5</v>
      </c>
      <c r="AB10" s="3217"/>
      <c r="AC10" s="3216">
        <f>+AVERAGE(AC9:AD9)</f>
        <v>58.2</v>
      </c>
      <c r="AD10" s="3217"/>
      <c r="AE10" s="3216">
        <f>+AVERAGE(AE9:AF9)</f>
        <v>55</v>
      </c>
      <c r="AF10" s="3217"/>
      <c r="AG10" s="3216">
        <f>+AVERAGE(AG9:AH9)</f>
        <v>66.5</v>
      </c>
      <c r="AH10" s="3216"/>
      <c r="AI10" s="3216">
        <f>+AVERAGE(AI9:AJ9)</f>
        <v>67</v>
      </c>
      <c r="AJ10" s="3216"/>
      <c r="AK10" s="3216">
        <f>+AVERAGE(AK9:AL9)</f>
        <v>45.5</v>
      </c>
      <c r="AL10" s="3216"/>
      <c r="AM10" s="3216">
        <v>65</v>
      </c>
      <c r="AN10" s="3216"/>
    </row>
    <row r="11" spans="1:40" ht="14.25" x14ac:dyDescent="0.2">
      <c r="A11" s="782"/>
      <c r="B11" s="782"/>
      <c r="C11" s="782"/>
      <c r="D11" s="1078"/>
      <c r="E11" s="1078"/>
      <c r="F11" s="1078"/>
      <c r="G11" s="1078"/>
      <c r="H11" s="1078"/>
      <c r="I11" s="1078"/>
      <c r="J11" s="1078"/>
      <c r="K11" s="1078"/>
      <c r="L11" s="1078"/>
      <c r="M11" s="1078"/>
      <c r="N11" s="1078"/>
      <c r="O11" s="1078"/>
      <c r="P11" s="1078"/>
      <c r="Q11" s="1078"/>
    </row>
    <row r="12" spans="1:40" ht="14.25" x14ac:dyDescent="0.2">
      <c r="A12" s="782"/>
      <c r="B12" s="782"/>
      <c r="C12" s="782"/>
      <c r="D12" s="1078"/>
      <c r="E12" s="1078"/>
      <c r="F12" s="1078"/>
      <c r="G12" s="1078"/>
      <c r="H12" s="1078"/>
      <c r="I12" s="1078"/>
      <c r="J12" s="1078"/>
      <c r="K12" s="1078"/>
      <c r="L12" s="1078"/>
      <c r="M12" s="1078"/>
      <c r="N12" s="1078"/>
      <c r="O12" s="1078"/>
      <c r="P12" s="1078"/>
      <c r="Q12" s="1078"/>
    </row>
    <row r="13" spans="1:40" x14ac:dyDescent="0.2">
      <c r="D13" s="1078"/>
      <c r="E13" s="1078"/>
      <c r="F13" s="1078"/>
      <c r="G13" s="1078"/>
      <c r="H13" s="1078"/>
      <c r="I13" s="1078"/>
      <c r="J13" s="1078"/>
      <c r="K13" s="1078"/>
      <c r="L13" s="1078"/>
      <c r="M13" s="1078"/>
      <c r="N13" s="1078"/>
      <c r="O13" s="1078"/>
      <c r="P13" s="1078"/>
      <c r="Q13" s="1078"/>
    </row>
    <row r="14" spans="1:40" x14ac:dyDescent="0.2">
      <c r="D14" s="1078"/>
      <c r="E14" s="1078"/>
      <c r="F14" s="1078"/>
      <c r="G14" s="1078"/>
      <c r="H14" s="1078"/>
      <c r="I14" s="1078"/>
      <c r="J14" s="1078"/>
      <c r="K14" s="1078"/>
      <c r="L14" s="1078"/>
      <c r="M14" s="1078"/>
      <c r="N14" s="1078"/>
      <c r="O14" s="1078"/>
      <c r="P14" s="1078"/>
      <c r="Q14" s="1078"/>
    </row>
    <row r="15" spans="1:40" x14ac:dyDescent="0.2">
      <c r="D15" s="1078"/>
      <c r="E15" s="1078"/>
      <c r="F15" s="1078"/>
      <c r="G15" s="1078"/>
      <c r="H15" s="1078"/>
      <c r="I15" s="1078"/>
      <c r="J15" s="1078"/>
      <c r="K15" s="1078"/>
      <c r="L15" s="1078"/>
      <c r="M15" s="1078"/>
      <c r="N15" s="1078"/>
      <c r="O15" s="1078"/>
      <c r="P15" s="1078"/>
      <c r="Q15" s="1078"/>
      <c r="AM15" s="1079" t="s">
        <v>325</v>
      </c>
    </row>
    <row r="16" spans="1:40" x14ac:dyDescent="0.2">
      <c r="D16" s="1078"/>
      <c r="E16" s="1078"/>
      <c r="F16" s="1078"/>
      <c r="G16" s="1078"/>
      <c r="H16" s="1078"/>
      <c r="I16" s="1078"/>
      <c r="J16" s="1078"/>
      <c r="K16" s="1078"/>
      <c r="L16" s="1078"/>
      <c r="M16" s="1078"/>
      <c r="N16" s="1078"/>
      <c r="O16" s="1078"/>
      <c r="P16" s="1078"/>
      <c r="Q16" s="1078"/>
    </row>
    <row r="17" spans="1:40" x14ac:dyDescent="0.2">
      <c r="D17" s="1078"/>
      <c r="E17" s="1078"/>
      <c r="F17" s="1078"/>
      <c r="G17" s="1078"/>
      <c r="H17" s="1078"/>
      <c r="I17" s="1078"/>
      <c r="J17" s="1078"/>
      <c r="K17" s="1078"/>
      <c r="L17" s="1078"/>
      <c r="M17" s="1078"/>
      <c r="N17" s="1078"/>
      <c r="O17" s="1078"/>
      <c r="P17" s="1078"/>
      <c r="Q17" s="1078"/>
    </row>
    <row r="18" spans="1:40" x14ac:dyDescent="0.2">
      <c r="D18" s="1078"/>
      <c r="E18" s="1078"/>
      <c r="F18" s="1078"/>
      <c r="G18" s="1078"/>
      <c r="H18" s="1078"/>
      <c r="I18" s="1078"/>
      <c r="J18" s="1078"/>
      <c r="K18" s="1078"/>
      <c r="L18" s="1078"/>
      <c r="M18" s="1078"/>
      <c r="N18" s="1078"/>
      <c r="O18" s="1078"/>
      <c r="P18" s="1078"/>
      <c r="Q18" s="1078"/>
    </row>
    <row r="19" spans="1:40" x14ac:dyDescent="0.2">
      <c r="D19" s="1078"/>
      <c r="E19" s="1078"/>
      <c r="F19" s="1078"/>
      <c r="G19" s="1078"/>
      <c r="H19" s="1078"/>
      <c r="I19" s="1078"/>
      <c r="J19" s="1078"/>
      <c r="K19" s="1078"/>
      <c r="L19" s="1078"/>
      <c r="M19" s="1078"/>
      <c r="N19" s="1078"/>
      <c r="O19" s="1078"/>
      <c r="P19" s="1078"/>
      <c r="Q19" s="1078"/>
    </row>
    <row r="20" spans="1:40" x14ac:dyDescent="0.2">
      <c r="D20" s="1078"/>
      <c r="E20" s="1078"/>
      <c r="F20" s="1078"/>
      <c r="G20" s="1078"/>
      <c r="H20" s="1078"/>
      <c r="I20" s="1078"/>
      <c r="J20" s="1078"/>
      <c r="K20" s="1078"/>
      <c r="L20" s="1078"/>
      <c r="M20" s="1078"/>
      <c r="N20" s="1078"/>
      <c r="O20" s="1078"/>
      <c r="P20" s="1078"/>
      <c r="Q20" s="1078"/>
    </row>
    <row r="21" spans="1:40" x14ac:dyDescent="0.2">
      <c r="D21" s="1078"/>
      <c r="E21" s="1078"/>
      <c r="F21" s="1078"/>
      <c r="G21" s="1078"/>
      <c r="H21" s="1078"/>
      <c r="I21" s="1078"/>
      <c r="J21" s="1078"/>
      <c r="K21" s="1078"/>
      <c r="L21" s="1078"/>
      <c r="M21" s="1078"/>
      <c r="N21" s="1078"/>
      <c r="O21" s="1078"/>
      <c r="P21" s="1078"/>
      <c r="Q21" s="1078"/>
    </row>
    <row r="22" spans="1:40" x14ac:dyDescent="0.2">
      <c r="D22" s="1078"/>
      <c r="E22" s="1078"/>
      <c r="F22" s="1078"/>
      <c r="G22" s="1078"/>
      <c r="H22" s="1078"/>
      <c r="I22" s="1078"/>
      <c r="J22" s="1078"/>
      <c r="K22" s="1078"/>
      <c r="L22" s="1078"/>
      <c r="M22" s="1078"/>
      <c r="N22" s="1078"/>
      <c r="O22" s="1078"/>
      <c r="P22" s="1078"/>
      <c r="Q22" s="1078"/>
    </row>
    <row r="23" spans="1:40" x14ac:dyDescent="0.2">
      <c r="D23" s="1078"/>
      <c r="E23" s="1078"/>
      <c r="F23" s="1078"/>
      <c r="G23" s="1078"/>
      <c r="H23" s="1078"/>
      <c r="I23" s="1078"/>
      <c r="J23" s="1078"/>
      <c r="K23" s="1078"/>
      <c r="L23" s="1078"/>
      <c r="M23" s="1078"/>
      <c r="N23" s="1078"/>
      <c r="O23" s="1078"/>
      <c r="P23" s="1078"/>
      <c r="Q23" s="1078"/>
    </row>
    <row r="24" spans="1:40" x14ac:dyDescent="0.2">
      <c r="D24" s="1078"/>
      <c r="E24" s="1078"/>
      <c r="F24" s="1078"/>
      <c r="G24" s="1078"/>
      <c r="H24" s="1078"/>
      <c r="I24" s="1078"/>
      <c r="J24" s="1078"/>
      <c r="K24" s="1078"/>
      <c r="L24" s="1078"/>
      <c r="M24" s="1078"/>
      <c r="N24" s="1078"/>
      <c r="O24" s="1078"/>
      <c r="P24" s="1078"/>
      <c r="Q24" s="1078"/>
    </row>
    <row r="25" spans="1:40" x14ac:dyDescent="0.2">
      <c r="D25" s="1078"/>
      <c r="E25" s="1078"/>
      <c r="F25" s="1078"/>
      <c r="G25" s="1078"/>
      <c r="H25" s="1078"/>
      <c r="I25" s="1078"/>
      <c r="J25" s="1078"/>
      <c r="K25" s="1078"/>
      <c r="L25" s="1078"/>
      <c r="M25" s="1078"/>
      <c r="N25" s="1078"/>
      <c r="O25" s="1078"/>
      <c r="P25" s="1078"/>
      <c r="Q25" s="1078"/>
    </row>
    <row r="26" spans="1:40" x14ac:dyDescent="0.2">
      <c r="D26" s="1078"/>
      <c r="E26" s="1078"/>
      <c r="F26" s="1078"/>
      <c r="G26" s="1078"/>
      <c r="H26" s="1078"/>
      <c r="I26" s="1078"/>
      <c r="J26" s="1078"/>
      <c r="K26" s="1078"/>
      <c r="L26" s="1078"/>
      <c r="M26" s="1078"/>
      <c r="N26" s="1078"/>
      <c r="O26" s="1078"/>
      <c r="P26" s="1078"/>
      <c r="Q26" s="1078"/>
    </row>
    <row r="27" spans="1:40" x14ac:dyDescent="0.2">
      <c r="D27" s="1078"/>
      <c r="E27" s="1078"/>
      <c r="F27" s="1078"/>
      <c r="G27" s="1078"/>
      <c r="H27" s="1078"/>
      <c r="I27" s="1078"/>
      <c r="J27" s="1078"/>
      <c r="K27" s="1078"/>
      <c r="L27" s="1078"/>
      <c r="M27" s="1078"/>
      <c r="N27" s="1078"/>
      <c r="O27" s="1078"/>
      <c r="P27" s="1078"/>
      <c r="Q27" s="1078"/>
    </row>
    <row r="28" spans="1:40" x14ac:dyDescent="0.2">
      <c r="D28" s="1078"/>
      <c r="E28" s="1078"/>
      <c r="F28" s="1078"/>
      <c r="G28" s="1078"/>
      <c r="H28" s="1078"/>
      <c r="I28" s="1078"/>
      <c r="J28" s="1078"/>
      <c r="K28" s="1078"/>
      <c r="L28" s="1078"/>
      <c r="M28" s="1078"/>
      <c r="N28" s="1078"/>
      <c r="O28" s="1078"/>
      <c r="P28" s="1078"/>
      <c r="Q28" s="1078"/>
    </row>
    <row r="29" spans="1:40" x14ac:dyDescent="0.2">
      <c r="D29" s="1078"/>
      <c r="E29" s="1078"/>
      <c r="F29" s="1078"/>
      <c r="G29" s="1078"/>
      <c r="H29" s="1078"/>
      <c r="I29" s="1078"/>
      <c r="J29" s="1078"/>
      <c r="K29" s="1078"/>
      <c r="L29" s="1078"/>
      <c r="M29" s="1078"/>
      <c r="N29" s="1078"/>
      <c r="O29" s="1078"/>
      <c r="P29" s="1078"/>
      <c r="Q29" s="1078"/>
    </row>
    <row r="30" spans="1:40" x14ac:dyDescent="0.2">
      <c r="D30" s="1078"/>
      <c r="E30" s="1078"/>
      <c r="F30" s="1078"/>
      <c r="G30" s="1078"/>
      <c r="H30" s="1078"/>
      <c r="I30" s="1078"/>
      <c r="J30" s="1078"/>
      <c r="K30" s="1078"/>
      <c r="L30" s="1078"/>
      <c r="M30" s="1078"/>
      <c r="N30" s="1078"/>
      <c r="O30" s="1078"/>
      <c r="P30" s="1078"/>
      <c r="Q30" s="1078"/>
    </row>
    <row r="31" spans="1:40" x14ac:dyDescent="0.2">
      <c r="D31" s="1078"/>
      <c r="E31" s="1078"/>
      <c r="F31" s="1078"/>
      <c r="G31" s="1078"/>
      <c r="H31" s="1078"/>
      <c r="I31" s="1078"/>
      <c r="J31" s="1078"/>
      <c r="K31" s="1078"/>
      <c r="L31" s="1078"/>
      <c r="M31" s="1078"/>
      <c r="N31" s="1078"/>
      <c r="O31" s="1078"/>
      <c r="P31" s="1078"/>
      <c r="Q31" s="1078"/>
    </row>
    <row r="32" spans="1:40" ht="15" customHeight="1" x14ac:dyDescent="0.2">
      <c r="A32" s="782">
        <v>6</v>
      </c>
      <c r="B32" s="782" t="s">
        <v>29</v>
      </c>
      <c r="C32" s="782"/>
      <c r="D32" s="4048" t="s">
        <v>392</v>
      </c>
      <c r="E32" s="4049"/>
      <c r="F32" s="4049"/>
      <c r="G32" s="4049"/>
      <c r="H32" s="4049"/>
      <c r="I32" s="4049"/>
      <c r="J32" s="4049"/>
      <c r="K32" s="4049"/>
      <c r="L32" s="4049"/>
      <c r="M32" s="4049"/>
      <c r="N32" s="4049"/>
      <c r="O32" s="4049"/>
      <c r="P32" s="4049"/>
      <c r="Q32" s="4049"/>
      <c r="R32" s="4049"/>
      <c r="S32" s="4049"/>
      <c r="T32" s="4049"/>
      <c r="U32" s="4049"/>
      <c r="V32" s="4049"/>
      <c r="W32" s="4049"/>
      <c r="X32" s="4049"/>
      <c r="Y32" s="4049"/>
      <c r="Z32" s="4049"/>
      <c r="AA32" s="4049"/>
      <c r="AB32" s="4049"/>
      <c r="AC32" s="4049"/>
      <c r="AD32" s="4049"/>
      <c r="AE32" s="4049"/>
      <c r="AF32" s="4049"/>
      <c r="AG32" s="4049"/>
      <c r="AH32" s="4049"/>
      <c r="AI32" s="4049"/>
      <c r="AJ32" s="4049"/>
      <c r="AK32" s="4049"/>
      <c r="AL32" s="4050"/>
      <c r="AM32" s="367"/>
      <c r="AN32" s="367"/>
    </row>
    <row r="33" spans="1:59" ht="14.25" customHeight="1" x14ac:dyDescent="0.2">
      <c r="A33" s="818">
        <v>7</v>
      </c>
      <c r="B33" s="818" t="s">
        <v>32</v>
      </c>
      <c r="C33" s="818"/>
      <c r="D33" s="4048" t="s">
        <v>1361</v>
      </c>
      <c r="E33" s="4049"/>
      <c r="F33" s="4049"/>
      <c r="G33" s="4049"/>
      <c r="H33" s="4049"/>
      <c r="I33" s="4049"/>
      <c r="J33" s="4049"/>
      <c r="K33" s="4049"/>
      <c r="L33" s="4049"/>
      <c r="M33" s="4049"/>
      <c r="N33" s="4049"/>
      <c r="O33" s="4049"/>
      <c r="P33" s="4049"/>
      <c r="Q33" s="4049"/>
      <c r="R33" s="4049"/>
      <c r="S33" s="4049"/>
      <c r="T33" s="4049"/>
      <c r="U33" s="4049"/>
      <c r="V33" s="4049"/>
      <c r="W33" s="4049"/>
      <c r="X33" s="4049"/>
      <c r="Y33" s="4049"/>
      <c r="Z33" s="4049"/>
      <c r="AA33" s="4049"/>
      <c r="AB33" s="4049"/>
      <c r="AC33" s="4049"/>
      <c r="AD33" s="4049"/>
      <c r="AE33" s="4049"/>
      <c r="AF33" s="4049"/>
      <c r="AG33" s="4049"/>
      <c r="AH33" s="4049"/>
      <c r="AI33" s="4049"/>
      <c r="AJ33" s="4049"/>
      <c r="AK33" s="4049"/>
      <c r="AL33" s="4050"/>
      <c r="AM33" s="367"/>
      <c r="AN33" s="367"/>
    </row>
    <row r="34" spans="1:59" ht="21" customHeight="1" x14ac:dyDescent="0.2">
      <c r="A34" s="782">
        <v>8</v>
      </c>
      <c r="B34" s="782" t="s">
        <v>31</v>
      </c>
      <c r="C34" s="782"/>
      <c r="D34" s="4048" t="s">
        <v>1362</v>
      </c>
      <c r="E34" s="4049"/>
      <c r="F34" s="4049"/>
      <c r="G34" s="4049"/>
      <c r="H34" s="4049"/>
      <c r="I34" s="4049"/>
      <c r="J34" s="4049"/>
      <c r="K34" s="4049"/>
      <c r="L34" s="4049"/>
      <c r="M34" s="4049"/>
      <c r="N34" s="4049"/>
      <c r="O34" s="4049"/>
      <c r="P34" s="4049"/>
      <c r="Q34" s="4049"/>
      <c r="R34" s="4049"/>
      <c r="S34" s="4049"/>
      <c r="T34" s="4049"/>
      <c r="U34" s="4049"/>
      <c r="V34" s="4049"/>
      <c r="W34" s="4049"/>
      <c r="X34" s="4049"/>
      <c r="Y34" s="4049"/>
      <c r="Z34" s="4049"/>
      <c r="AA34" s="4049"/>
      <c r="AB34" s="4049"/>
      <c r="AC34" s="4049"/>
      <c r="AD34" s="4049"/>
      <c r="AE34" s="4049"/>
      <c r="AF34" s="4049"/>
      <c r="AG34" s="4049"/>
      <c r="AH34" s="4049"/>
      <c r="AI34" s="4049"/>
      <c r="AJ34" s="4049"/>
      <c r="AK34" s="4049"/>
      <c r="AL34" s="4050"/>
      <c r="AM34" s="367"/>
      <c r="AN34" s="367"/>
    </row>
    <row r="35" spans="1:59" ht="46.5" customHeight="1" x14ac:dyDescent="0.2">
      <c r="A35" s="782">
        <v>9</v>
      </c>
      <c r="B35" s="782" t="s">
        <v>34</v>
      </c>
      <c r="D35" s="4048" t="s">
        <v>1363</v>
      </c>
      <c r="E35" s="4049"/>
      <c r="F35" s="4049"/>
      <c r="G35" s="4049"/>
      <c r="H35" s="4049"/>
      <c r="I35" s="4049"/>
      <c r="J35" s="4049"/>
      <c r="K35" s="4049"/>
      <c r="L35" s="4049"/>
      <c r="M35" s="4049"/>
      <c r="N35" s="4049"/>
      <c r="O35" s="4049"/>
      <c r="P35" s="4049"/>
      <c r="Q35" s="4049"/>
      <c r="R35" s="4049"/>
      <c r="S35" s="4049"/>
      <c r="T35" s="4049"/>
      <c r="U35" s="4049"/>
      <c r="V35" s="4049"/>
      <c r="W35" s="4049"/>
      <c r="X35" s="4049"/>
      <c r="Y35" s="4049"/>
      <c r="Z35" s="4049"/>
      <c r="AA35" s="4049"/>
      <c r="AB35" s="4049"/>
      <c r="AC35" s="4049"/>
      <c r="AD35" s="4049"/>
      <c r="AE35" s="4049"/>
      <c r="AF35" s="4049"/>
      <c r="AG35" s="4049"/>
      <c r="AH35" s="4049"/>
      <c r="AI35" s="4049"/>
      <c r="AJ35" s="4049"/>
      <c r="AK35" s="4049"/>
      <c r="AL35" s="4050"/>
      <c r="AM35" s="367"/>
      <c r="AN35" s="367"/>
    </row>
    <row r="36" spans="1:59" ht="73.900000000000006" customHeight="1" x14ac:dyDescent="0.2"/>
    <row r="37" spans="1:59" hidden="1" x14ac:dyDescent="0.2">
      <c r="E37" s="1079">
        <v>2000</v>
      </c>
      <c r="F37" s="1079">
        <v>2001</v>
      </c>
      <c r="G37" s="1079">
        <v>2002</v>
      </c>
      <c r="H37" s="1079">
        <v>2003</v>
      </c>
      <c r="I37" s="1079">
        <v>2004</v>
      </c>
      <c r="J37" s="1079">
        <v>2005</v>
      </c>
      <c r="K37" s="1079">
        <v>2006</v>
      </c>
      <c r="L37" s="1079">
        <v>2007</v>
      </c>
      <c r="M37" s="1079">
        <v>2008</v>
      </c>
      <c r="N37" s="1079">
        <v>2009</v>
      </c>
      <c r="O37" s="1079">
        <v>2010</v>
      </c>
      <c r="P37" s="1079">
        <v>2011</v>
      </c>
      <c r="Q37" s="1079">
        <v>2012</v>
      </c>
    </row>
    <row r="38" spans="1:59" hidden="1" x14ac:dyDescent="0.2">
      <c r="E38" s="1079">
        <v>72</v>
      </c>
      <c r="F38" s="1079">
        <v>70</v>
      </c>
      <c r="G38" s="1079">
        <v>71</v>
      </c>
      <c r="H38" s="1079">
        <v>76</v>
      </c>
      <c r="I38" s="1079">
        <v>85</v>
      </c>
      <c r="J38" s="1079">
        <v>85</v>
      </c>
      <c r="K38" s="1079">
        <v>82</v>
      </c>
      <c r="L38" s="1079">
        <v>77</v>
      </c>
      <c r="M38" s="1079">
        <v>61</v>
      </c>
      <c r="N38" s="1079">
        <v>64</v>
      </c>
      <c r="O38" s="1079">
        <v>67</v>
      </c>
      <c r="P38" s="1079">
        <v>64</v>
      </c>
      <c r="Q38" s="1079">
        <v>58</v>
      </c>
    </row>
    <row r="41" spans="1:59" x14ac:dyDescent="0.2">
      <c r="AO41" s="3218"/>
      <c r="AP41" s="3218">
        <v>2000</v>
      </c>
      <c r="AQ41" s="3218">
        <v>2001</v>
      </c>
      <c r="AR41" s="3218">
        <v>2002</v>
      </c>
      <c r="AS41" s="3218">
        <v>2003</v>
      </c>
      <c r="AT41" s="3218">
        <v>2004</v>
      </c>
      <c r="AU41" s="3218">
        <v>2005</v>
      </c>
      <c r="AV41" s="3218">
        <v>2006</v>
      </c>
      <c r="AW41" s="3218">
        <v>2007</v>
      </c>
      <c r="AX41" s="3218">
        <v>2008</v>
      </c>
      <c r="AY41" s="3218">
        <v>2009</v>
      </c>
      <c r="AZ41" s="3218">
        <v>2010</v>
      </c>
      <c r="BA41" s="3218">
        <v>2011</v>
      </c>
      <c r="BB41" s="3218">
        <v>2012</v>
      </c>
      <c r="BC41" s="3218">
        <v>2013</v>
      </c>
      <c r="BD41" s="3218">
        <v>2014</v>
      </c>
      <c r="BE41" s="3218">
        <v>2015</v>
      </c>
      <c r="BF41" s="3218">
        <v>2016</v>
      </c>
      <c r="BG41" s="3218" t="s">
        <v>333</v>
      </c>
    </row>
    <row r="42" spans="1:59" ht="45" x14ac:dyDescent="0.2">
      <c r="AO42" s="3219" t="s">
        <v>1355</v>
      </c>
      <c r="AP42" s="3218">
        <v>72</v>
      </c>
      <c r="AQ42" s="3218">
        <v>70</v>
      </c>
      <c r="AR42" s="3218">
        <v>71</v>
      </c>
      <c r="AS42" s="3218">
        <v>76</v>
      </c>
      <c r="AT42" s="3218">
        <v>85</v>
      </c>
      <c r="AU42" s="3218">
        <v>85</v>
      </c>
      <c r="AV42" s="3218">
        <v>82</v>
      </c>
      <c r="AW42" s="3218">
        <v>77</v>
      </c>
      <c r="AX42" s="3218">
        <v>61</v>
      </c>
      <c r="AY42" s="3218">
        <v>64</v>
      </c>
      <c r="AZ42" s="3218">
        <v>67</v>
      </c>
      <c r="BA42" s="3218">
        <v>64</v>
      </c>
      <c r="BB42" s="3218">
        <v>58</v>
      </c>
      <c r="BC42" s="3218">
        <v>55</v>
      </c>
      <c r="BD42" s="3218">
        <v>67</v>
      </c>
      <c r="BE42" s="3218">
        <v>67</v>
      </c>
      <c r="BF42" s="3218">
        <v>60</v>
      </c>
      <c r="BG42" s="3218">
        <v>65</v>
      </c>
    </row>
  </sheetData>
  <mergeCells count="25">
    <mergeCell ref="D2:AN2"/>
    <mergeCell ref="D3:AN3"/>
    <mergeCell ref="D4:AN4"/>
    <mergeCell ref="AM7:AN7"/>
    <mergeCell ref="Q7:R7"/>
    <mergeCell ref="S7:T7"/>
    <mergeCell ref="U7:V7"/>
    <mergeCell ref="W7:X7"/>
    <mergeCell ref="Y7:Z7"/>
    <mergeCell ref="AA7:AB7"/>
    <mergeCell ref="D32:AL32"/>
    <mergeCell ref="D33:AL33"/>
    <mergeCell ref="D34:AL34"/>
    <mergeCell ref="D35:AL35"/>
    <mergeCell ref="AC7:AD7"/>
    <mergeCell ref="AE7:AF7"/>
    <mergeCell ref="AG7:AH7"/>
    <mergeCell ref="AI7:AJ7"/>
    <mergeCell ref="AK7:AL7"/>
    <mergeCell ref="E7:F7"/>
    <mergeCell ref="G7:H7"/>
    <mergeCell ref="I7:J7"/>
    <mergeCell ref="K7:L7"/>
    <mergeCell ref="M7:N7"/>
    <mergeCell ref="O7:P7"/>
  </mergeCells>
  <pageMargins left="0.74803149606299213" right="0.74803149606299213" top="0.98425196850393704" bottom="0.98425196850393704" header="0.51181102362204722" footer="0.51181102362204722"/>
  <pageSetup paperSize="9" scale="4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62"/>
  <sheetViews>
    <sheetView showGridLines="0" view="pageBreakPreview" zoomScaleNormal="100" zoomScaleSheetLayoutView="100" workbookViewId="0">
      <selection activeCell="D5" sqref="D5:V5"/>
    </sheetView>
  </sheetViews>
  <sheetFormatPr defaultColWidth="9.140625" defaultRowHeight="15" x14ac:dyDescent="0.25"/>
  <cols>
    <col min="1" max="1" width="3.7109375" style="899" customWidth="1"/>
    <col min="2" max="2" width="14.42578125" style="899" customWidth="1"/>
    <col min="3" max="3" width="3.7109375" style="899" customWidth="1"/>
    <col min="4" max="4" width="18.7109375" style="267" customWidth="1"/>
    <col min="5" max="21" width="6.7109375" style="267" customWidth="1"/>
    <col min="22" max="22" width="7" style="267" customWidth="1"/>
    <col min="23" max="24" width="6.7109375" style="267" customWidth="1"/>
    <col min="25" max="29" width="6.28515625" style="267" customWidth="1"/>
    <col min="30" max="30" width="5.140625" style="267" customWidth="1"/>
    <col min="31" max="33" width="6.28515625" style="267" customWidth="1"/>
    <col min="34" max="34" width="5.140625" style="267" customWidth="1"/>
    <col min="35" max="35" width="6.28515625" style="267" customWidth="1"/>
    <col min="36" max="36" width="5.140625" style="267" customWidth="1"/>
    <col min="37" max="37" width="15.85546875" style="267" bestFit="1" customWidth="1"/>
    <col min="38" max="262" width="9.140625" style="267"/>
    <col min="263" max="263" width="3.7109375" style="267" customWidth="1"/>
    <col min="264" max="264" width="14.42578125" style="267" customWidth="1"/>
    <col min="265" max="265" width="3.7109375" style="267" customWidth="1"/>
    <col min="266" max="266" width="18.7109375" style="267" customWidth="1"/>
    <col min="267" max="286" width="6.7109375" style="267" customWidth="1"/>
    <col min="287" max="289" width="6.28515625" style="267" customWidth="1"/>
    <col min="290" max="518" width="9.140625" style="267"/>
    <col min="519" max="519" width="3.7109375" style="267" customWidth="1"/>
    <col min="520" max="520" width="14.42578125" style="267" customWidth="1"/>
    <col min="521" max="521" width="3.7109375" style="267" customWidth="1"/>
    <col min="522" max="522" width="18.7109375" style="267" customWidth="1"/>
    <col min="523" max="542" width="6.7109375" style="267" customWidth="1"/>
    <col min="543" max="545" width="6.28515625" style="267" customWidth="1"/>
    <col min="546" max="774" width="9.140625" style="267"/>
    <col min="775" max="775" width="3.7109375" style="267" customWidth="1"/>
    <col min="776" max="776" width="14.42578125" style="267" customWidth="1"/>
    <col min="777" max="777" width="3.7109375" style="267" customWidth="1"/>
    <col min="778" max="778" width="18.7109375" style="267" customWidth="1"/>
    <col min="779" max="798" width="6.7109375" style="267" customWidth="1"/>
    <col min="799" max="801" width="6.28515625" style="267" customWidth="1"/>
    <col min="802" max="1030" width="9.140625" style="267"/>
    <col min="1031" max="1031" width="3.7109375" style="267" customWidth="1"/>
    <col min="1032" max="1032" width="14.42578125" style="267" customWidth="1"/>
    <col min="1033" max="1033" width="3.7109375" style="267" customWidth="1"/>
    <col min="1034" max="1034" width="18.7109375" style="267" customWidth="1"/>
    <col min="1035" max="1054" width="6.7109375" style="267" customWidth="1"/>
    <col min="1055" max="1057" width="6.28515625" style="267" customWidth="1"/>
    <col min="1058" max="1286" width="9.140625" style="267"/>
    <col min="1287" max="1287" width="3.7109375" style="267" customWidth="1"/>
    <col min="1288" max="1288" width="14.42578125" style="267" customWidth="1"/>
    <col min="1289" max="1289" width="3.7109375" style="267" customWidth="1"/>
    <col min="1290" max="1290" width="18.7109375" style="267" customWidth="1"/>
    <col min="1291" max="1310" width="6.7109375" style="267" customWidth="1"/>
    <col min="1311" max="1313" width="6.28515625" style="267" customWidth="1"/>
    <col min="1314" max="1542" width="9.140625" style="267"/>
    <col min="1543" max="1543" width="3.7109375" style="267" customWidth="1"/>
    <col min="1544" max="1544" width="14.42578125" style="267" customWidth="1"/>
    <col min="1545" max="1545" width="3.7109375" style="267" customWidth="1"/>
    <col min="1546" max="1546" width="18.7109375" style="267" customWidth="1"/>
    <col min="1547" max="1566" width="6.7109375" style="267" customWidth="1"/>
    <col min="1567" max="1569" width="6.28515625" style="267" customWidth="1"/>
    <col min="1570" max="1798" width="9.140625" style="267"/>
    <col min="1799" max="1799" width="3.7109375" style="267" customWidth="1"/>
    <col min="1800" max="1800" width="14.42578125" style="267" customWidth="1"/>
    <col min="1801" max="1801" width="3.7109375" style="267" customWidth="1"/>
    <col min="1802" max="1802" width="18.7109375" style="267" customWidth="1"/>
    <col min="1803" max="1822" width="6.7109375" style="267" customWidth="1"/>
    <col min="1823" max="1825" width="6.28515625" style="267" customWidth="1"/>
    <col min="1826" max="2054" width="9.140625" style="267"/>
    <col min="2055" max="2055" width="3.7109375" style="267" customWidth="1"/>
    <col min="2056" max="2056" width="14.42578125" style="267" customWidth="1"/>
    <col min="2057" max="2057" width="3.7109375" style="267" customWidth="1"/>
    <col min="2058" max="2058" width="18.7109375" style="267" customWidth="1"/>
    <col min="2059" max="2078" width="6.7109375" style="267" customWidth="1"/>
    <col min="2079" max="2081" width="6.28515625" style="267" customWidth="1"/>
    <col min="2082" max="2310" width="9.140625" style="267"/>
    <col min="2311" max="2311" width="3.7109375" style="267" customWidth="1"/>
    <col min="2312" max="2312" width="14.42578125" style="267" customWidth="1"/>
    <col min="2313" max="2313" width="3.7109375" style="267" customWidth="1"/>
    <col min="2314" max="2314" width="18.7109375" style="267" customWidth="1"/>
    <col min="2315" max="2334" width="6.7109375" style="267" customWidth="1"/>
    <col min="2335" max="2337" width="6.28515625" style="267" customWidth="1"/>
    <col min="2338" max="2566" width="9.140625" style="267"/>
    <col min="2567" max="2567" width="3.7109375" style="267" customWidth="1"/>
    <col min="2568" max="2568" width="14.42578125" style="267" customWidth="1"/>
    <col min="2569" max="2569" width="3.7109375" style="267" customWidth="1"/>
    <col min="2570" max="2570" width="18.7109375" style="267" customWidth="1"/>
    <col min="2571" max="2590" width="6.7109375" style="267" customWidth="1"/>
    <col min="2591" max="2593" width="6.28515625" style="267" customWidth="1"/>
    <col min="2594" max="2822" width="9.140625" style="267"/>
    <col min="2823" max="2823" width="3.7109375" style="267" customWidth="1"/>
    <col min="2824" max="2824" width="14.42578125" style="267" customWidth="1"/>
    <col min="2825" max="2825" width="3.7109375" style="267" customWidth="1"/>
    <col min="2826" max="2826" width="18.7109375" style="267" customWidth="1"/>
    <col min="2827" max="2846" width="6.7109375" style="267" customWidth="1"/>
    <col min="2847" max="2849" width="6.28515625" style="267" customWidth="1"/>
    <col min="2850" max="3078" width="9.140625" style="267"/>
    <col min="3079" max="3079" width="3.7109375" style="267" customWidth="1"/>
    <col min="3080" max="3080" width="14.42578125" style="267" customWidth="1"/>
    <col min="3081" max="3081" width="3.7109375" style="267" customWidth="1"/>
    <col min="3082" max="3082" width="18.7109375" style="267" customWidth="1"/>
    <col min="3083" max="3102" width="6.7109375" style="267" customWidth="1"/>
    <col min="3103" max="3105" width="6.28515625" style="267" customWidth="1"/>
    <col min="3106" max="3334" width="9.140625" style="267"/>
    <col min="3335" max="3335" width="3.7109375" style="267" customWidth="1"/>
    <col min="3336" max="3336" width="14.42578125" style="267" customWidth="1"/>
    <col min="3337" max="3337" width="3.7109375" style="267" customWidth="1"/>
    <col min="3338" max="3338" width="18.7109375" style="267" customWidth="1"/>
    <col min="3339" max="3358" width="6.7109375" style="267" customWidth="1"/>
    <col min="3359" max="3361" width="6.28515625" style="267" customWidth="1"/>
    <col min="3362" max="3590" width="9.140625" style="267"/>
    <col min="3591" max="3591" width="3.7109375" style="267" customWidth="1"/>
    <col min="3592" max="3592" width="14.42578125" style="267" customWidth="1"/>
    <col min="3593" max="3593" width="3.7109375" style="267" customWidth="1"/>
    <col min="3594" max="3594" width="18.7109375" style="267" customWidth="1"/>
    <col min="3595" max="3614" width="6.7109375" style="267" customWidth="1"/>
    <col min="3615" max="3617" width="6.28515625" style="267" customWidth="1"/>
    <col min="3618" max="3846" width="9.140625" style="267"/>
    <col min="3847" max="3847" width="3.7109375" style="267" customWidth="1"/>
    <col min="3848" max="3848" width="14.42578125" style="267" customWidth="1"/>
    <col min="3849" max="3849" width="3.7109375" style="267" customWidth="1"/>
    <col min="3850" max="3850" width="18.7109375" style="267" customWidth="1"/>
    <col min="3851" max="3870" width="6.7109375" style="267" customWidth="1"/>
    <col min="3871" max="3873" width="6.28515625" style="267" customWidth="1"/>
    <col min="3874" max="4102" width="9.140625" style="267"/>
    <col min="4103" max="4103" width="3.7109375" style="267" customWidth="1"/>
    <col min="4104" max="4104" width="14.42578125" style="267" customWidth="1"/>
    <col min="4105" max="4105" width="3.7109375" style="267" customWidth="1"/>
    <col min="4106" max="4106" width="18.7109375" style="267" customWidth="1"/>
    <col min="4107" max="4126" width="6.7109375" style="267" customWidth="1"/>
    <col min="4127" max="4129" width="6.28515625" style="267" customWidth="1"/>
    <col min="4130" max="4358" width="9.140625" style="267"/>
    <col min="4359" max="4359" width="3.7109375" style="267" customWidth="1"/>
    <col min="4360" max="4360" width="14.42578125" style="267" customWidth="1"/>
    <col min="4361" max="4361" width="3.7109375" style="267" customWidth="1"/>
    <col min="4362" max="4362" width="18.7109375" style="267" customWidth="1"/>
    <col min="4363" max="4382" width="6.7109375" style="267" customWidth="1"/>
    <col min="4383" max="4385" width="6.28515625" style="267" customWidth="1"/>
    <col min="4386" max="4614" width="9.140625" style="267"/>
    <col min="4615" max="4615" width="3.7109375" style="267" customWidth="1"/>
    <col min="4616" max="4616" width="14.42578125" style="267" customWidth="1"/>
    <col min="4617" max="4617" width="3.7109375" style="267" customWidth="1"/>
    <col min="4618" max="4618" width="18.7109375" style="267" customWidth="1"/>
    <col min="4619" max="4638" width="6.7109375" style="267" customWidth="1"/>
    <col min="4639" max="4641" width="6.28515625" style="267" customWidth="1"/>
    <col min="4642" max="4870" width="9.140625" style="267"/>
    <col min="4871" max="4871" width="3.7109375" style="267" customWidth="1"/>
    <col min="4872" max="4872" width="14.42578125" style="267" customWidth="1"/>
    <col min="4873" max="4873" width="3.7109375" style="267" customWidth="1"/>
    <col min="4874" max="4874" width="18.7109375" style="267" customWidth="1"/>
    <col min="4875" max="4894" width="6.7109375" style="267" customWidth="1"/>
    <col min="4895" max="4897" width="6.28515625" style="267" customWidth="1"/>
    <col min="4898" max="5126" width="9.140625" style="267"/>
    <col min="5127" max="5127" width="3.7109375" style="267" customWidth="1"/>
    <col min="5128" max="5128" width="14.42578125" style="267" customWidth="1"/>
    <col min="5129" max="5129" width="3.7109375" style="267" customWidth="1"/>
    <col min="5130" max="5130" width="18.7109375" style="267" customWidth="1"/>
    <col min="5131" max="5150" width="6.7109375" style="267" customWidth="1"/>
    <col min="5151" max="5153" width="6.28515625" style="267" customWidth="1"/>
    <col min="5154" max="5382" width="9.140625" style="267"/>
    <col min="5383" max="5383" width="3.7109375" style="267" customWidth="1"/>
    <col min="5384" max="5384" width="14.42578125" style="267" customWidth="1"/>
    <col min="5385" max="5385" width="3.7109375" style="267" customWidth="1"/>
    <col min="5386" max="5386" width="18.7109375" style="267" customWidth="1"/>
    <col min="5387" max="5406" width="6.7109375" style="267" customWidth="1"/>
    <col min="5407" max="5409" width="6.28515625" style="267" customWidth="1"/>
    <col min="5410" max="5638" width="9.140625" style="267"/>
    <col min="5639" max="5639" width="3.7109375" style="267" customWidth="1"/>
    <col min="5640" max="5640" width="14.42578125" style="267" customWidth="1"/>
    <col min="5641" max="5641" width="3.7109375" style="267" customWidth="1"/>
    <col min="5642" max="5642" width="18.7109375" style="267" customWidth="1"/>
    <col min="5643" max="5662" width="6.7109375" style="267" customWidth="1"/>
    <col min="5663" max="5665" width="6.28515625" style="267" customWidth="1"/>
    <col min="5666" max="5894" width="9.140625" style="267"/>
    <col min="5895" max="5895" width="3.7109375" style="267" customWidth="1"/>
    <col min="5896" max="5896" width="14.42578125" style="267" customWidth="1"/>
    <col min="5897" max="5897" width="3.7109375" style="267" customWidth="1"/>
    <col min="5898" max="5898" width="18.7109375" style="267" customWidth="1"/>
    <col min="5899" max="5918" width="6.7109375" style="267" customWidth="1"/>
    <col min="5919" max="5921" width="6.28515625" style="267" customWidth="1"/>
    <col min="5922" max="6150" width="9.140625" style="267"/>
    <col min="6151" max="6151" width="3.7109375" style="267" customWidth="1"/>
    <col min="6152" max="6152" width="14.42578125" style="267" customWidth="1"/>
    <col min="6153" max="6153" width="3.7109375" style="267" customWidth="1"/>
    <col min="6154" max="6154" width="18.7109375" style="267" customWidth="1"/>
    <col min="6155" max="6174" width="6.7109375" style="267" customWidth="1"/>
    <col min="6175" max="6177" width="6.28515625" style="267" customWidth="1"/>
    <col min="6178" max="6406" width="9.140625" style="267"/>
    <col min="6407" max="6407" width="3.7109375" style="267" customWidth="1"/>
    <col min="6408" max="6408" width="14.42578125" style="267" customWidth="1"/>
    <col min="6409" max="6409" width="3.7109375" style="267" customWidth="1"/>
    <col min="6410" max="6410" width="18.7109375" style="267" customWidth="1"/>
    <col min="6411" max="6430" width="6.7109375" style="267" customWidth="1"/>
    <col min="6431" max="6433" width="6.28515625" style="267" customWidth="1"/>
    <col min="6434" max="6662" width="9.140625" style="267"/>
    <col min="6663" max="6663" width="3.7109375" style="267" customWidth="1"/>
    <col min="6664" max="6664" width="14.42578125" style="267" customWidth="1"/>
    <col min="6665" max="6665" width="3.7109375" style="267" customWidth="1"/>
    <col min="6666" max="6666" width="18.7109375" style="267" customWidth="1"/>
    <col min="6667" max="6686" width="6.7109375" style="267" customWidth="1"/>
    <col min="6687" max="6689" width="6.28515625" style="267" customWidth="1"/>
    <col min="6690" max="6918" width="9.140625" style="267"/>
    <col min="6919" max="6919" width="3.7109375" style="267" customWidth="1"/>
    <col min="6920" max="6920" width="14.42578125" style="267" customWidth="1"/>
    <col min="6921" max="6921" width="3.7109375" style="267" customWidth="1"/>
    <col min="6922" max="6922" width="18.7109375" style="267" customWidth="1"/>
    <col min="6923" max="6942" width="6.7109375" style="267" customWidth="1"/>
    <col min="6943" max="6945" width="6.28515625" style="267" customWidth="1"/>
    <col min="6946" max="7174" width="9.140625" style="267"/>
    <col min="7175" max="7175" width="3.7109375" style="267" customWidth="1"/>
    <col min="7176" max="7176" width="14.42578125" style="267" customWidth="1"/>
    <col min="7177" max="7177" width="3.7109375" style="267" customWidth="1"/>
    <col min="7178" max="7178" width="18.7109375" style="267" customWidth="1"/>
    <col min="7179" max="7198" width="6.7109375" style="267" customWidth="1"/>
    <col min="7199" max="7201" width="6.28515625" style="267" customWidth="1"/>
    <col min="7202" max="7430" width="9.140625" style="267"/>
    <col min="7431" max="7431" width="3.7109375" style="267" customWidth="1"/>
    <col min="7432" max="7432" width="14.42578125" style="267" customWidth="1"/>
    <col min="7433" max="7433" width="3.7109375" style="267" customWidth="1"/>
    <col min="7434" max="7434" width="18.7109375" style="267" customWidth="1"/>
    <col min="7435" max="7454" width="6.7109375" style="267" customWidth="1"/>
    <col min="7455" max="7457" width="6.28515625" style="267" customWidth="1"/>
    <col min="7458" max="7686" width="9.140625" style="267"/>
    <col min="7687" max="7687" width="3.7109375" style="267" customWidth="1"/>
    <col min="7688" max="7688" width="14.42578125" style="267" customWidth="1"/>
    <col min="7689" max="7689" width="3.7109375" style="267" customWidth="1"/>
    <col min="7690" max="7690" width="18.7109375" style="267" customWidth="1"/>
    <col min="7691" max="7710" width="6.7109375" style="267" customWidth="1"/>
    <col min="7711" max="7713" width="6.28515625" style="267" customWidth="1"/>
    <col min="7714" max="7942" width="9.140625" style="267"/>
    <col min="7943" max="7943" width="3.7109375" style="267" customWidth="1"/>
    <col min="7944" max="7944" width="14.42578125" style="267" customWidth="1"/>
    <col min="7945" max="7945" width="3.7109375" style="267" customWidth="1"/>
    <col min="7946" max="7946" width="18.7109375" style="267" customWidth="1"/>
    <col min="7947" max="7966" width="6.7109375" style="267" customWidth="1"/>
    <col min="7967" max="7969" width="6.28515625" style="267" customWidth="1"/>
    <col min="7970" max="8198" width="9.140625" style="267"/>
    <col min="8199" max="8199" width="3.7109375" style="267" customWidth="1"/>
    <col min="8200" max="8200" width="14.42578125" style="267" customWidth="1"/>
    <col min="8201" max="8201" width="3.7109375" style="267" customWidth="1"/>
    <col min="8202" max="8202" width="18.7109375" style="267" customWidth="1"/>
    <col min="8203" max="8222" width="6.7109375" style="267" customWidth="1"/>
    <col min="8223" max="8225" width="6.28515625" style="267" customWidth="1"/>
    <col min="8226" max="8454" width="9.140625" style="267"/>
    <col min="8455" max="8455" width="3.7109375" style="267" customWidth="1"/>
    <col min="8456" max="8456" width="14.42578125" style="267" customWidth="1"/>
    <col min="8457" max="8457" width="3.7109375" style="267" customWidth="1"/>
    <col min="8458" max="8458" width="18.7109375" style="267" customWidth="1"/>
    <col min="8459" max="8478" width="6.7109375" style="267" customWidth="1"/>
    <col min="8479" max="8481" width="6.28515625" style="267" customWidth="1"/>
    <col min="8482" max="8710" width="9.140625" style="267"/>
    <col min="8711" max="8711" width="3.7109375" style="267" customWidth="1"/>
    <col min="8712" max="8712" width="14.42578125" style="267" customWidth="1"/>
    <col min="8713" max="8713" width="3.7109375" style="267" customWidth="1"/>
    <col min="8714" max="8714" width="18.7109375" style="267" customWidth="1"/>
    <col min="8715" max="8734" width="6.7109375" style="267" customWidth="1"/>
    <col min="8735" max="8737" width="6.28515625" style="267" customWidth="1"/>
    <col min="8738" max="8966" width="9.140625" style="267"/>
    <col min="8967" max="8967" width="3.7109375" style="267" customWidth="1"/>
    <col min="8968" max="8968" width="14.42578125" style="267" customWidth="1"/>
    <col min="8969" max="8969" width="3.7109375" style="267" customWidth="1"/>
    <col min="8970" max="8970" width="18.7109375" style="267" customWidth="1"/>
    <col min="8971" max="8990" width="6.7109375" style="267" customWidth="1"/>
    <col min="8991" max="8993" width="6.28515625" style="267" customWidth="1"/>
    <col min="8994" max="9222" width="9.140625" style="267"/>
    <col min="9223" max="9223" width="3.7109375" style="267" customWidth="1"/>
    <col min="9224" max="9224" width="14.42578125" style="267" customWidth="1"/>
    <col min="9225" max="9225" width="3.7109375" style="267" customWidth="1"/>
    <col min="9226" max="9226" width="18.7109375" style="267" customWidth="1"/>
    <col min="9227" max="9246" width="6.7109375" style="267" customWidth="1"/>
    <col min="9247" max="9249" width="6.28515625" style="267" customWidth="1"/>
    <col min="9250" max="9478" width="9.140625" style="267"/>
    <col min="9479" max="9479" width="3.7109375" style="267" customWidth="1"/>
    <col min="9480" max="9480" width="14.42578125" style="267" customWidth="1"/>
    <col min="9481" max="9481" width="3.7109375" style="267" customWidth="1"/>
    <col min="9482" max="9482" width="18.7109375" style="267" customWidth="1"/>
    <col min="9483" max="9502" width="6.7109375" style="267" customWidth="1"/>
    <col min="9503" max="9505" width="6.28515625" style="267" customWidth="1"/>
    <col min="9506" max="9734" width="9.140625" style="267"/>
    <col min="9735" max="9735" width="3.7109375" style="267" customWidth="1"/>
    <col min="9736" max="9736" width="14.42578125" style="267" customWidth="1"/>
    <col min="9737" max="9737" width="3.7109375" style="267" customWidth="1"/>
    <col min="9738" max="9738" width="18.7109375" style="267" customWidth="1"/>
    <col min="9739" max="9758" width="6.7109375" style="267" customWidth="1"/>
    <col min="9759" max="9761" width="6.28515625" style="267" customWidth="1"/>
    <col min="9762" max="9990" width="9.140625" style="267"/>
    <col min="9991" max="9991" width="3.7109375" style="267" customWidth="1"/>
    <col min="9992" max="9992" width="14.42578125" style="267" customWidth="1"/>
    <col min="9993" max="9993" width="3.7109375" style="267" customWidth="1"/>
    <col min="9994" max="9994" width="18.7109375" style="267" customWidth="1"/>
    <col min="9995" max="10014" width="6.7109375" style="267" customWidth="1"/>
    <col min="10015" max="10017" width="6.28515625" style="267" customWidth="1"/>
    <col min="10018" max="10246" width="9.140625" style="267"/>
    <col min="10247" max="10247" width="3.7109375" style="267" customWidth="1"/>
    <col min="10248" max="10248" width="14.42578125" style="267" customWidth="1"/>
    <col min="10249" max="10249" width="3.7109375" style="267" customWidth="1"/>
    <col min="10250" max="10250" width="18.7109375" style="267" customWidth="1"/>
    <col min="10251" max="10270" width="6.7109375" style="267" customWidth="1"/>
    <col min="10271" max="10273" width="6.28515625" style="267" customWidth="1"/>
    <col min="10274" max="10502" width="9.140625" style="267"/>
    <col min="10503" max="10503" width="3.7109375" style="267" customWidth="1"/>
    <col min="10504" max="10504" width="14.42578125" style="267" customWidth="1"/>
    <col min="10505" max="10505" width="3.7109375" style="267" customWidth="1"/>
    <col min="10506" max="10506" width="18.7109375" style="267" customWidth="1"/>
    <col min="10507" max="10526" width="6.7109375" style="267" customWidth="1"/>
    <col min="10527" max="10529" width="6.28515625" style="267" customWidth="1"/>
    <col min="10530" max="10758" width="9.140625" style="267"/>
    <col min="10759" max="10759" width="3.7109375" style="267" customWidth="1"/>
    <col min="10760" max="10760" width="14.42578125" style="267" customWidth="1"/>
    <col min="10761" max="10761" width="3.7109375" style="267" customWidth="1"/>
    <col min="10762" max="10762" width="18.7109375" style="267" customWidth="1"/>
    <col min="10763" max="10782" width="6.7109375" style="267" customWidth="1"/>
    <col min="10783" max="10785" width="6.28515625" style="267" customWidth="1"/>
    <col min="10786" max="11014" width="9.140625" style="267"/>
    <col min="11015" max="11015" width="3.7109375" style="267" customWidth="1"/>
    <col min="11016" max="11016" width="14.42578125" style="267" customWidth="1"/>
    <col min="11017" max="11017" width="3.7109375" style="267" customWidth="1"/>
    <col min="11018" max="11018" width="18.7109375" style="267" customWidth="1"/>
    <col min="11019" max="11038" width="6.7109375" style="267" customWidth="1"/>
    <col min="11039" max="11041" width="6.28515625" style="267" customWidth="1"/>
    <col min="11042" max="11270" width="9.140625" style="267"/>
    <col min="11271" max="11271" width="3.7109375" style="267" customWidth="1"/>
    <col min="11272" max="11272" width="14.42578125" style="267" customWidth="1"/>
    <col min="11273" max="11273" width="3.7109375" style="267" customWidth="1"/>
    <col min="11274" max="11274" width="18.7109375" style="267" customWidth="1"/>
    <col min="11275" max="11294" width="6.7109375" style="267" customWidth="1"/>
    <col min="11295" max="11297" width="6.28515625" style="267" customWidth="1"/>
    <col min="11298" max="11526" width="9.140625" style="267"/>
    <col min="11527" max="11527" width="3.7109375" style="267" customWidth="1"/>
    <col min="11528" max="11528" width="14.42578125" style="267" customWidth="1"/>
    <col min="11529" max="11529" width="3.7109375" style="267" customWidth="1"/>
    <col min="11530" max="11530" width="18.7109375" style="267" customWidth="1"/>
    <col min="11531" max="11550" width="6.7109375" style="267" customWidth="1"/>
    <col min="11551" max="11553" width="6.28515625" style="267" customWidth="1"/>
    <col min="11554" max="11782" width="9.140625" style="267"/>
    <col min="11783" max="11783" width="3.7109375" style="267" customWidth="1"/>
    <col min="11784" max="11784" width="14.42578125" style="267" customWidth="1"/>
    <col min="11785" max="11785" width="3.7109375" style="267" customWidth="1"/>
    <col min="11786" max="11786" width="18.7109375" style="267" customWidth="1"/>
    <col min="11787" max="11806" width="6.7109375" style="267" customWidth="1"/>
    <col min="11807" max="11809" width="6.28515625" style="267" customWidth="1"/>
    <col min="11810" max="12038" width="9.140625" style="267"/>
    <col min="12039" max="12039" width="3.7109375" style="267" customWidth="1"/>
    <col min="12040" max="12040" width="14.42578125" style="267" customWidth="1"/>
    <col min="12041" max="12041" width="3.7109375" style="267" customWidth="1"/>
    <col min="12042" max="12042" width="18.7109375" style="267" customWidth="1"/>
    <col min="12043" max="12062" width="6.7109375" style="267" customWidth="1"/>
    <col min="12063" max="12065" width="6.28515625" style="267" customWidth="1"/>
    <col min="12066" max="12294" width="9.140625" style="267"/>
    <col min="12295" max="12295" width="3.7109375" style="267" customWidth="1"/>
    <col min="12296" max="12296" width="14.42578125" style="267" customWidth="1"/>
    <col min="12297" max="12297" width="3.7109375" style="267" customWidth="1"/>
    <col min="12298" max="12298" width="18.7109375" style="267" customWidth="1"/>
    <col min="12299" max="12318" width="6.7109375" style="267" customWidth="1"/>
    <col min="12319" max="12321" width="6.28515625" style="267" customWidth="1"/>
    <col min="12322" max="12550" width="9.140625" style="267"/>
    <col min="12551" max="12551" width="3.7109375" style="267" customWidth="1"/>
    <col min="12552" max="12552" width="14.42578125" style="267" customWidth="1"/>
    <col min="12553" max="12553" width="3.7109375" style="267" customWidth="1"/>
    <col min="12554" max="12554" width="18.7109375" style="267" customWidth="1"/>
    <col min="12555" max="12574" width="6.7109375" style="267" customWidth="1"/>
    <col min="12575" max="12577" width="6.28515625" style="267" customWidth="1"/>
    <col min="12578" max="12806" width="9.140625" style="267"/>
    <col min="12807" max="12807" width="3.7109375" style="267" customWidth="1"/>
    <col min="12808" max="12808" width="14.42578125" style="267" customWidth="1"/>
    <col min="12809" max="12809" width="3.7109375" style="267" customWidth="1"/>
    <col min="12810" max="12810" width="18.7109375" style="267" customWidth="1"/>
    <col min="12811" max="12830" width="6.7109375" style="267" customWidth="1"/>
    <col min="12831" max="12833" width="6.28515625" style="267" customWidth="1"/>
    <col min="12834" max="13062" width="9.140625" style="267"/>
    <col min="13063" max="13063" width="3.7109375" style="267" customWidth="1"/>
    <col min="13064" max="13064" width="14.42578125" style="267" customWidth="1"/>
    <col min="13065" max="13065" width="3.7109375" style="267" customWidth="1"/>
    <col min="13066" max="13066" width="18.7109375" style="267" customWidth="1"/>
    <col min="13067" max="13086" width="6.7109375" style="267" customWidth="1"/>
    <col min="13087" max="13089" width="6.28515625" style="267" customWidth="1"/>
    <col min="13090" max="13318" width="9.140625" style="267"/>
    <col min="13319" max="13319" width="3.7109375" style="267" customWidth="1"/>
    <col min="13320" max="13320" width="14.42578125" style="267" customWidth="1"/>
    <col min="13321" max="13321" width="3.7109375" style="267" customWidth="1"/>
    <col min="13322" max="13322" width="18.7109375" style="267" customWidth="1"/>
    <col min="13323" max="13342" width="6.7109375" style="267" customWidth="1"/>
    <col min="13343" max="13345" width="6.28515625" style="267" customWidth="1"/>
    <col min="13346" max="13574" width="9.140625" style="267"/>
    <col min="13575" max="13575" width="3.7109375" style="267" customWidth="1"/>
    <col min="13576" max="13576" width="14.42578125" style="267" customWidth="1"/>
    <col min="13577" max="13577" width="3.7109375" style="267" customWidth="1"/>
    <col min="13578" max="13578" width="18.7109375" style="267" customWidth="1"/>
    <col min="13579" max="13598" width="6.7109375" style="267" customWidth="1"/>
    <col min="13599" max="13601" width="6.28515625" style="267" customWidth="1"/>
    <col min="13602" max="13830" width="9.140625" style="267"/>
    <col min="13831" max="13831" width="3.7109375" style="267" customWidth="1"/>
    <col min="13832" max="13832" width="14.42578125" style="267" customWidth="1"/>
    <col min="13833" max="13833" width="3.7109375" style="267" customWidth="1"/>
    <col min="13834" max="13834" width="18.7109375" style="267" customWidth="1"/>
    <col min="13835" max="13854" width="6.7109375" style="267" customWidth="1"/>
    <col min="13855" max="13857" width="6.28515625" style="267" customWidth="1"/>
    <col min="13858" max="14086" width="9.140625" style="267"/>
    <col min="14087" max="14087" width="3.7109375" style="267" customWidth="1"/>
    <col min="14088" max="14088" width="14.42578125" style="267" customWidth="1"/>
    <col min="14089" max="14089" width="3.7109375" style="267" customWidth="1"/>
    <col min="14090" max="14090" width="18.7109375" style="267" customWidth="1"/>
    <col min="14091" max="14110" width="6.7109375" style="267" customWidth="1"/>
    <col min="14111" max="14113" width="6.28515625" style="267" customWidth="1"/>
    <col min="14114" max="14342" width="9.140625" style="267"/>
    <col min="14343" max="14343" width="3.7109375" style="267" customWidth="1"/>
    <col min="14344" max="14344" width="14.42578125" style="267" customWidth="1"/>
    <col min="14345" max="14345" width="3.7109375" style="267" customWidth="1"/>
    <col min="14346" max="14346" width="18.7109375" style="267" customWidth="1"/>
    <col min="14347" max="14366" width="6.7109375" style="267" customWidth="1"/>
    <col min="14367" max="14369" width="6.28515625" style="267" customWidth="1"/>
    <col min="14370" max="14598" width="9.140625" style="267"/>
    <col min="14599" max="14599" width="3.7109375" style="267" customWidth="1"/>
    <col min="14600" max="14600" width="14.42578125" style="267" customWidth="1"/>
    <col min="14601" max="14601" width="3.7109375" style="267" customWidth="1"/>
    <col min="14602" max="14602" width="18.7109375" style="267" customWidth="1"/>
    <col min="14603" max="14622" width="6.7109375" style="267" customWidth="1"/>
    <col min="14623" max="14625" width="6.28515625" style="267" customWidth="1"/>
    <col min="14626" max="14854" width="9.140625" style="267"/>
    <col min="14855" max="14855" width="3.7109375" style="267" customWidth="1"/>
    <col min="14856" max="14856" width="14.42578125" style="267" customWidth="1"/>
    <col min="14857" max="14857" width="3.7109375" style="267" customWidth="1"/>
    <col min="14858" max="14858" width="18.7109375" style="267" customWidth="1"/>
    <col min="14859" max="14878" width="6.7109375" style="267" customWidth="1"/>
    <col min="14879" max="14881" width="6.28515625" style="267" customWidth="1"/>
    <col min="14882" max="15110" width="9.140625" style="267"/>
    <col min="15111" max="15111" width="3.7109375" style="267" customWidth="1"/>
    <col min="15112" max="15112" width="14.42578125" style="267" customWidth="1"/>
    <col min="15113" max="15113" width="3.7109375" style="267" customWidth="1"/>
    <col min="15114" max="15114" width="18.7109375" style="267" customWidth="1"/>
    <col min="15115" max="15134" width="6.7109375" style="267" customWidth="1"/>
    <col min="15135" max="15137" width="6.28515625" style="267" customWidth="1"/>
    <col min="15138" max="15366" width="9.140625" style="267"/>
    <col min="15367" max="15367" width="3.7109375" style="267" customWidth="1"/>
    <col min="15368" max="15368" width="14.42578125" style="267" customWidth="1"/>
    <col min="15369" max="15369" width="3.7109375" style="267" customWidth="1"/>
    <col min="15370" max="15370" width="18.7109375" style="267" customWidth="1"/>
    <col min="15371" max="15390" width="6.7109375" style="267" customWidth="1"/>
    <col min="15391" max="15393" width="6.28515625" style="267" customWidth="1"/>
    <col min="15394" max="15622" width="9.140625" style="267"/>
    <col min="15623" max="15623" width="3.7109375" style="267" customWidth="1"/>
    <col min="15624" max="15624" width="14.42578125" style="267" customWidth="1"/>
    <col min="15625" max="15625" width="3.7109375" style="267" customWidth="1"/>
    <col min="15626" max="15626" width="18.7109375" style="267" customWidth="1"/>
    <col min="15627" max="15646" width="6.7109375" style="267" customWidth="1"/>
    <col min="15647" max="15649" width="6.28515625" style="267" customWidth="1"/>
    <col min="15650" max="15878" width="9.140625" style="267"/>
    <col min="15879" max="15879" width="3.7109375" style="267" customWidth="1"/>
    <col min="15880" max="15880" width="14.42578125" style="267" customWidth="1"/>
    <col min="15881" max="15881" width="3.7109375" style="267" customWidth="1"/>
    <col min="15882" max="15882" width="18.7109375" style="267" customWidth="1"/>
    <col min="15883" max="15902" width="6.7109375" style="267" customWidth="1"/>
    <col min="15903" max="15905" width="6.28515625" style="267" customWidth="1"/>
    <col min="15906" max="16134" width="9.140625" style="267"/>
    <col min="16135" max="16135" width="3.7109375" style="267" customWidth="1"/>
    <col min="16136" max="16136" width="14.42578125" style="267" customWidth="1"/>
    <col min="16137" max="16137" width="3.7109375" style="267" customWidth="1"/>
    <col min="16138" max="16138" width="18.7109375" style="267" customWidth="1"/>
    <col min="16139" max="16158" width="6.7109375" style="267" customWidth="1"/>
    <col min="16159" max="16161" width="6.28515625" style="267" customWidth="1"/>
    <col min="16162" max="16384" width="9.140625" style="267"/>
  </cols>
  <sheetData>
    <row r="1" spans="1:56" x14ac:dyDescent="0.25">
      <c r="A1" s="1076"/>
      <c r="B1" s="1077"/>
      <c r="C1" s="1077"/>
      <c r="D1" s="1078"/>
      <c r="E1" s="1078"/>
      <c r="F1" s="1078"/>
      <c r="G1" s="1078"/>
      <c r="H1" s="1078"/>
      <c r="I1" s="1078"/>
      <c r="J1" s="1078"/>
      <c r="K1" s="1078"/>
      <c r="L1" s="1078"/>
      <c r="M1" s="1078"/>
      <c r="N1" s="1078"/>
      <c r="O1" s="1078"/>
      <c r="P1" s="1078"/>
      <c r="Q1" s="1078"/>
      <c r="R1" s="1079"/>
      <c r="S1" s="1079"/>
      <c r="T1" s="1079"/>
      <c r="U1" s="1079"/>
      <c r="V1" s="1143"/>
      <c r="W1" s="1143"/>
      <c r="X1" s="1143"/>
      <c r="Y1" s="903"/>
      <c r="Z1" s="903"/>
      <c r="AA1" s="903"/>
      <c r="AB1" s="903"/>
      <c r="AC1" s="903"/>
      <c r="AD1" s="903"/>
      <c r="AE1" s="903"/>
      <c r="AF1" s="903"/>
      <c r="AG1" s="903"/>
      <c r="AH1" s="903"/>
      <c r="AI1" s="903"/>
      <c r="AJ1" s="903"/>
    </row>
    <row r="2" spans="1:56" ht="12.75" customHeight="1" x14ac:dyDescent="0.25">
      <c r="A2" s="782">
        <v>1</v>
      </c>
      <c r="B2" s="782" t="s">
        <v>0</v>
      </c>
      <c r="C2" s="782">
        <v>56</v>
      </c>
      <c r="D2" s="4048" t="s">
        <v>1364</v>
      </c>
      <c r="E2" s="4049"/>
      <c r="F2" s="4049"/>
      <c r="G2" s="4049"/>
      <c r="H2" s="4049"/>
      <c r="I2" s="4049"/>
      <c r="J2" s="4049"/>
      <c r="K2" s="4049"/>
      <c r="L2" s="4049"/>
      <c r="M2" s="4049"/>
      <c r="N2" s="4049"/>
      <c r="O2" s="4049"/>
      <c r="P2" s="4049"/>
      <c r="Q2" s="4049"/>
      <c r="R2" s="4049"/>
      <c r="S2" s="4049"/>
      <c r="T2" s="4049"/>
      <c r="U2" s="4049"/>
      <c r="V2" s="4050"/>
      <c r="W2" s="74"/>
      <c r="X2" s="74"/>
      <c r="Y2" s="74"/>
      <c r="Z2" s="74"/>
      <c r="AA2" s="74"/>
      <c r="AB2" s="74"/>
      <c r="AC2" s="74"/>
      <c r="AD2" s="74"/>
      <c r="AE2" s="74"/>
      <c r="AF2" s="74"/>
      <c r="AG2" s="74"/>
      <c r="AH2" s="74"/>
      <c r="AI2" s="74"/>
      <c r="AJ2" s="74"/>
    </row>
    <row r="3" spans="1:56" ht="12.75" customHeight="1" x14ac:dyDescent="0.25">
      <c r="A3" s="782">
        <v>2</v>
      </c>
      <c r="B3" s="782" t="s">
        <v>2</v>
      </c>
      <c r="C3" s="782"/>
      <c r="D3" s="4048" t="s">
        <v>1356</v>
      </c>
      <c r="E3" s="4049"/>
      <c r="F3" s="4049"/>
      <c r="G3" s="4049"/>
      <c r="H3" s="4049"/>
      <c r="I3" s="4049"/>
      <c r="J3" s="4049"/>
      <c r="K3" s="4049"/>
      <c r="L3" s="4049"/>
      <c r="M3" s="4049"/>
      <c r="N3" s="4049"/>
      <c r="O3" s="4049"/>
      <c r="P3" s="4049"/>
      <c r="Q3" s="4049"/>
      <c r="R3" s="4049"/>
      <c r="S3" s="4049"/>
      <c r="T3" s="4049"/>
      <c r="U3" s="4049"/>
      <c r="V3" s="4050"/>
      <c r="W3" s="74"/>
      <c r="X3" s="74"/>
      <c r="Y3" s="74"/>
      <c r="Z3" s="74"/>
      <c r="AA3" s="74"/>
      <c r="AB3" s="74"/>
      <c r="AC3" s="74"/>
      <c r="AD3" s="74"/>
      <c r="AE3" s="74"/>
      <c r="AF3" s="74"/>
      <c r="AG3" s="74"/>
      <c r="AH3" s="74"/>
      <c r="AI3" s="74"/>
      <c r="AJ3" s="74"/>
    </row>
    <row r="4" spans="1:56" ht="17.25" customHeight="1" x14ac:dyDescent="0.25">
      <c r="A4" s="782">
        <v>3</v>
      </c>
      <c r="B4" s="782" t="s">
        <v>4</v>
      </c>
      <c r="C4" s="782"/>
      <c r="D4" s="4048" t="s">
        <v>1365</v>
      </c>
      <c r="E4" s="4049"/>
      <c r="F4" s="4049"/>
      <c r="G4" s="4049"/>
      <c r="H4" s="4049"/>
      <c r="I4" s="4049"/>
      <c r="J4" s="4049"/>
      <c r="K4" s="4049"/>
      <c r="L4" s="4049"/>
      <c r="M4" s="4049"/>
      <c r="N4" s="4049"/>
      <c r="O4" s="4049"/>
      <c r="P4" s="4049"/>
      <c r="Q4" s="4049"/>
      <c r="R4" s="4049"/>
      <c r="S4" s="4049"/>
      <c r="T4" s="4049"/>
      <c r="U4" s="4049"/>
      <c r="V4" s="4050"/>
      <c r="W4" s="74"/>
      <c r="X4" s="74"/>
      <c r="Y4" s="74"/>
      <c r="Z4" s="74"/>
      <c r="AA4" s="74"/>
      <c r="AB4" s="74"/>
      <c r="AC4" s="74"/>
      <c r="AD4" s="74"/>
      <c r="AE4" s="74"/>
      <c r="AF4" s="74"/>
      <c r="AG4" s="74"/>
      <c r="AH4" s="74"/>
      <c r="AI4" s="74"/>
      <c r="AJ4" s="74"/>
    </row>
    <row r="5" spans="1:56" ht="15.75" customHeight="1" x14ac:dyDescent="0.25">
      <c r="A5" s="782">
        <v>4</v>
      </c>
      <c r="B5" s="782" t="s">
        <v>804</v>
      </c>
      <c r="C5" s="782"/>
      <c r="D5" s="4048" t="s">
        <v>1366</v>
      </c>
      <c r="E5" s="4049"/>
      <c r="F5" s="4049"/>
      <c r="G5" s="4049"/>
      <c r="H5" s="4049"/>
      <c r="I5" s="4049"/>
      <c r="J5" s="4049"/>
      <c r="K5" s="4049"/>
      <c r="L5" s="4049"/>
      <c r="M5" s="4049"/>
      <c r="N5" s="4049"/>
      <c r="O5" s="4049"/>
      <c r="P5" s="4049"/>
      <c r="Q5" s="4049"/>
      <c r="R5" s="4049"/>
      <c r="S5" s="4049"/>
      <c r="T5" s="4049"/>
      <c r="U5" s="4049"/>
      <c r="V5" s="4050"/>
      <c r="W5" s="74"/>
      <c r="X5" s="74"/>
      <c r="Y5" s="74"/>
      <c r="Z5" s="74"/>
      <c r="AA5" s="74"/>
      <c r="AB5" s="74"/>
      <c r="AC5" s="74"/>
      <c r="AD5" s="74"/>
      <c r="AE5" s="74"/>
      <c r="AF5" s="74"/>
      <c r="AG5" s="74"/>
      <c r="AH5" s="74"/>
      <c r="AI5" s="74"/>
      <c r="AJ5" s="74"/>
    </row>
    <row r="6" spans="1:56" x14ac:dyDescent="0.25">
      <c r="C6" s="902"/>
      <c r="D6" s="1059"/>
      <c r="E6" s="1059"/>
      <c r="F6" s="1059"/>
      <c r="G6" s="1059"/>
      <c r="H6" s="1059"/>
      <c r="I6" s="1059"/>
      <c r="J6" s="1059"/>
      <c r="K6" s="1059"/>
      <c r="L6" s="1059"/>
      <c r="M6" s="1059"/>
      <c r="N6" s="1059"/>
      <c r="O6" s="1059"/>
      <c r="P6" s="1059"/>
      <c r="Q6" s="1078"/>
      <c r="R6" s="1079"/>
      <c r="S6" s="1079"/>
      <c r="T6" s="1079"/>
      <c r="U6" s="1079"/>
      <c r="V6" s="74"/>
      <c r="W6" s="74"/>
      <c r="X6" s="74"/>
      <c r="Y6" s="74"/>
      <c r="Z6" s="74"/>
      <c r="AA6" s="74"/>
      <c r="AB6" s="74"/>
      <c r="AC6" s="74"/>
      <c r="AD6" s="74"/>
      <c r="AE6" s="74"/>
      <c r="AF6" s="74"/>
      <c r="AG6" s="74"/>
      <c r="AH6" s="74"/>
      <c r="AI6" s="74"/>
      <c r="AJ6" s="74"/>
    </row>
    <row r="7" spans="1:56" x14ac:dyDescent="0.25">
      <c r="A7" s="782">
        <v>5</v>
      </c>
      <c r="B7" s="902" t="s">
        <v>5</v>
      </c>
      <c r="C7" s="1082"/>
      <c r="D7" s="3202" t="s">
        <v>112</v>
      </c>
      <c r="E7" s="3202" t="str">
        <f>D2</f>
        <v>Public opinion on race relations</v>
      </c>
      <c r="F7" s="3202"/>
      <c r="G7" s="123"/>
      <c r="H7" s="123"/>
      <c r="I7" s="123"/>
      <c r="J7" s="123"/>
      <c r="K7" s="123"/>
      <c r="L7" s="123"/>
      <c r="M7" s="148"/>
      <c r="N7" s="148"/>
      <c r="O7" s="139"/>
      <c r="P7" s="139"/>
      <c r="Q7" s="139"/>
      <c r="R7" s="74"/>
      <c r="S7" s="74"/>
      <c r="T7" s="203"/>
      <c r="U7" s="203"/>
      <c r="V7" s="74"/>
      <c r="W7" s="1079"/>
      <c r="X7" s="1079"/>
      <c r="Y7" s="1079"/>
      <c r="Z7" s="1079"/>
      <c r="AA7" s="1079"/>
      <c r="AB7" s="1079"/>
      <c r="AC7" s="1079"/>
      <c r="AD7" s="1079"/>
      <c r="AE7" s="1079"/>
      <c r="AF7" s="1079"/>
      <c r="AG7" s="1079"/>
      <c r="AH7" s="1079"/>
      <c r="AI7" s="1079"/>
      <c r="AJ7" s="1079"/>
      <c r="AK7" s="1079"/>
    </row>
    <row r="8" spans="1:56" x14ac:dyDescent="0.25">
      <c r="A8" s="1083"/>
      <c r="B8" s="1082"/>
      <c r="C8" s="1082"/>
      <c r="D8" s="3220"/>
      <c r="E8" s="3221">
        <v>2000</v>
      </c>
      <c r="F8" s="3221">
        <v>2001</v>
      </c>
      <c r="G8" s="3221">
        <v>2002</v>
      </c>
      <c r="H8" s="3221">
        <v>2003</v>
      </c>
      <c r="I8" s="3221">
        <v>2004</v>
      </c>
      <c r="J8" s="3221">
        <v>2005</v>
      </c>
      <c r="K8" s="3221">
        <v>2006</v>
      </c>
      <c r="L8" s="3221">
        <v>2007</v>
      </c>
      <c r="M8" s="3221">
        <v>2008</v>
      </c>
      <c r="N8" s="3221">
        <v>2009</v>
      </c>
      <c r="O8" s="3221">
        <v>2010</v>
      </c>
      <c r="P8" s="3221">
        <v>2011</v>
      </c>
      <c r="Q8" s="3221">
        <v>2012</v>
      </c>
      <c r="R8" s="3221">
        <v>2013</v>
      </c>
      <c r="S8" s="3221">
        <v>2014</v>
      </c>
      <c r="T8" s="3221">
        <v>2015</v>
      </c>
      <c r="U8" s="3222">
        <v>2016</v>
      </c>
      <c r="V8" s="3223">
        <v>2017</v>
      </c>
      <c r="W8" s="1079"/>
      <c r="X8" s="1079"/>
      <c r="Y8" s="1079"/>
      <c r="Z8" s="1079"/>
      <c r="AA8" s="1079"/>
      <c r="AB8" s="1079"/>
      <c r="AC8" s="1079"/>
      <c r="AD8" s="1079"/>
      <c r="AE8" s="1079"/>
      <c r="AF8" s="1079"/>
      <c r="AG8" s="1079"/>
      <c r="AH8" s="1079"/>
      <c r="AI8" s="1079"/>
      <c r="AJ8" s="1079"/>
      <c r="AK8" s="1079"/>
      <c r="BC8" s="903"/>
      <c r="BD8" s="903"/>
    </row>
    <row r="9" spans="1:56" x14ac:dyDescent="0.25">
      <c r="A9" s="1083"/>
      <c r="B9" s="1082"/>
      <c r="C9" s="1082"/>
      <c r="D9" s="3224" t="s">
        <v>1367</v>
      </c>
      <c r="E9" s="3221">
        <v>72</v>
      </c>
      <c r="F9" s="3221">
        <v>40</v>
      </c>
      <c r="G9" s="3221">
        <v>44</v>
      </c>
      <c r="H9" s="3221">
        <v>49</v>
      </c>
      <c r="I9" s="3221">
        <v>60</v>
      </c>
      <c r="J9" s="3221">
        <v>59</v>
      </c>
      <c r="K9" s="3221">
        <v>59</v>
      </c>
      <c r="L9" s="3221">
        <v>59</v>
      </c>
      <c r="M9" s="3221">
        <v>49</v>
      </c>
      <c r="N9" s="3221">
        <v>53</v>
      </c>
      <c r="O9" s="3221">
        <v>50</v>
      </c>
      <c r="P9" s="3221">
        <v>44</v>
      </c>
      <c r="Q9" s="3221">
        <v>39</v>
      </c>
      <c r="R9" s="3221">
        <v>36</v>
      </c>
      <c r="S9" s="3221">
        <v>45</v>
      </c>
      <c r="T9" s="3221">
        <v>39</v>
      </c>
      <c r="U9" s="3222">
        <v>46</v>
      </c>
      <c r="V9" s="3223">
        <v>38</v>
      </c>
      <c r="W9" s="1079"/>
      <c r="X9" s="1079"/>
      <c r="Y9" s="1079"/>
      <c r="Z9" s="1079"/>
      <c r="AA9" s="1079"/>
      <c r="AB9" s="1079"/>
      <c r="AC9" s="1079"/>
      <c r="AD9" s="1079"/>
      <c r="AE9" s="1079"/>
      <c r="AF9" s="1079"/>
      <c r="AG9" s="1079"/>
      <c r="AH9" s="1079"/>
      <c r="AI9" s="1079"/>
      <c r="AJ9" s="1079"/>
      <c r="AK9" s="1079"/>
    </row>
    <row r="10" spans="1:56" x14ac:dyDescent="0.25">
      <c r="A10" s="1083"/>
      <c r="B10" s="1082"/>
      <c r="C10" s="1082"/>
      <c r="W10" s="1079"/>
      <c r="X10" s="1079"/>
      <c r="Y10" s="1079"/>
      <c r="Z10" s="1079"/>
      <c r="AA10" s="1079"/>
      <c r="AB10" s="1079"/>
      <c r="AC10" s="1079"/>
      <c r="AD10" s="1079"/>
      <c r="AE10" s="1079"/>
      <c r="AF10" s="1079"/>
      <c r="AG10" s="1079"/>
      <c r="AH10" s="1079"/>
      <c r="AI10" s="1079"/>
      <c r="AJ10" s="1079"/>
      <c r="AK10" s="1079"/>
    </row>
    <row r="11" spans="1:56" x14ac:dyDescent="0.25">
      <c r="A11" s="782"/>
      <c r="B11" s="782"/>
      <c r="C11" s="782"/>
    </row>
    <row r="12" spans="1:56" x14ac:dyDescent="0.25">
      <c r="A12" s="782">
        <v>6</v>
      </c>
      <c r="B12" s="782" t="s">
        <v>90</v>
      </c>
      <c r="C12" s="782"/>
      <c r="D12" s="1078"/>
      <c r="E12" s="1078"/>
      <c r="F12" s="1078"/>
      <c r="G12" s="1078"/>
      <c r="H12" s="1078"/>
      <c r="I12" s="1078"/>
      <c r="J12" s="1078"/>
      <c r="K12" s="1078"/>
      <c r="L12" s="1078"/>
      <c r="M12" s="1078"/>
      <c r="N12" s="1078"/>
      <c r="O12" s="1078"/>
      <c r="P12" s="1078"/>
      <c r="Q12" s="1078"/>
      <c r="R12" s="1079"/>
      <c r="S12" s="1079"/>
      <c r="T12" s="1079"/>
      <c r="U12" s="1079"/>
      <c r="V12" s="1079"/>
      <c r="W12" s="1079"/>
      <c r="X12" s="1079"/>
    </row>
    <row r="13" spans="1:56" x14ac:dyDescent="0.25">
      <c r="A13" s="782"/>
      <c r="B13" s="782"/>
      <c r="C13" s="782"/>
      <c r="D13" s="1078"/>
      <c r="E13" s="1078"/>
      <c r="F13" s="1078"/>
      <c r="G13" s="1078"/>
      <c r="H13" s="1078"/>
      <c r="I13" s="1078"/>
      <c r="J13" s="1078"/>
      <c r="K13" s="1078"/>
      <c r="L13" s="1078"/>
      <c r="M13" s="1078"/>
      <c r="N13" s="1078"/>
      <c r="O13" s="1078"/>
      <c r="P13" s="1078"/>
      <c r="Q13" s="1078"/>
      <c r="R13" s="1079"/>
      <c r="S13" s="1079"/>
      <c r="T13" s="1079"/>
      <c r="U13" s="1079"/>
      <c r="V13" s="1079"/>
      <c r="W13" s="1079"/>
      <c r="X13" s="1079"/>
      <c r="AI13" s="3225"/>
    </row>
    <row r="14" spans="1:56" x14ac:dyDescent="0.25">
      <c r="A14" s="1076"/>
      <c r="B14" s="1077"/>
      <c r="C14" s="1077"/>
      <c r="D14" s="1078"/>
      <c r="E14" s="1078"/>
      <c r="F14" s="1078"/>
      <c r="G14" s="1078"/>
      <c r="H14" s="1078"/>
      <c r="I14" s="1078"/>
      <c r="J14" s="1078"/>
      <c r="K14" s="1078"/>
      <c r="L14" s="1078"/>
      <c r="M14" s="1078"/>
      <c r="N14" s="1078"/>
      <c r="O14" s="1078"/>
      <c r="P14" s="1078"/>
      <c r="Q14" s="1078"/>
      <c r="R14" s="1079"/>
      <c r="S14" s="1079"/>
      <c r="T14" s="1079"/>
      <c r="U14" s="1079"/>
      <c r="V14" s="1079"/>
      <c r="W14" s="1079"/>
      <c r="X14" s="1079"/>
      <c r="AJ14" s="3225"/>
    </row>
    <row r="15" spans="1:56" x14ac:dyDescent="0.25">
      <c r="A15" s="1076"/>
      <c r="B15" s="1077"/>
      <c r="C15" s="1077"/>
      <c r="D15" s="1078"/>
      <c r="E15" s="1078"/>
      <c r="F15" s="1078"/>
      <c r="G15" s="1078"/>
      <c r="H15" s="1078"/>
      <c r="I15" s="1078"/>
      <c r="J15" s="1078"/>
      <c r="K15" s="1078"/>
      <c r="L15" s="1078"/>
      <c r="M15" s="1078"/>
      <c r="N15" s="1078"/>
      <c r="O15" s="1078"/>
      <c r="P15" s="1078"/>
      <c r="Q15" s="1078"/>
      <c r="R15" s="1079"/>
      <c r="S15" s="1079"/>
      <c r="T15" s="1079"/>
      <c r="U15" s="1079"/>
      <c r="V15" s="1079"/>
      <c r="W15" s="1079"/>
      <c r="X15" s="1079"/>
    </row>
    <row r="16" spans="1:56" x14ac:dyDescent="0.25">
      <c r="A16" s="1076"/>
      <c r="B16" s="1077"/>
      <c r="C16" s="1077"/>
      <c r="D16" s="1078"/>
      <c r="E16" s="1078"/>
      <c r="F16" s="1078"/>
      <c r="G16" s="1078"/>
      <c r="H16" s="1078"/>
      <c r="I16" s="1078"/>
      <c r="J16" s="1078"/>
      <c r="K16" s="1078"/>
      <c r="L16" s="1078"/>
      <c r="M16" s="1078"/>
      <c r="N16" s="1078"/>
      <c r="O16" s="1078"/>
      <c r="P16" s="1078"/>
      <c r="Q16" s="1078"/>
      <c r="R16" s="1079"/>
      <c r="S16" s="1079"/>
      <c r="T16" s="1079"/>
      <c r="U16" s="1079"/>
      <c r="V16" s="1079"/>
      <c r="W16" s="1079"/>
      <c r="X16" s="1079"/>
    </row>
    <row r="17" spans="1:36" x14ac:dyDescent="0.25">
      <c r="A17" s="1076"/>
      <c r="B17" s="1077"/>
      <c r="C17" s="1077"/>
      <c r="D17" s="1078"/>
      <c r="E17" s="1078"/>
      <c r="F17" s="1078"/>
      <c r="G17" s="1078"/>
      <c r="H17" s="1078"/>
      <c r="I17" s="1078"/>
      <c r="J17" s="1078"/>
      <c r="K17" s="1078"/>
      <c r="L17" s="1078"/>
      <c r="M17" s="1078"/>
      <c r="N17" s="1078"/>
      <c r="O17" s="1078"/>
      <c r="P17" s="1078"/>
      <c r="Q17" s="1078"/>
      <c r="R17" s="1079"/>
      <c r="S17" s="1079"/>
      <c r="T17" s="1079"/>
      <c r="U17" s="1079"/>
      <c r="V17" s="1079"/>
      <c r="W17" s="1079"/>
      <c r="X17" s="1079"/>
    </row>
    <row r="18" spans="1:36" x14ac:dyDescent="0.25">
      <c r="A18" s="1076"/>
      <c r="B18" s="1077"/>
      <c r="C18" s="1077"/>
      <c r="D18" s="1078"/>
      <c r="E18" s="1078"/>
      <c r="F18" s="1078"/>
      <c r="G18" s="1078"/>
      <c r="H18" s="1078"/>
      <c r="I18" s="1078"/>
      <c r="J18" s="1078"/>
      <c r="K18" s="1078"/>
      <c r="L18" s="1078"/>
      <c r="M18" s="1078"/>
      <c r="N18" s="1078"/>
      <c r="O18" s="1078"/>
      <c r="P18" s="1078"/>
      <c r="Q18" s="1078"/>
      <c r="R18" s="1079"/>
      <c r="S18" s="1079"/>
      <c r="T18" s="1079"/>
      <c r="U18" s="1079"/>
      <c r="V18" s="1079"/>
      <c r="W18" s="1079"/>
      <c r="X18" s="1079"/>
    </row>
    <row r="19" spans="1:36" x14ac:dyDescent="0.25">
      <c r="A19" s="1076"/>
      <c r="B19" s="1077"/>
      <c r="C19" s="1077"/>
      <c r="D19" s="1078"/>
      <c r="E19" s="1078"/>
      <c r="F19" s="1078"/>
      <c r="G19" s="1078"/>
      <c r="H19" s="1078"/>
      <c r="I19" s="1078"/>
      <c r="J19" s="1078"/>
      <c r="K19" s="1078"/>
      <c r="L19" s="1078"/>
      <c r="M19" s="1078"/>
      <c r="N19" s="1078"/>
      <c r="O19" s="1078"/>
      <c r="P19" s="1078"/>
      <c r="Q19" s="1078"/>
      <c r="R19" s="1079"/>
      <c r="S19" s="1079"/>
      <c r="T19" s="1079"/>
      <c r="U19" s="1079"/>
      <c r="V19" s="1079"/>
      <c r="W19" s="1079"/>
      <c r="X19" s="1079"/>
    </row>
    <row r="20" spans="1:36" x14ac:dyDescent="0.25">
      <c r="A20" s="1076"/>
      <c r="B20" s="1077"/>
      <c r="C20" s="1077"/>
      <c r="D20" s="1078"/>
      <c r="E20" s="1078"/>
      <c r="F20" s="1078"/>
      <c r="G20" s="1078"/>
      <c r="H20" s="1078"/>
      <c r="I20" s="1078"/>
      <c r="J20" s="1078"/>
      <c r="K20" s="1078"/>
      <c r="L20" s="1078"/>
      <c r="M20" s="1078"/>
      <c r="N20" s="1078"/>
      <c r="O20" s="1078"/>
      <c r="P20" s="1078"/>
      <c r="Q20" s="1078"/>
      <c r="R20" s="1079"/>
      <c r="S20" s="1079"/>
      <c r="T20" s="1079"/>
      <c r="U20" s="1079"/>
      <c r="V20" s="1079"/>
      <c r="W20" s="1079"/>
      <c r="X20" s="1079"/>
    </row>
    <row r="21" spans="1:36" x14ac:dyDescent="0.25">
      <c r="A21" s="1076"/>
      <c r="B21" s="1077"/>
      <c r="C21" s="1077"/>
      <c r="D21" s="1078"/>
      <c r="E21" s="1078"/>
      <c r="F21" s="1078"/>
      <c r="G21" s="1078"/>
      <c r="H21" s="1078"/>
      <c r="I21" s="1078"/>
      <c r="J21" s="1078"/>
      <c r="K21" s="1078"/>
      <c r="L21" s="1078"/>
      <c r="M21" s="1078"/>
      <c r="N21" s="1078"/>
      <c r="O21" s="1078"/>
      <c r="P21" s="1078"/>
      <c r="Q21" s="1078"/>
      <c r="R21" s="1079"/>
      <c r="S21" s="1079"/>
      <c r="T21" s="1079"/>
      <c r="U21" s="1079"/>
      <c r="V21" s="1079"/>
      <c r="W21" s="1079"/>
      <c r="X21" s="1079"/>
    </row>
    <row r="22" spans="1:36" x14ac:dyDescent="0.25">
      <c r="A22" s="1076"/>
      <c r="B22" s="1077"/>
      <c r="C22" s="1077"/>
      <c r="D22" s="1078"/>
      <c r="E22" s="1078"/>
      <c r="F22" s="1078"/>
      <c r="G22" s="1078"/>
      <c r="H22" s="1078"/>
      <c r="I22" s="1078"/>
      <c r="J22" s="1078"/>
      <c r="K22" s="1078"/>
      <c r="L22" s="1078"/>
      <c r="M22" s="1078"/>
      <c r="N22" s="1078"/>
      <c r="O22" s="1078"/>
      <c r="P22" s="1078"/>
      <c r="Q22" s="1078"/>
      <c r="R22" s="1079"/>
      <c r="S22" s="1079"/>
      <c r="T22" s="1079"/>
      <c r="U22" s="1079"/>
      <c r="V22" s="1079"/>
      <c r="W22" s="1079"/>
      <c r="X22" s="1079"/>
    </row>
    <row r="23" spans="1:36" x14ac:dyDescent="0.25">
      <c r="A23" s="1076"/>
      <c r="B23" s="1077"/>
      <c r="C23" s="1077"/>
      <c r="D23" s="1078"/>
      <c r="E23" s="1078"/>
      <c r="F23" s="1078"/>
      <c r="G23" s="1078"/>
      <c r="H23" s="1078"/>
      <c r="I23" s="1078"/>
      <c r="J23" s="1078"/>
      <c r="K23" s="1078"/>
      <c r="L23" s="1078"/>
      <c r="M23" s="1078"/>
      <c r="N23" s="1078"/>
      <c r="O23" s="1078"/>
      <c r="P23" s="1078"/>
      <c r="Q23" s="1078"/>
      <c r="R23" s="1079"/>
      <c r="S23" s="1079"/>
      <c r="T23" s="1079"/>
      <c r="U23" s="1079"/>
      <c r="V23" s="1079"/>
      <c r="W23" s="1079"/>
      <c r="X23" s="1079"/>
    </row>
    <row r="24" spans="1:36" x14ac:dyDescent="0.25">
      <c r="A24" s="1076"/>
      <c r="B24" s="1077"/>
      <c r="C24" s="1077"/>
      <c r="D24" s="1078"/>
      <c r="E24" s="1078"/>
      <c r="F24" s="1078"/>
      <c r="G24" s="1078"/>
      <c r="H24" s="1078"/>
      <c r="I24" s="1078"/>
      <c r="J24" s="1078"/>
      <c r="K24" s="1078"/>
      <c r="L24" s="1078"/>
      <c r="M24" s="1078"/>
      <c r="N24" s="1078"/>
      <c r="O24" s="1078"/>
      <c r="P24" s="1078"/>
      <c r="Q24" s="1078"/>
      <c r="R24" s="1079"/>
      <c r="S24" s="1079"/>
      <c r="T24" s="1079"/>
      <c r="U24" s="1079"/>
      <c r="V24" s="1079"/>
      <c r="W24" s="1079"/>
      <c r="X24" s="1079"/>
    </row>
    <row r="25" spans="1:36" x14ac:dyDescent="0.25">
      <c r="A25" s="1076"/>
      <c r="B25" s="1077"/>
      <c r="C25" s="1077"/>
      <c r="D25" s="1078"/>
      <c r="E25" s="1078"/>
      <c r="F25" s="1078"/>
      <c r="G25" s="1078"/>
      <c r="H25" s="1078"/>
      <c r="I25" s="1078"/>
      <c r="J25" s="1078"/>
      <c r="K25" s="1078"/>
      <c r="L25" s="1078"/>
      <c r="M25" s="1078"/>
      <c r="N25" s="1078"/>
      <c r="O25" s="1078"/>
      <c r="P25" s="1078"/>
      <c r="Q25" s="1078"/>
      <c r="R25" s="1079"/>
      <c r="S25" s="1079"/>
      <c r="T25" s="1079"/>
      <c r="U25" s="1079"/>
      <c r="V25" s="1079"/>
      <c r="W25" s="1079"/>
      <c r="X25" s="1079"/>
    </row>
    <row r="26" spans="1:36" x14ac:dyDescent="0.25">
      <c r="A26" s="1076"/>
      <c r="B26" s="1077"/>
      <c r="C26" s="1077"/>
      <c r="D26" s="1078"/>
      <c r="E26" s="1078"/>
      <c r="F26" s="1078"/>
      <c r="G26" s="1078"/>
      <c r="H26" s="1078"/>
      <c r="I26" s="1078"/>
      <c r="J26" s="1078"/>
      <c r="K26" s="1078"/>
      <c r="L26" s="1078"/>
      <c r="M26" s="1078"/>
      <c r="N26" s="1078"/>
      <c r="O26" s="1078"/>
      <c r="P26" s="1078"/>
      <c r="Q26" s="1078"/>
      <c r="R26" s="1079"/>
      <c r="S26" s="1079"/>
      <c r="T26" s="1079"/>
      <c r="U26" s="1079"/>
      <c r="V26" s="1079"/>
      <c r="W26" s="1079"/>
      <c r="X26" s="1079"/>
    </row>
    <row r="27" spans="1:36" x14ac:dyDescent="0.25">
      <c r="A27" s="1076"/>
      <c r="B27" s="1077"/>
      <c r="C27" s="1077"/>
      <c r="D27" s="1078"/>
      <c r="E27" s="1078"/>
      <c r="F27" s="1078"/>
      <c r="G27" s="1078"/>
      <c r="H27" s="1078"/>
      <c r="I27" s="1078"/>
      <c r="J27" s="1078"/>
      <c r="K27" s="1078"/>
      <c r="L27" s="1078"/>
      <c r="M27" s="1078"/>
      <c r="N27" s="1078"/>
      <c r="O27" s="1078"/>
      <c r="P27" s="1078"/>
      <c r="Q27" s="1078"/>
      <c r="R27" s="1079"/>
      <c r="S27" s="1079"/>
      <c r="T27" s="1079"/>
      <c r="U27" s="1079"/>
      <c r="V27" s="1079"/>
      <c r="W27" s="1079"/>
      <c r="X27" s="1079"/>
    </row>
    <row r="28" spans="1:36" x14ac:dyDescent="0.25">
      <c r="A28" s="1076"/>
      <c r="B28" s="1077"/>
      <c r="C28" s="1077"/>
      <c r="D28" s="1078"/>
      <c r="E28" s="1078"/>
      <c r="F28" s="1078"/>
      <c r="G28" s="1078"/>
      <c r="H28" s="1078"/>
      <c r="I28" s="1078"/>
      <c r="J28" s="1078"/>
      <c r="K28" s="1078"/>
      <c r="L28" s="1078"/>
      <c r="M28" s="1078"/>
      <c r="N28" s="1078"/>
      <c r="O28" s="1078"/>
      <c r="P28" s="1078"/>
      <c r="Q28" s="1078"/>
      <c r="R28" s="1079"/>
      <c r="S28" s="1079"/>
      <c r="T28" s="1079"/>
      <c r="U28" s="1079"/>
      <c r="V28" s="1079"/>
      <c r="W28" s="1079"/>
      <c r="X28" s="1079"/>
    </row>
    <row r="29" spans="1:36" x14ac:dyDescent="0.25">
      <c r="A29" s="1076"/>
      <c r="B29" s="1077"/>
      <c r="C29" s="1077"/>
      <c r="D29" s="1078"/>
      <c r="E29" s="1078"/>
      <c r="F29" s="1078"/>
      <c r="G29" s="1078"/>
      <c r="H29" s="1078"/>
      <c r="I29" s="1078"/>
      <c r="J29" s="1078"/>
      <c r="K29" s="1078"/>
      <c r="L29" s="1078"/>
      <c r="M29" s="1078"/>
      <c r="N29" s="1078"/>
      <c r="O29" s="1078"/>
      <c r="P29" s="1078"/>
      <c r="Q29" s="1078"/>
      <c r="R29" s="1079"/>
      <c r="S29" s="1079"/>
      <c r="T29" s="1079"/>
      <c r="U29" s="1079"/>
      <c r="V29" s="1079"/>
      <c r="W29" s="1079"/>
      <c r="X29" s="1079"/>
    </row>
    <row r="30" spans="1:36" x14ac:dyDescent="0.25">
      <c r="A30" s="1076"/>
      <c r="B30" s="1077"/>
      <c r="C30" s="1077"/>
      <c r="D30" s="1078"/>
      <c r="E30" s="1078"/>
      <c r="F30" s="1078"/>
      <c r="G30" s="1078"/>
      <c r="H30" s="1078"/>
      <c r="I30" s="1078"/>
      <c r="J30" s="1078"/>
      <c r="K30" s="1078"/>
      <c r="L30" s="1078"/>
      <c r="M30" s="1078"/>
      <c r="N30" s="1078"/>
      <c r="O30" s="1078"/>
      <c r="P30" s="1078"/>
      <c r="Q30" s="1078"/>
      <c r="R30" s="1079"/>
      <c r="S30" s="1079"/>
      <c r="T30" s="1079"/>
      <c r="U30" s="1079"/>
      <c r="V30" s="1079"/>
      <c r="W30" s="1079"/>
      <c r="X30" s="1079"/>
      <c r="Y30" s="1079"/>
      <c r="Z30" s="1079"/>
      <c r="AA30" s="1079"/>
      <c r="AB30" s="1079"/>
      <c r="AC30" s="1079"/>
      <c r="AD30" s="1079"/>
      <c r="AE30" s="1079"/>
      <c r="AF30" s="1079"/>
      <c r="AG30" s="1079"/>
      <c r="AH30" s="1079"/>
      <c r="AI30" s="1079"/>
      <c r="AJ30" s="1079"/>
    </row>
    <row r="31" spans="1:36" x14ac:dyDescent="0.25">
      <c r="A31" s="818">
        <v>7</v>
      </c>
      <c r="B31" s="818" t="s">
        <v>29</v>
      </c>
      <c r="C31" s="818"/>
      <c r="D31" s="4048" t="s">
        <v>392</v>
      </c>
      <c r="E31" s="4049"/>
      <c r="F31" s="4049"/>
      <c r="G31" s="4049"/>
      <c r="H31" s="4049"/>
      <c r="I31" s="4049"/>
      <c r="J31" s="4049"/>
      <c r="K31" s="4049"/>
      <c r="L31" s="4049"/>
      <c r="M31" s="4049"/>
      <c r="N31" s="4049"/>
      <c r="O31" s="4049"/>
      <c r="P31" s="4049"/>
      <c r="Q31" s="4049"/>
      <c r="R31" s="4049"/>
      <c r="S31" s="4049"/>
      <c r="T31" s="4049"/>
      <c r="U31" s="4050"/>
      <c r="V31" s="1079"/>
      <c r="W31" s="1079"/>
      <c r="X31" s="1079"/>
      <c r="Y31" s="1079"/>
      <c r="Z31" s="1079"/>
      <c r="AA31" s="1079"/>
      <c r="AB31" s="1079"/>
      <c r="AC31" s="1079"/>
      <c r="AD31" s="1079"/>
      <c r="AE31" s="1079"/>
      <c r="AF31" s="1079"/>
      <c r="AG31" s="1079"/>
      <c r="AH31" s="1079"/>
      <c r="AI31" s="1079"/>
      <c r="AJ31" s="1079"/>
    </row>
    <row r="32" spans="1:36" ht="12.75" customHeight="1" x14ac:dyDescent="0.25">
      <c r="A32" s="782">
        <v>8</v>
      </c>
      <c r="B32" s="782" t="s">
        <v>32</v>
      </c>
      <c r="C32" s="782"/>
      <c r="D32" s="4048" t="s">
        <v>1368</v>
      </c>
      <c r="E32" s="4049"/>
      <c r="F32" s="4049"/>
      <c r="G32" s="4049"/>
      <c r="H32" s="4049"/>
      <c r="I32" s="4049"/>
      <c r="J32" s="4049"/>
      <c r="K32" s="4049"/>
      <c r="L32" s="4049"/>
      <c r="M32" s="4049"/>
      <c r="N32" s="4049"/>
      <c r="O32" s="4049"/>
      <c r="P32" s="4049"/>
      <c r="Q32" s="4049"/>
      <c r="R32" s="4049"/>
      <c r="S32" s="4049"/>
      <c r="T32" s="4049"/>
      <c r="U32" s="4050"/>
      <c r="V32" s="1079"/>
      <c r="W32" s="1079"/>
      <c r="X32" s="1079"/>
      <c r="Y32" s="1079"/>
      <c r="Z32" s="1079"/>
      <c r="AA32" s="1079"/>
      <c r="AB32" s="1079"/>
      <c r="AC32" s="1079"/>
      <c r="AD32" s="1079"/>
      <c r="AE32" s="1079"/>
      <c r="AF32" s="1079"/>
      <c r="AG32" s="1079"/>
      <c r="AH32" s="1079"/>
      <c r="AI32" s="1079"/>
      <c r="AJ32" s="1079"/>
    </row>
    <row r="33" spans="1:36" ht="16.5" customHeight="1" x14ac:dyDescent="0.25">
      <c r="A33" s="818">
        <v>9</v>
      </c>
      <c r="B33" s="782" t="s">
        <v>31</v>
      </c>
      <c r="C33" s="1077"/>
      <c r="D33" s="4048" t="s">
        <v>1362</v>
      </c>
      <c r="E33" s="4049"/>
      <c r="F33" s="4049"/>
      <c r="G33" s="4049"/>
      <c r="H33" s="4049"/>
      <c r="I33" s="4049"/>
      <c r="J33" s="4049"/>
      <c r="K33" s="4049"/>
      <c r="L33" s="4049"/>
      <c r="M33" s="4049"/>
      <c r="N33" s="4049"/>
      <c r="O33" s="4049"/>
      <c r="P33" s="4049"/>
      <c r="Q33" s="4049"/>
      <c r="R33" s="4049"/>
      <c r="S33" s="4049"/>
      <c r="T33" s="4049"/>
      <c r="U33" s="4050"/>
      <c r="V33" s="1079"/>
      <c r="W33" s="1079"/>
      <c r="X33" s="1079"/>
      <c r="Y33" s="1079"/>
      <c r="Z33" s="1079"/>
      <c r="AA33" s="1079"/>
      <c r="AB33" s="1079"/>
      <c r="AC33" s="1079"/>
      <c r="AD33" s="1079"/>
      <c r="AE33" s="1079"/>
      <c r="AF33" s="1079"/>
      <c r="AG33" s="1079"/>
      <c r="AH33" s="1079"/>
      <c r="AI33" s="1079"/>
      <c r="AJ33" s="1079"/>
    </row>
    <row r="34" spans="1:36" ht="83.25" customHeight="1" x14ac:dyDescent="0.25">
      <c r="A34" s="782">
        <v>10</v>
      </c>
      <c r="B34" s="782" t="s">
        <v>34</v>
      </c>
      <c r="D34" s="4048" t="s">
        <v>1369</v>
      </c>
      <c r="E34" s="4049"/>
      <c r="F34" s="4049"/>
      <c r="G34" s="4049"/>
      <c r="H34" s="4049"/>
      <c r="I34" s="4049"/>
      <c r="J34" s="4049"/>
      <c r="K34" s="4049"/>
      <c r="L34" s="4049"/>
      <c r="M34" s="4049"/>
      <c r="N34" s="4049"/>
      <c r="O34" s="4049"/>
      <c r="P34" s="4049"/>
      <c r="Q34" s="4049"/>
      <c r="R34" s="4049"/>
      <c r="S34" s="4049"/>
      <c r="T34" s="4049"/>
      <c r="U34" s="4050"/>
      <c r="V34" s="1079"/>
      <c r="W34" s="1079"/>
      <c r="X34" s="1079"/>
      <c r="Y34" s="1079"/>
      <c r="Z34" s="1079"/>
      <c r="AA34" s="1079"/>
      <c r="AB34" s="1079"/>
      <c r="AC34" s="1079"/>
      <c r="AD34" s="1079"/>
      <c r="AE34" s="1079"/>
      <c r="AF34" s="1079"/>
      <c r="AG34" s="1079"/>
      <c r="AH34" s="1079"/>
      <c r="AI34" s="1079"/>
      <c r="AJ34" s="1079"/>
    </row>
    <row r="35" spans="1:36" x14ac:dyDescent="0.25">
      <c r="V35" s="1079"/>
      <c r="W35" s="1079"/>
      <c r="X35" s="1079"/>
      <c r="Y35" s="1079"/>
      <c r="Z35" s="1079"/>
      <c r="AA35" s="1079"/>
      <c r="AB35" s="1079"/>
      <c r="AC35" s="1079"/>
      <c r="AD35" s="1079"/>
      <c r="AE35" s="1079"/>
      <c r="AF35" s="1079"/>
      <c r="AG35" s="1079"/>
      <c r="AH35" s="1079"/>
      <c r="AI35" s="1079"/>
      <c r="AJ35" s="1079"/>
    </row>
    <row r="36" spans="1:36" x14ac:dyDescent="0.25">
      <c r="V36" s="1079"/>
      <c r="W36" s="1079"/>
      <c r="X36" s="1079"/>
      <c r="Y36" s="1079"/>
      <c r="Z36" s="1079"/>
      <c r="AA36" s="1079"/>
      <c r="AB36" s="1079"/>
      <c r="AC36" s="1079"/>
      <c r="AD36" s="1079"/>
      <c r="AE36" s="1079"/>
      <c r="AF36" s="1079"/>
      <c r="AG36" s="1079"/>
      <c r="AH36" s="1079"/>
      <c r="AI36" s="1079"/>
      <c r="AJ36" s="1079"/>
    </row>
    <row r="44" spans="1:36" x14ac:dyDescent="0.25">
      <c r="G44" s="336"/>
    </row>
    <row r="59" spans="4:36" x14ac:dyDescent="0.25">
      <c r="D59" s="3226"/>
      <c r="E59" s="4360">
        <v>2000</v>
      </c>
      <c r="F59" s="4359"/>
      <c r="G59" s="4358">
        <v>2001</v>
      </c>
      <c r="H59" s="4359"/>
      <c r="I59" s="4358">
        <v>2002</v>
      </c>
      <c r="J59" s="4359"/>
      <c r="K59" s="4358">
        <v>2003</v>
      </c>
      <c r="L59" s="4359"/>
      <c r="M59" s="4358">
        <v>2004</v>
      </c>
      <c r="N59" s="4359"/>
      <c r="O59" s="4358">
        <v>2005</v>
      </c>
      <c r="P59" s="4359"/>
      <c r="Q59" s="4358">
        <v>2006</v>
      </c>
      <c r="R59" s="4359"/>
      <c r="S59" s="4358">
        <v>2007</v>
      </c>
      <c r="T59" s="4359"/>
      <c r="U59" s="4358">
        <v>2008</v>
      </c>
      <c r="V59" s="4359"/>
      <c r="W59" s="4358" t="s">
        <v>57</v>
      </c>
      <c r="X59" s="4359"/>
      <c r="Y59" s="4358">
        <v>2010</v>
      </c>
      <c r="Z59" s="4359"/>
      <c r="AA59" s="4358">
        <v>2011</v>
      </c>
      <c r="AB59" s="4359"/>
      <c r="AC59" s="4358">
        <v>2012</v>
      </c>
      <c r="AD59" s="4359"/>
      <c r="AE59" s="4358">
        <v>2013</v>
      </c>
      <c r="AF59" s="4359"/>
      <c r="AG59" s="4358">
        <v>2014</v>
      </c>
      <c r="AH59" s="4359"/>
      <c r="AI59" s="4360">
        <v>2015</v>
      </c>
      <c r="AJ59" s="4361"/>
    </row>
    <row r="60" spans="4:36" x14ac:dyDescent="0.25">
      <c r="D60" s="3227"/>
      <c r="E60" s="3228" t="s">
        <v>1358</v>
      </c>
      <c r="F60" s="3229" t="s">
        <v>994</v>
      </c>
      <c r="G60" s="3230" t="s">
        <v>1358</v>
      </c>
      <c r="H60" s="3229" t="s">
        <v>994</v>
      </c>
      <c r="I60" s="3230" t="s">
        <v>1358</v>
      </c>
      <c r="J60" s="3229" t="s">
        <v>994</v>
      </c>
      <c r="K60" s="3230" t="s">
        <v>1358</v>
      </c>
      <c r="L60" s="3231" t="s">
        <v>994</v>
      </c>
      <c r="M60" s="3230" t="s">
        <v>1358</v>
      </c>
      <c r="N60" s="3229" t="s">
        <v>994</v>
      </c>
      <c r="O60" s="3230" t="s">
        <v>1358</v>
      </c>
      <c r="P60" s="3229" t="s">
        <v>994</v>
      </c>
      <c r="Q60" s="3230" t="s">
        <v>1358</v>
      </c>
      <c r="R60" s="3229" t="s">
        <v>994</v>
      </c>
      <c r="S60" s="3230" t="s">
        <v>1358</v>
      </c>
      <c r="T60" s="3229" t="s">
        <v>994</v>
      </c>
      <c r="U60" s="1743" t="s">
        <v>988</v>
      </c>
      <c r="V60" s="3229" t="s">
        <v>994</v>
      </c>
      <c r="W60" s="1743" t="s">
        <v>988</v>
      </c>
      <c r="X60" s="3229" t="s">
        <v>1370</v>
      </c>
      <c r="Y60" s="1743" t="s">
        <v>1358</v>
      </c>
      <c r="Z60" s="3229" t="s">
        <v>994</v>
      </c>
      <c r="AA60" s="1743" t="s">
        <v>988</v>
      </c>
      <c r="AB60" s="3229" t="s">
        <v>1370</v>
      </c>
      <c r="AC60" s="1743" t="s">
        <v>988</v>
      </c>
      <c r="AD60" s="3229" t="s">
        <v>1370</v>
      </c>
      <c r="AE60" s="1743" t="s">
        <v>988</v>
      </c>
      <c r="AF60" s="3229" t="s">
        <v>1370</v>
      </c>
      <c r="AG60" s="1743" t="s">
        <v>988</v>
      </c>
      <c r="AH60" s="3229" t="s">
        <v>1370</v>
      </c>
      <c r="AI60" s="3232" t="s">
        <v>988</v>
      </c>
      <c r="AJ60" s="3233" t="s">
        <v>1370</v>
      </c>
    </row>
    <row r="61" spans="4:36" x14ac:dyDescent="0.25">
      <c r="D61" s="3234" t="s">
        <v>1371</v>
      </c>
      <c r="E61" s="3235">
        <v>74</v>
      </c>
      <c r="F61" s="3212">
        <v>69</v>
      </c>
      <c r="G61" s="931">
        <v>40</v>
      </c>
      <c r="H61" s="2048">
        <v>40</v>
      </c>
      <c r="I61" s="18">
        <v>43</v>
      </c>
      <c r="J61" s="2048">
        <v>44</v>
      </c>
      <c r="K61" s="2070">
        <v>47.9</v>
      </c>
      <c r="L61" s="3213">
        <v>50.8</v>
      </c>
      <c r="M61" s="2070">
        <v>60.4</v>
      </c>
      <c r="N61" s="3213">
        <v>59.4</v>
      </c>
      <c r="O61" s="3236">
        <v>59.7</v>
      </c>
      <c r="P61" s="3213">
        <v>58.6</v>
      </c>
      <c r="Q61" s="2070">
        <v>60.3</v>
      </c>
      <c r="R61" s="3213">
        <v>58.1</v>
      </c>
      <c r="S61" s="2070">
        <v>57</v>
      </c>
      <c r="T61" s="3213">
        <v>54.9</v>
      </c>
      <c r="U61" s="2070">
        <v>48.5</v>
      </c>
      <c r="V61" s="3213">
        <v>50</v>
      </c>
      <c r="W61" s="2070">
        <v>48.5</v>
      </c>
      <c r="X61" s="3213">
        <v>57</v>
      </c>
      <c r="Y61" s="2070">
        <v>46</v>
      </c>
      <c r="Z61" s="3213">
        <v>54</v>
      </c>
      <c r="AA61" s="2070">
        <v>48</v>
      </c>
      <c r="AB61" s="3213">
        <v>40.200000000000003</v>
      </c>
      <c r="AC61" s="2070">
        <v>42</v>
      </c>
      <c r="AD61" s="3213">
        <v>35.799999999999997</v>
      </c>
      <c r="AE61" s="2070">
        <v>37</v>
      </c>
      <c r="AF61" s="3213">
        <v>34</v>
      </c>
      <c r="AG61" s="2070">
        <v>43</v>
      </c>
      <c r="AH61" s="3213">
        <v>46</v>
      </c>
      <c r="AI61" s="2071">
        <v>40</v>
      </c>
      <c r="AJ61" s="3237">
        <v>37</v>
      </c>
    </row>
    <row r="62" spans="4:36" x14ac:dyDescent="0.25">
      <c r="D62" s="1078"/>
      <c r="E62" s="3216">
        <f>+AVERAGE(E61:F61)</f>
        <v>71.5</v>
      </c>
      <c r="F62" s="3216"/>
      <c r="G62" s="3216">
        <f>+AVERAGE(G61:H61)</f>
        <v>40</v>
      </c>
      <c r="H62" s="3216"/>
      <c r="I62" s="3216">
        <f>+AVERAGE(I61:J61)</f>
        <v>43.5</v>
      </c>
      <c r="J62" s="3216"/>
      <c r="K62" s="3216">
        <f>+AVERAGE(K61:L61)</f>
        <v>49.349999999999994</v>
      </c>
      <c r="L62" s="3216"/>
      <c r="M62" s="3216">
        <f>+AVERAGE(M61:N61)</f>
        <v>59.9</v>
      </c>
      <c r="N62" s="3216"/>
      <c r="O62" s="3216">
        <f>+AVERAGE(O61:P61)</f>
        <v>59.150000000000006</v>
      </c>
      <c r="P62" s="3216"/>
      <c r="Q62" s="3216">
        <f>+AVERAGE(Q61:R61)</f>
        <v>59.2</v>
      </c>
      <c r="R62" s="3217"/>
      <c r="S62" s="3216">
        <f>+AVERAGE(S61:T61)</f>
        <v>55.95</v>
      </c>
      <c r="T62" s="3217"/>
      <c r="U62" s="3216">
        <f>+AVERAGE(U61:V61)</f>
        <v>49.25</v>
      </c>
      <c r="V62" s="3217"/>
      <c r="W62" s="3216">
        <f>+AVERAGE(W61:X61)</f>
        <v>52.75</v>
      </c>
      <c r="X62" s="3217"/>
      <c r="Y62" s="3216">
        <f>+AVERAGE(Y61:Z61)</f>
        <v>50</v>
      </c>
      <c r="Z62" s="3225"/>
      <c r="AA62" s="3216">
        <f>+AVERAGE(AA61:AB61)</f>
        <v>44.1</v>
      </c>
      <c r="AB62" s="3225"/>
      <c r="AC62" s="3216">
        <f>+AVERAGE(AC61:AD61)</f>
        <v>38.9</v>
      </c>
      <c r="AE62" s="3216">
        <f>+AVERAGE(AE61:AF61)</f>
        <v>35.5</v>
      </c>
      <c r="AF62" s="3225"/>
      <c r="AG62" s="3216">
        <f>+AVERAGE(AG61:AH61)</f>
        <v>44.5</v>
      </c>
    </row>
  </sheetData>
  <mergeCells count="24">
    <mergeCell ref="D32:U32"/>
    <mergeCell ref="D31:U31"/>
    <mergeCell ref="D2:V2"/>
    <mergeCell ref="D3:V3"/>
    <mergeCell ref="D4:V4"/>
    <mergeCell ref="D5:V5"/>
    <mergeCell ref="D33:U33"/>
    <mergeCell ref="D34:U34"/>
    <mergeCell ref="E59:F59"/>
    <mergeCell ref="G59:H59"/>
    <mergeCell ref="I59:J59"/>
    <mergeCell ref="K59:L59"/>
    <mergeCell ref="M59:N59"/>
    <mergeCell ref="O59:P59"/>
    <mergeCell ref="Q59:R59"/>
    <mergeCell ref="S59:T59"/>
    <mergeCell ref="AG59:AH59"/>
    <mergeCell ref="AI59:AJ59"/>
    <mergeCell ref="U59:V59"/>
    <mergeCell ref="W59:X59"/>
    <mergeCell ref="Y59:Z59"/>
    <mergeCell ref="AA59:AB59"/>
    <mergeCell ref="AC59:AD59"/>
    <mergeCell ref="AE59:AF59"/>
  </mergeCells>
  <pageMargins left="0.74803149606299213" right="0.74803149606299213" top="0.98425196850393704" bottom="0.98425196850393704" header="0.51181102362204722" footer="0.51181102362204722"/>
  <pageSetup paperSize="9" scale="7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44"/>
  <sheetViews>
    <sheetView showGridLines="0" view="pageBreakPreview" zoomScaleNormal="100" zoomScaleSheetLayoutView="100" workbookViewId="0">
      <selection activeCell="P7" sqref="P7:P8"/>
    </sheetView>
  </sheetViews>
  <sheetFormatPr defaultColWidth="9.140625" defaultRowHeight="15" x14ac:dyDescent="0.25"/>
  <cols>
    <col min="1" max="1" width="3.7109375" style="1000" customWidth="1"/>
    <col min="2" max="2" width="14.42578125" style="1000" customWidth="1"/>
    <col min="3" max="3" width="3.7109375" style="1000" customWidth="1"/>
    <col min="4" max="4" width="14.7109375" style="267" customWidth="1"/>
    <col min="5" max="10" width="6.7109375" style="267" customWidth="1"/>
    <col min="11" max="15" width="6.7109375" style="903" customWidth="1"/>
    <col min="16" max="16" width="9.28515625" style="903" bestFit="1" customWidth="1"/>
    <col min="17" max="17" width="14" style="903" bestFit="1" customWidth="1"/>
    <col min="18" max="28" width="9.140625" style="903"/>
    <col min="29" max="256" width="9.140625" style="267"/>
    <col min="257" max="257" width="3.7109375" style="267" customWidth="1"/>
    <col min="258" max="258" width="14.42578125" style="267" customWidth="1"/>
    <col min="259" max="259" width="3.7109375" style="267" customWidth="1"/>
    <col min="260" max="260" width="14.7109375" style="267" customWidth="1"/>
    <col min="261" max="271" width="6.7109375" style="267" customWidth="1"/>
    <col min="272" max="272" width="9.28515625" style="267" bestFit="1" customWidth="1"/>
    <col min="273" max="512" width="9.140625" style="267"/>
    <col min="513" max="513" width="3.7109375" style="267" customWidth="1"/>
    <col min="514" max="514" width="14.42578125" style="267" customWidth="1"/>
    <col min="515" max="515" width="3.7109375" style="267" customWidth="1"/>
    <col min="516" max="516" width="14.7109375" style="267" customWidth="1"/>
    <col min="517" max="527" width="6.7109375" style="267" customWidth="1"/>
    <col min="528" max="528" width="9.28515625" style="267" bestFit="1" customWidth="1"/>
    <col min="529" max="768" width="9.140625" style="267"/>
    <col min="769" max="769" width="3.7109375" style="267" customWidth="1"/>
    <col min="770" max="770" width="14.42578125" style="267" customWidth="1"/>
    <col min="771" max="771" width="3.7109375" style="267" customWidth="1"/>
    <col min="772" max="772" width="14.7109375" style="267" customWidth="1"/>
    <col min="773" max="783" width="6.7109375" style="267" customWidth="1"/>
    <col min="784" max="784" width="9.28515625" style="267" bestFit="1" customWidth="1"/>
    <col min="785" max="1024" width="9.140625" style="267"/>
    <col min="1025" max="1025" width="3.7109375" style="267" customWidth="1"/>
    <col min="1026" max="1026" width="14.42578125" style="267" customWidth="1"/>
    <col min="1027" max="1027" width="3.7109375" style="267" customWidth="1"/>
    <col min="1028" max="1028" width="14.7109375" style="267" customWidth="1"/>
    <col min="1029" max="1039" width="6.7109375" style="267" customWidth="1"/>
    <col min="1040" max="1040" width="9.28515625" style="267" bestFit="1" customWidth="1"/>
    <col min="1041" max="1280" width="9.140625" style="267"/>
    <col min="1281" max="1281" width="3.7109375" style="267" customWidth="1"/>
    <col min="1282" max="1282" width="14.42578125" style="267" customWidth="1"/>
    <col min="1283" max="1283" width="3.7109375" style="267" customWidth="1"/>
    <col min="1284" max="1284" width="14.7109375" style="267" customWidth="1"/>
    <col min="1285" max="1295" width="6.7109375" style="267" customWidth="1"/>
    <col min="1296" max="1296" width="9.28515625" style="267" bestFit="1" customWidth="1"/>
    <col min="1297" max="1536" width="9.140625" style="267"/>
    <col min="1537" max="1537" width="3.7109375" style="267" customWidth="1"/>
    <col min="1538" max="1538" width="14.42578125" style="267" customWidth="1"/>
    <col min="1539" max="1539" width="3.7109375" style="267" customWidth="1"/>
    <col min="1540" max="1540" width="14.7109375" style="267" customWidth="1"/>
    <col min="1541" max="1551" width="6.7109375" style="267" customWidth="1"/>
    <col min="1552" max="1552" width="9.28515625" style="267" bestFit="1" customWidth="1"/>
    <col min="1553" max="1792" width="9.140625" style="267"/>
    <col min="1793" max="1793" width="3.7109375" style="267" customWidth="1"/>
    <col min="1794" max="1794" width="14.42578125" style="267" customWidth="1"/>
    <col min="1795" max="1795" width="3.7109375" style="267" customWidth="1"/>
    <col min="1796" max="1796" width="14.7109375" style="267" customWidth="1"/>
    <col min="1797" max="1807" width="6.7109375" style="267" customWidth="1"/>
    <col min="1808" max="1808" width="9.28515625" style="267" bestFit="1" customWidth="1"/>
    <col min="1809" max="2048" width="9.140625" style="267"/>
    <col min="2049" max="2049" width="3.7109375" style="267" customWidth="1"/>
    <col min="2050" max="2050" width="14.42578125" style="267" customWidth="1"/>
    <col min="2051" max="2051" width="3.7109375" style="267" customWidth="1"/>
    <col min="2052" max="2052" width="14.7109375" style="267" customWidth="1"/>
    <col min="2053" max="2063" width="6.7109375" style="267" customWidth="1"/>
    <col min="2064" max="2064" width="9.28515625" style="267" bestFit="1" customWidth="1"/>
    <col min="2065" max="2304" width="9.140625" style="267"/>
    <col min="2305" max="2305" width="3.7109375" style="267" customWidth="1"/>
    <col min="2306" max="2306" width="14.42578125" style="267" customWidth="1"/>
    <col min="2307" max="2307" width="3.7109375" style="267" customWidth="1"/>
    <col min="2308" max="2308" width="14.7109375" style="267" customWidth="1"/>
    <col min="2309" max="2319" width="6.7109375" style="267" customWidth="1"/>
    <col min="2320" max="2320" width="9.28515625" style="267" bestFit="1" customWidth="1"/>
    <col min="2321" max="2560" width="9.140625" style="267"/>
    <col min="2561" max="2561" width="3.7109375" style="267" customWidth="1"/>
    <col min="2562" max="2562" width="14.42578125" style="267" customWidth="1"/>
    <col min="2563" max="2563" width="3.7109375" style="267" customWidth="1"/>
    <col min="2564" max="2564" width="14.7109375" style="267" customWidth="1"/>
    <col min="2565" max="2575" width="6.7109375" style="267" customWidth="1"/>
    <col min="2576" max="2576" width="9.28515625" style="267" bestFit="1" customWidth="1"/>
    <col min="2577" max="2816" width="9.140625" style="267"/>
    <col min="2817" max="2817" width="3.7109375" style="267" customWidth="1"/>
    <col min="2818" max="2818" width="14.42578125" style="267" customWidth="1"/>
    <col min="2819" max="2819" width="3.7109375" style="267" customWidth="1"/>
    <col min="2820" max="2820" width="14.7109375" style="267" customWidth="1"/>
    <col min="2821" max="2831" width="6.7109375" style="267" customWidth="1"/>
    <col min="2832" max="2832" width="9.28515625" style="267" bestFit="1" customWidth="1"/>
    <col min="2833" max="3072" width="9.140625" style="267"/>
    <col min="3073" max="3073" width="3.7109375" style="267" customWidth="1"/>
    <col min="3074" max="3074" width="14.42578125" style="267" customWidth="1"/>
    <col min="3075" max="3075" width="3.7109375" style="267" customWidth="1"/>
    <col min="3076" max="3076" width="14.7109375" style="267" customWidth="1"/>
    <col min="3077" max="3087" width="6.7109375" style="267" customWidth="1"/>
    <col min="3088" max="3088" width="9.28515625" style="267" bestFit="1" customWidth="1"/>
    <col min="3089" max="3328" width="9.140625" style="267"/>
    <col min="3329" max="3329" width="3.7109375" style="267" customWidth="1"/>
    <col min="3330" max="3330" width="14.42578125" style="267" customWidth="1"/>
    <col min="3331" max="3331" width="3.7109375" style="267" customWidth="1"/>
    <col min="3332" max="3332" width="14.7109375" style="267" customWidth="1"/>
    <col min="3333" max="3343" width="6.7109375" style="267" customWidth="1"/>
    <col min="3344" max="3344" width="9.28515625" style="267" bestFit="1" customWidth="1"/>
    <col min="3345" max="3584" width="9.140625" style="267"/>
    <col min="3585" max="3585" width="3.7109375" style="267" customWidth="1"/>
    <col min="3586" max="3586" width="14.42578125" style="267" customWidth="1"/>
    <col min="3587" max="3587" width="3.7109375" style="267" customWidth="1"/>
    <col min="3588" max="3588" width="14.7109375" style="267" customWidth="1"/>
    <col min="3589" max="3599" width="6.7109375" style="267" customWidth="1"/>
    <col min="3600" max="3600" width="9.28515625" style="267" bestFit="1" customWidth="1"/>
    <col min="3601" max="3840" width="9.140625" style="267"/>
    <col min="3841" max="3841" width="3.7109375" style="267" customWidth="1"/>
    <col min="3842" max="3842" width="14.42578125" style="267" customWidth="1"/>
    <col min="3843" max="3843" width="3.7109375" style="267" customWidth="1"/>
    <col min="3844" max="3844" width="14.7109375" style="267" customWidth="1"/>
    <col min="3845" max="3855" width="6.7109375" style="267" customWidth="1"/>
    <col min="3856" max="3856" width="9.28515625" style="267" bestFit="1" customWidth="1"/>
    <col min="3857" max="4096" width="9.140625" style="267"/>
    <col min="4097" max="4097" width="3.7109375" style="267" customWidth="1"/>
    <col min="4098" max="4098" width="14.42578125" style="267" customWidth="1"/>
    <col min="4099" max="4099" width="3.7109375" style="267" customWidth="1"/>
    <col min="4100" max="4100" width="14.7109375" style="267" customWidth="1"/>
    <col min="4101" max="4111" width="6.7109375" style="267" customWidth="1"/>
    <col min="4112" max="4112" width="9.28515625" style="267" bestFit="1" customWidth="1"/>
    <col min="4113" max="4352" width="9.140625" style="267"/>
    <col min="4353" max="4353" width="3.7109375" style="267" customWidth="1"/>
    <col min="4354" max="4354" width="14.42578125" style="267" customWidth="1"/>
    <col min="4355" max="4355" width="3.7109375" style="267" customWidth="1"/>
    <col min="4356" max="4356" width="14.7109375" style="267" customWidth="1"/>
    <col min="4357" max="4367" width="6.7109375" style="267" customWidth="1"/>
    <col min="4368" max="4368" width="9.28515625" style="267" bestFit="1" customWidth="1"/>
    <col min="4369" max="4608" width="9.140625" style="267"/>
    <col min="4609" max="4609" width="3.7109375" style="267" customWidth="1"/>
    <col min="4610" max="4610" width="14.42578125" style="267" customWidth="1"/>
    <col min="4611" max="4611" width="3.7109375" style="267" customWidth="1"/>
    <col min="4612" max="4612" width="14.7109375" style="267" customWidth="1"/>
    <col min="4613" max="4623" width="6.7109375" style="267" customWidth="1"/>
    <col min="4624" max="4624" width="9.28515625" style="267" bestFit="1" customWidth="1"/>
    <col min="4625" max="4864" width="9.140625" style="267"/>
    <col min="4865" max="4865" width="3.7109375" style="267" customWidth="1"/>
    <col min="4866" max="4866" width="14.42578125" style="267" customWidth="1"/>
    <col min="4867" max="4867" width="3.7109375" style="267" customWidth="1"/>
    <col min="4868" max="4868" width="14.7109375" style="267" customWidth="1"/>
    <col min="4869" max="4879" width="6.7109375" style="267" customWidth="1"/>
    <col min="4880" max="4880" width="9.28515625" style="267" bestFit="1" customWidth="1"/>
    <col min="4881" max="5120" width="9.140625" style="267"/>
    <col min="5121" max="5121" width="3.7109375" style="267" customWidth="1"/>
    <col min="5122" max="5122" width="14.42578125" style="267" customWidth="1"/>
    <col min="5123" max="5123" width="3.7109375" style="267" customWidth="1"/>
    <col min="5124" max="5124" width="14.7109375" style="267" customWidth="1"/>
    <col min="5125" max="5135" width="6.7109375" style="267" customWidth="1"/>
    <col min="5136" max="5136" width="9.28515625" style="267" bestFit="1" customWidth="1"/>
    <col min="5137" max="5376" width="9.140625" style="267"/>
    <col min="5377" max="5377" width="3.7109375" style="267" customWidth="1"/>
    <col min="5378" max="5378" width="14.42578125" style="267" customWidth="1"/>
    <col min="5379" max="5379" width="3.7109375" style="267" customWidth="1"/>
    <col min="5380" max="5380" width="14.7109375" style="267" customWidth="1"/>
    <col min="5381" max="5391" width="6.7109375" style="267" customWidth="1"/>
    <col min="5392" max="5392" width="9.28515625" style="267" bestFit="1" customWidth="1"/>
    <col min="5393" max="5632" width="9.140625" style="267"/>
    <col min="5633" max="5633" width="3.7109375" style="267" customWidth="1"/>
    <col min="5634" max="5634" width="14.42578125" style="267" customWidth="1"/>
    <col min="5635" max="5635" width="3.7109375" style="267" customWidth="1"/>
    <col min="5636" max="5636" width="14.7109375" style="267" customWidth="1"/>
    <col min="5637" max="5647" width="6.7109375" style="267" customWidth="1"/>
    <col min="5648" max="5648" width="9.28515625" style="267" bestFit="1" customWidth="1"/>
    <col min="5649" max="5888" width="9.140625" style="267"/>
    <col min="5889" max="5889" width="3.7109375" style="267" customWidth="1"/>
    <col min="5890" max="5890" width="14.42578125" style="267" customWidth="1"/>
    <col min="5891" max="5891" width="3.7109375" style="267" customWidth="1"/>
    <col min="5892" max="5892" width="14.7109375" style="267" customWidth="1"/>
    <col min="5893" max="5903" width="6.7109375" style="267" customWidth="1"/>
    <col min="5904" max="5904" width="9.28515625" style="267" bestFit="1" customWidth="1"/>
    <col min="5905" max="6144" width="9.140625" style="267"/>
    <col min="6145" max="6145" width="3.7109375" style="267" customWidth="1"/>
    <col min="6146" max="6146" width="14.42578125" style="267" customWidth="1"/>
    <col min="6147" max="6147" width="3.7109375" style="267" customWidth="1"/>
    <col min="6148" max="6148" width="14.7109375" style="267" customWidth="1"/>
    <col min="6149" max="6159" width="6.7109375" style="267" customWidth="1"/>
    <col min="6160" max="6160" width="9.28515625" style="267" bestFit="1" customWidth="1"/>
    <col min="6161" max="6400" width="9.140625" style="267"/>
    <col min="6401" max="6401" width="3.7109375" style="267" customWidth="1"/>
    <col min="6402" max="6402" width="14.42578125" style="267" customWidth="1"/>
    <col min="6403" max="6403" width="3.7109375" style="267" customWidth="1"/>
    <col min="6404" max="6404" width="14.7109375" style="267" customWidth="1"/>
    <col min="6405" max="6415" width="6.7109375" style="267" customWidth="1"/>
    <col min="6416" max="6416" width="9.28515625" style="267" bestFit="1" customWidth="1"/>
    <col min="6417" max="6656" width="9.140625" style="267"/>
    <col min="6657" max="6657" width="3.7109375" style="267" customWidth="1"/>
    <col min="6658" max="6658" width="14.42578125" style="267" customWidth="1"/>
    <col min="6659" max="6659" width="3.7109375" style="267" customWidth="1"/>
    <col min="6660" max="6660" width="14.7109375" style="267" customWidth="1"/>
    <col min="6661" max="6671" width="6.7109375" style="267" customWidth="1"/>
    <col min="6672" max="6672" width="9.28515625" style="267" bestFit="1" customWidth="1"/>
    <col min="6673" max="6912" width="9.140625" style="267"/>
    <col min="6913" max="6913" width="3.7109375" style="267" customWidth="1"/>
    <col min="6914" max="6914" width="14.42578125" style="267" customWidth="1"/>
    <col min="6915" max="6915" width="3.7109375" style="267" customWidth="1"/>
    <col min="6916" max="6916" width="14.7109375" style="267" customWidth="1"/>
    <col min="6917" max="6927" width="6.7109375" style="267" customWidth="1"/>
    <col min="6928" max="6928" width="9.28515625" style="267" bestFit="1" customWidth="1"/>
    <col min="6929" max="7168" width="9.140625" style="267"/>
    <col min="7169" max="7169" width="3.7109375" style="267" customWidth="1"/>
    <col min="7170" max="7170" width="14.42578125" style="267" customWidth="1"/>
    <col min="7171" max="7171" width="3.7109375" style="267" customWidth="1"/>
    <col min="7172" max="7172" width="14.7109375" style="267" customWidth="1"/>
    <col min="7173" max="7183" width="6.7109375" style="267" customWidth="1"/>
    <col min="7184" max="7184" width="9.28515625" style="267" bestFit="1" customWidth="1"/>
    <col min="7185" max="7424" width="9.140625" style="267"/>
    <col min="7425" max="7425" width="3.7109375" style="267" customWidth="1"/>
    <col min="7426" max="7426" width="14.42578125" style="267" customWidth="1"/>
    <col min="7427" max="7427" width="3.7109375" style="267" customWidth="1"/>
    <col min="7428" max="7428" width="14.7109375" style="267" customWidth="1"/>
    <col min="7429" max="7439" width="6.7109375" style="267" customWidth="1"/>
    <col min="7440" max="7440" width="9.28515625" style="267" bestFit="1" customWidth="1"/>
    <col min="7441" max="7680" width="9.140625" style="267"/>
    <col min="7681" max="7681" width="3.7109375" style="267" customWidth="1"/>
    <col min="7682" max="7682" width="14.42578125" style="267" customWidth="1"/>
    <col min="7683" max="7683" width="3.7109375" style="267" customWidth="1"/>
    <col min="7684" max="7684" width="14.7109375" style="267" customWidth="1"/>
    <col min="7685" max="7695" width="6.7109375" style="267" customWidth="1"/>
    <col min="7696" max="7696" width="9.28515625" style="267" bestFit="1" customWidth="1"/>
    <col min="7697" max="7936" width="9.140625" style="267"/>
    <col min="7937" max="7937" width="3.7109375" style="267" customWidth="1"/>
    <col min="7938" max="7938" width="14.42578125" style="267" customWidth="1"/>
    <col min="7939" max="7939" width="3.7109375" style="267" customWidth="1"/>
    <col min="7940" max="7940" width="14.7109375" style="267" customWidth="1"/>
    <col min="7941" max="7951" width="6.7109375" style="267" customWidth="1"/>
    <col min="7952" max="7952" width="9.28515625" style="267" bestFit="1" customWidth="1"/>
    <col min="7953" max="8192" width="9.140625" style="267"/>
    <col min="8193" max="8193" width="3.7109375" style="267" customWidth="1"/>
    <col min="8194" max="8194" width="14.42578125" style="267" customWidth="1"/>
    <col min="8195" max="8195" width="3.7109375" style="267" customWidth="1"/>
    <col min="8196" max="8196" width="14.7109375" style="267" customWidth="1"/>
    <col min="8197" max="8207" width="6.7109375" style="267" customWidth="1"/>
    <col min="8208" max="8208" width="9.28515625" style="267" bestFit="1" customWidth="1"/>
    <col min="8209" max="8448" width="9.140625" style="267"/>
    <col min="8449" max="8449" width="3.7109375" style="267" customWidth="1"/>
    <col min="8450" max="8450" width="14.42578125" style="267" customWidth="1"/>
    <col min="8451" max="8451" width="3.7109375" style="267" customWidth="1"/>
    <col min="8452" max="8452" width="14.7109375" style="267" customWidth="1"/>
    <col min="8453" max="8463" width="6.7109375" style="267" customWidth="1"/>
    <col min="8464" max="8464" width="9.28515625" style="267" bestFit="1" customWidth="1"/>
    <col min="8465" max="8704" width="9.140625" style="267"/>
    <col min="8705" max="8705" width="3.7109375" style="267" customWidth="1"/>
    <col min="8706" max="8706" width="14.42578125" style="267" customWidth="1"/>
    <col min="8707" max="8707" width="3.7109375" style="267" customWidth="1"/>
    <col min="8708" max="8708" width="14.7109375" style="267" customWidth="1"/>
    <col min="8709" max="8719" width="6.7109375" style="267" customWidth="1"/>
    <col min="8720" max="8720" width="9.28515625" style="267" bestFit="1" customWidth="1"/>
    <col min="8721" max="8960" width="9.140625" style="267"/>
    <col min="8961" max="8961" width="3.7109375" style="267" customWidth="1"/>
    <col min="8962" max="8962" width="14.42578125" style="267" customWidth="1"/>
    <col min="8963" max="8963" width="3.7109375" style="267" customWidth="1"/>
    <col min="8964" max="8964" width="14.7109375" style="267" customWidth="1"/>
    <col min="8965" max="8975" width="6.7109375" style="267" customWidth="1"/>
    <col min="8976" max="8976" width="9.28515625" style="267" bestFit="1" customWidth="1"/>
    <col min="8977" max="9216" width="9.140625" style="267"/>
    <col min="9217" max="9217" width="3.7109375" style="267" customWidth="1"/>
    <col min="9218" max="9218" width="14.42578125" style="267" customWidth="1"/>
    <col min="9219" max="9219" width="3.7109375" style="267" customWidth="1"/>
    <col min="9220" max="9220" width="14.7109375" style="267" customWidth="1"/>
    <col min="9221" max="9231" width="6.7109375" style="267" customWidth="1"/>
    <col min="9232" max="9232" width="9.28515625" style="267" bestFit="1" customWidth="1"/>
    <col min="9233" max="9472" width="9.140625" style="267"/>
    <col min="9473" max="9473" width="3.7109375" style="267" customWidth="1"/>
    <col min="9474" max="9474" width="14.42578125" style="267" customWidth="1"/>
    <col min="9475" max="9475" width="3.7109375" style="267" customWidth="1"/>
    <col min="9476" max="9476" width="14.7109375" style="267" customWidth="1"/>
    <col min="9477" max="9487" width="6.7109375" style="267" customWidth="1"/>
    <col min="9488" max="9488" width="9.28515625" style="267" bestFit="1" customWidth="1"/>
    <col min="9489" max="9728" width="9.140625" style="267"/>
    <col min="9729" max="9729" width="3.7109375" style="267" customWidth="1"/>
    <col min="9730" max="9730" width="14.42578125" style="267" customWidth="1"/>
    <col min="9731" max="9731" width="3.7109375" style="267" customWidth="1"/>
    <col min="9732" max="9732" width="14.7109375" style="267" customWidth="1"/>
    <col min="9733" max="9743" width="6.7109375" style="267" customWidth="1"/>
    <col min="9744" max="9744" width="9.28515625" style="267" bestFit="1" customWidth="1"/>
    <col min="9745" max="9984" width="9.140625" style="267"/>
    <col min="9985" max="9985" width="3.7109375" style="267" customWidth="1"/>
    <col min="9986" max="9986" width="14.42578125" style="267" customWidth="1"/>
    <col min="9987" max="9987" width="3.7109375" style="267" customWidth="1"/>
    <col min="9988" max="9988" width="14.7109375" style="267" customWidth="1"/>
    <col min="9989" max="9999" width="6.7109375" style="267" customWidth="1"/>
    <col min="10000" max="10000" width="9.28515625" style="267" bestFit="1" customWidth="1"/>
    <col min="10001" max="10240" width="9.140625" style="267"/>
    <col min="10241" max="10241" width="3.7109375" style="267" customWidth="1"/>
    <col min="10242" max="10242" width="14.42578125" style="267" customWidth="1"/>
    <col min="10243" max="10243" width="3.7109375" style="267" customWidth="1"/>
    <col min="10244" max="10244" width="14.7109375" style="267" customWidth="1"/>
    <col min="10245" max="10255" width="6.7109375" style="267" customWidth="1"/>
    <col min="10256" max="10256" width="9.28515625" style="267" bestFit="1" customWidth="1"/>
    <col min="10257" max="10496" width="9.140625" style="267"/>
    <col min="10497" max="10497" width="3.7109375" style="267" customWidth="1"/>
    <col min="10498" max="10498" width="14.42578125" style="267" customWidth="1"/>
    <col min="10499" max="10499" width="3.7109375" style="267" customWidth="1"/>
    <col min="10500" max="10500" width="14.7109375" style="267" customWidth="1"/>
    <col min="10501" max="10511" width="6.7109375" style="267" customWidth="1"/>
    <col min="10512" max="10512" width="9.28515625" style="267" bestFit="1" customWidth="1"/>
    <col min="10513" max="10752" width="9.140625" style="267"/>
    <col min="10753" max="10753" width="3.7109375" style="267" customWidth="1"/>
    <col min="10754" max="10754" width="14.42578125" style="267" customWidth="1"/>
    <col min="10755" max="10755" width="3.7109375" style="267" customWidth="1"/>
    <col min="10756" max="10756" width="14.7109375" style="267" customWidth="1"/>
    <col min="10757" max="10767" width="6.7109375" style="267" customWidth="1"/>
    <col min="10768" max="10768" width="9.28515625" style="267" bestFit="1" customWidth="1"/>
    <col min="10769" max="11008" width="9.140625" style="267"/>
    <col min="11009" max="11009" width="3.7109375" style="267" customWidth="1"/>
    <col min="11010" max="11010" width="14.42578125" style="267" customWidth="1"/>
    <col min="11011" max="11011" width="3.7109375" style="267" customWidth="1"/>
    <col min="11012" max="11012" width="14.7109375" style="267" customWidth="1"/>
    <col min="11013" max="11023" width="6.7109375" style="267" customWidth="1"/>
    <col min="11024" max="11024" width="9.28515625" style="267" bestFit="1" customWidth="1"/>
    <col min="11025" max="11264" width="9.140625" style="267"/>
    <col min="11265" max="11265" width="3.7109375" style="267" customWidth="1"/>
    <col min="11266" max="11266" width="14.42578125" style="267" customWidth="1"/>
    <col min="11267" max="11267" width="3.7109375" style="267" customWidth="1"/>
    <col min="11268" max="11268" width="14.7109375" style="267" customWidth="1"/>
    <col min="11269" max="11279" width="6.7109375" style="267" customWidth="1"/>
    <col min="11280" max="11280" width="9.28515625" style="267" bestFit="1" customWidth="1"/>
    <col min="11281" max="11520" width="9.140625" style="267"/>
    <col min="11521" max="11521" width="3.7109375" style="267" customWidth="1"/>
    <col min="11522" max="11522" width="14.42578125" style="267" customWidth="1"/>
    <col min="11523" max="11523" width="3.7109375" style="267" customWidth="1"/>
    <col min="11524" max="11524" width="14.7109375" style="267" customWidth="1"/>
    <col min="11525" max="11535" width="6.7109375" style="267" customWidth="1"/>
    <col min="11536" max="11536" width="9.28515625" style="267" bestFit="1" customWidth="1"/>
    <col min="11537" max="11776" width="9.140625" style="267"/>
    <col min="11777" max="11777" width="3.7109375" style="267" customWidth="1"/>
    <col min="11778" max="11778" width="14.42578125" style="267" customWidth="1"/>
    <col min="11779" max="11779" width="3.7109375" style="267" customWidth="1"/>
    <col min="11780" max="11780" width="14.7109375" style="267" customWidth="1"/>
    <col min="11781" max="11791" width="6.7109375" style="267" customWidth="1"/>
    <col min="11792" max="11792" width="9.28515625" style="267" bestFit="1" customWidth="1"/>
    <col min="11793" max="12032" width="9.140625" style="267"/>
    <col min="12033" max="12033" width="3.7109375" style="267" customWidth="1"/>
    <col min="12034" max="12034" width="14.42578125" style="267" customWidth="1"/>
    <col min="12035" max="12035" width="3.7109375" style="267" customWidth="1"/>
    <col min="12036" max="12036" width="14.7109375" style="267" customWidth="1"/>
    <col min="12037" max="12047" width="6.7109375" style="267" customWidth="1"/>
    <col min="12048" max="12048" width="9.28515625" style="267" bestFit="1" customWidth="1"/>
    <col min="12049" max="12288" width="9.140625" style="267"/>
    <col min="12289" max="12289" width="3.7109375" style="267" customWidth="1"/>
    <col min="12290" max="12290" width="14.42578125" style="267" customWidth="1"/>
    <col min="12291" max="12291" width="3.7109375" style="267" customWidth="1"/>
    <col min="12292" max="12292" width="14.7109375" style="267" customWidth="1"/>
    <col min="12293" max="12303" width="6.7109375" style="267" customWidth="1"/>
    <col min="12304" max="12304" width="9.28515625" style="267" bestFit="1" customWidth="1"/>
    <col min="12305" max="12544" width="9.140625" style="267"/>
    <col min="12545" max="12545" width="3.7109375" style="267" customWidth="1"/>
    <col min="12546" max="12546" width="14.42578125" style="267" customWidth="1"/>
    <col min="12547" max="12547" width="3.7109375" style="267" customWidth="1"/>
    <col min="12548" max="12548" width="14.7109375" style="267" customWidth="1"/>
    <col min="12549" max="12559" width="6.7109375" style="267" customWidth="1"/>
    <col min="12560" max="12560" width="9.28515625" style="267" bestFit="1" customWidth="1"/>
    <col min="12561" max="12800" width="9.140625" style="267"/>
    <col min="12801" max="12801" width="3.7109375" style="267" customWidth="1"/>
    <col min="12802" max="12802" width="14.42578125" style="267" customWidth="1"/>
    <col min="12803" max="12803" width="3.7109375" style="267" customWidth="1"/>
    <col min="12804" max="12804" width="14.7109375" style="267" customWidth="1"/>
    <col min="12805" max="12815" width="6.7109375" style="267" customWidth="1"/>
    <col min="12816" max="12816" width="9.28515625" style="267" bestFit="1" customWidth="1"/>
    <col min="12817" max="13056" width="9.140625" style="267"/>
    <col min="13057" max="13057" width="3.7109375" style="267" customWidth="1"/>
    <col min="13058" max="13058" width="14.42578125" style="267" customWidth="1"/>
    <col min="13059" max="13059" width="3.7109375" style="267" customWidth="1"/>
    <col min="13060" max="13060" width="14.7109375" style="267" customWidth="1"/>
    <col min="13061" max="13071" width="6.7109375" style="267" customWidth="1"/>
    <col min="13072" max="13072" width="9.28515625" style="267" bestFit="1" customWidth="1"/>
    <col min="13073" max="13312" width="9.140625" style="267"/>
    <col min="13313" max="13313" width="3.7109375" style="267" customWidth="1"/>
    <col min="13314" max="13314" width="14.42578125" style="267" customWidth="1"/>
    <col min="13315" max="13315" width="3.7109375" style="267" customWidth="1"/>
    <col min="13316" max="13316" width="14.7109375" style="267" customWidth="1"/>
    <col min="13317" max="13327" width="6.7109375" style="267" customWidth="1"/>
    <col min="13328" max="13328" width="9.28515625" style="267" bestFit="1" customWidth="1"/>
    <col min="13329" max="13568" width="9.140625" style="267"/>
    <col min="13569" max="13569" width="3.7109375" style="267" customWidth="1"/>
    <col min="13570" max="13570" width="14.42578125" style="267" customWidth="1"/>
    <col min="13571" max="13571" width="3.7109375" style="267" customWidth="1"/>
    <col min="13572" max="13572" width="14.7109375" style="267" customWidth="1"/>
    <col min="13573" max="13583" width="6.7109375" style="267" customWidth="1"/>
    <col min="13584" max="13584" width="9.28515625" style="267" bestFit="1" customWidth="1"/>
    <col min="13585" max="13824" width="9.140625" style="267"/>
    <col min="13825" max="13825" width="3.7109375" style="267" customWidth="1"/>
    <col min="13826" max="13826" width="14.42578125" style="267" customWidth="1"/>
    <col min="13827" max="13827" width="3.7109375" style="267" customWidth="1"/>
    <col min="13828" max="13828" width="14.7109375" style="267" customWidth="1"/>
    <col min="13829" max="13839" width="6.7109375" style="267" customWidth="1"/>
    <col min="13840" max="13840" width="9.28515625" style="267" bestFit="1" customWidth="1"/>
    <col min="13841" max="14080" width="9.140625" style="267"/>
    <col min="14081" max="14081" width="3.7109375" style="267" customWidth="1"/>
    <col min="14082" max="14082" width="14.42578125" style="267" customWidth="1"/>
    <col min="14083" max="14083" width="3.7109375" style="267" customWidth="1"/>
    <col min="14084" max="14084" width="14.7109375" style="267" customWidth="1"/>
    <col min="14085" max="14095" width="6.7109375" style="267" customWidth="1"/>
    <col min="14096" max="14096" width="9.28515625" style="267" bestFit="1" customWidth="1"/>
    <col min="14097" max="14336" width="9.140625" style="267"/>
    <col min="14337" max="14337" width="3.7109375" style="267" customWidth="1"/>
    <col min="14338" max="14338" width="14.42578125" style="267" customWidth="1"/>
    <col min="14339" max="14339" width="3.7109375" style="267" customWidth="1"/>
    <col min="14340" max="14340" width="14.7109375" style="267" customWidth="1"/>
    <col min="14341" max="14351" width="6.7109375" style="267" customWidth="1"/>
    <col min="14352" max="14352" width="9.28515625" style="267" bestFit="1" customWidth="1"/>
    <col min="14353" max="14592" width="9.140625" style="267"/>
    <col min="14593" max="14593" width="3.7109375" style="267" customWidth="1"/>
    <col min="14594" max="14594" width="14.42578125" style="267" customWidth="1"/>
    <col min="14595" max="14595" width="3.7109375" style="267" customWidth="1"/>
    <col min="14596" max="14596" width="14.7109375" style="267" customWidth="1"/>
    <col min="14597" max="14607" width="6.7109375" style="267" customWidth="1"/>
    <col min="14608" max="14608" width="9.28515625" style="267" bestFit="1" customWidth="1"/>
    <col min="14609" max="14848" width="9.140625" style="267"/>
    <col min="14849" max="14849" width="3.7109375" style="267" customWidth="1"/>
    <col min="14850" max="14850" width="14.42578125" style="267" customWidth="1"/>
    <col min="14851" max="14851" width="3.7109375" style="267" customWidth="1"/>
    <col min="14852" max="14852" width="14.7109375" style="267" customWidth="1"/>
    <col min="14853" max="14863" width="6.7109375" style="267" customWidth="1"/>
    <col min="14864" max="14864" width="9.28515625" style="267" bestFit="1" customWidth="1"/>
    <col min="14865" max="15104" width="9.140625" style="267"/>
    <col min="15105" max="15105" width="3.7109375" style="267" customWidth="1"/>
    <col min="15106" max="15106" width="14.42578125" style="267" customWidth="1"/>
    <col min="15107" max="15107" width="3.7109375" style="267" customWidth="1"/>
    <col min="15108" max="15108" width="14.7109375" style="267" customWidth="1"/>
    <col min="15109" max="15119" width="6.7109375" style="267" customWidth="1"/>
    <col min="15120" max="15120" width="9.28515625" style="267" bestFit="1" customWidth="1"/>
    <col min="15121" max="15360" width="9.140625" style="267"/>
    <col min="15361" max="15361" width="3.7109375" style="267" customWidth="1"/>
    <col min="15362" max="15362" width="14.42578125" style="267" customWidth="1"/>
    <col min="15363" max="15363" width="3.7109375" style="267" customWidth="1"/>
    <col min="15364" max="15364" width="14.7109375" style="267" customWidth="1"/>
    <col min="15365" max="15375" width="6.7109375" style="267" customWidth="1"/>
    <col min="15376" max="15376" width="9.28515625" style="267" bestFit="1" customWidth="1"/>
    <col min="15377" max="15616" width="9.140625" style="267"/>
    <col min="15617" max="15617" width="3.7109375" style="267" customWidth="1"/>
    <col min="15618" max="15618" width="14.42578125" style="267" customWidth="1"/>
    <col min="15619" max="15619" width="3.7109375" style="267" customWidth="1"/>
    <col min="15620" max="15620" width="14.7109375" style="267" customWidth="1"/>
    <col min="15621" max="15631" width="6.7109375" style="267" customWidth="1"/>
    <col min="15632" max="15632" width="9.28515625" style="267" bestFit="1" customWidth="1"/>
    <col min="15633" max="15872" width="9.140625" style="267"/>
    <col min="15873" max="15873" width="3.7109375" style="267" customWidth="1"/>
    <col min="15874" max="15874" width="14.42578125" style="267" customWidth="1"/>
    <col min="15875" max="15875" width="3.7109375" style="267" customWidth="1"/>
    <col min="15876" max="15876" width="14.7109375" style="267" customWidth="1"/>
    <col min="15877" max="15887" width="6.7109375" style="267" customWidth="1"/>
    <col min="15888" max="15888" width="9.28515625" style="267" bestFit="1" customWidth="1"/>
    <col min="15889" max="16128" width="9.140625" style="267"/>
    <col min="16129" max="16129" width="3.7109375" style="267" customWidth="1"/>
    <col min="16130" max="16130" width="14.42578125" style="267" customWidth="1"/>
    <col min="16131" max="16131" width="3.7109375" style="267" customWidth="1"/>
    <col min="16132" max="16132" width="14.7109375" style="267" customWidth="1"/>
    <col min="16133" max="16143" width="6.7109375" style="267" customWidth="1"/>
    <col min="16144" max="16144" width="9.28515625" style="267" bestFit="1" customWidth="1"/>
    <col min="16145" max="16384" width="9.140625" style="267"/>
  </cols>
  <sheetData>
    <row r="1" spans="1:28" ht="15.75" x14ac:dyDescent="0.25">
      <c r="D1" s="3238"/>
      <c r="E1" s="3238"/>
      <c r="F1" s="3238"/>
      <c r="G1" s="3238"/>
      <c r="H1" s="3238"/>
      <c r="I1" s="3238"/>
      <c r="J1" s="3238"/>
      <c r="K1" s="3239"/>
      <c r="L1" s="3239"/>
      <c r="M1" s="3239"/>
      <c r="N1" s="3239"/>
      <c r="O1" s="3239"/>
      <c r="P1" s="3240"/>
      <c r="Q1" s="3240"/>
      <c r="R1" s="3240"/>
      <c r="S1" s="3240"/>
    </row>
    <row r="2" spans="1:28" ht="12.75" customHeight="1" x14ac:dyDescent="0.25">
      <c r="A2" s="782">
        <v>1</v>
      </c>
      <c r="B2" s="782" t="s">
        <v>0</v>
      </c>
      <c r="C2" s="782">
        <v>57</v>
      </c>
      <c r="D2" s="4072" t="s">
        <v>1372</v>
      </c>
      <c r="E2" s="4073"/>
      <c r="F2" s="4073"/>
      <c r="G2" s="4073"/>
      <c r="H2" s="4073"/>
      <c r="I2" s="4073"/>
      <c r="J2" s="4073"/>
      <c r="K2" s="4073"/>
      <c r="L2" s="4073"/>
      <c r="M2" s="4073"/>
      <c r="N2" s="4073"/>
      <c r="O2" s="4074"/>
      <c r="P2" s="3241"/>
      <c r="Q2" s="3242"/>
      <c r="R2" s="3243"/>
      <c r="S2" s="3243"/>
      <c r="T2" s="1762"/>
      <c r="U2" s="1762"/>
      <c r="V2" s="1762"/>
    </row>
    <row r="3" spans="1:28" ht="12.75" customHeight="1" x14ac:dyDescent="0.25">
      <c r="A3" s="782">
        <v>2</v>
      </c>
      <c r="B3" s="782" t="s">
        <v>2</v>
      </c>
      <c r="C3" s="782"/>
      <c r="D3" s="4072" t="s">
        <v>1356</v>
      </c>
      <c r="E3" s="4073"/>
      <c r="F3" s="4073"/>
      <c r="G3" s="4073"/>
      <c r="H3" s="4073"/>
      <c r="I3" s="4073"/>
      <c r="J3" s="4073"/>
      <c r="K3" s="4073"/>
      <c r="L3" s="4073"/>
      <c r="M3" s="4073"/>
      <c r="N3" s="4073"/>
      <c r="O3" s="4074"/>
      <c r="P3" s="3241"/>
      <c r="Q3" s="3242"/>
      <c r="R3" s="3240"/>
      <c r="S3" s="3240"/>
    </row>
    <row r="4" spans="1:28" ht="15" customHeight="1" x14ac:dyDescent="0.25">
      <c r="A4" s="782">
        <v>3</v>
      </c>
      <c r="B4" s="782" t="s">
        <v>4</v>
      </c>
      <c r="C4" s="782"/>
      <c r="D4" s="4072" t="s">
        <v>1373</v>
      </c>
      <c r="E4" s="4073"/>
      <c r="F4" s="4073"/>
      <c r="G4" s="4073"/>
      <c r="H4" s="4073"/>
      <c r="I4" s="4073"/>
      <c r="J4" s="4073"/>
      <c r="K4" s="4073"/>
      <c r="L4" s="4073"/>
      <c r="M4" s="4073"/>
      <c r="N4" s="4073"/>
      <c r="O4" s="4074"/>
      <c r="P4" s="3241"/>
      <c r="Q4" s="3242"/>
      <c r="R4" s="3240"/>
      <c r="S4" s="3240"/>
    </row>
    <row r="5" spans="1:28" ht="16.5" customHeight="1" x14ac:dyDescent="0.25">
      <c r="A5" s="782"/>
      <c r="B5" s="782"/>
      <c r="C5" s="782"/>
      <c r="D5" s="367"/>
      <c r="E5" s="3244"/>
      <c r="F5" s="229"/>
      <c r="G5" s="229"/>
      <c r="H5" s="229"/>
      <c r="I5" s="229"/>
      <c r="J5" s="229"/>
      <c r="K5" s="229"/>
      <c r="L5" s="229"/>
      <c r="M5" s="229"/>
      <c r="N5" s="229"/>
      <c r="O5" s="229"/>
      <c r="P5" s="3241"/>
      <c r="Q5" s="3242"/>
      <c r="R5" s="3240"/>
      <c r="S5" s="3240"/>
    </row>
    <row r="6" spans="1:28" ht="12.75" customHeight="1" x14ac:dyDescent="0.25">
      <c r="A6" s="782">
        <v>4</v>
      </c>
      <c r="B6" s="902" t="s">
        <v>5</v>
      </c>
      <c r="C6" s="902"/>
      <c r="D6" s="3245" t="s">
        <v>6</v>
      </c>
      <c r="E6" s="4362" t="str">
        <f>D2</f>
        <v>Country going in the right direction</v>
      </c>
      <c r="F6" s="4362"/>
      <c r="G6" s="4362"/>
      <c r="H6" s="4362"/>
      <c r="I6" s="4362"/>
      <c r="J6" s="4362"/>
      <c r="K6" s="4363"/>
      <c r="L6" s="4363"/>
      <c r="M6" s="4363"/>
      <c r="N6" s="4363"/>
      <c r="O6" s="4363"/>
      <c r="P6" s="4363"/>
      <c r="Q6" s="4363"/>
      <c r="R6" s="3240"/>
      <c r="S6" s="3240"/>
    </row>
    <row r="7" spans="1:28" ht="15.75" x14ac:dyDescent="0.25">
      <c r="A7" s="782"/>
      <c r="B7" s="782"/>
      <c r="C7" s="782"/>
      <c r="D7" s="3246"/>
      <c r="E7" s="4364" t="s">
        <v>1374</v>
      </c>
      <c r="F7" s="4365"/>
      <c r="G7" s="4366" t="s">
        <v>1375</v>
      </c>
      <c r="H7" s="4365"/>
      <c r="I7" s="4366" t="s">
        <v>1376</v>
      </c>
      <c r="J7" s="4365"/>
      <c r="K7" s="4367" t="s">
        <v>1377</v>
      </c>
      <c r="L7" s="4368"/>
      <c r="M7" s="4366" t="s">
        <v>1378</v>
      </c>
      <c r="N7" s="4369"/>
      <c r="O7" s="3247"/>
      <c r="P7" s="3242"/>
      <c r="Q7" s="3240"/>
      <c r="R7" s="3240"/>
      <c r="AB7" s="267"/>
    </row>
    <row r="8" spans="1:28" ht="15.75" x14ac:dyDescent="0.25">
      <c r="A8" s="782"/>
      <c r="B8" s="782"/>
      <c r="C8" s="782"/>
      <c r="D8" s="3248"/>
      <c r="E8" s="3249" t="s">
        <v>1379</v>
      </c>
      <c r="F8" s="3250" t="s">
        <v>1380</v>
      </c>
      <c r="G8" s="3251" t="s">
        <v>1379</v>
      </c>
      <c r="H8" s="3250" t="s">
        <v>1380</v>
      </c>
      <c r="I8" s="3251" t="s">
        <v>1379</v>
      </c>
      <c r="J8" s="3250" t="s">
        <v>1380</v>
      </c>
      <c r="K8" s="3251" t="s">
        <v>1379</v>
      </c>
      <c r="L8" s="3250" t="s">
        <v>1380</v>
      </c>
      <c r="M8" s="3252" t="s">
        <v>1379</v>
      </c>
      <c r="N8" s="3253" t="s">
        <v>1380</v>
      </c>
      <c r="O8" s="3247"/>
      <c r="P8" s="3242"/>
      <c r="Q8" s="3240"/>
      <c r="R8" s="3240"/>
      <c r="AB8" s="267"/>
    </row>
    <row r="9" spans="1:28" ht="15.75" x14ac:dyDescent="0.25">
      <c r="A9" s="782"/>
      <c r="B9" s="782"/>
      <c r="C9" s="782"/>
      <c r="D9" s="3254" t="s">
        <v>1381</v>
      </c>
      <c r="E9" s="3255">
        <v>76</v>
      </c>
      <c r="F9" s="3256">
        <v>62</v>
      </c>
      <c r="G9" s="3255">
        <v>49</v>
      </c>
      <c r="H9" s="3256">
        <v>66</v>
      </c>
      <c r="I9" s="3255">
        <v>57</v>
      </c>
      <c r="J9" s="3256">
        <v>56</v>
      </c>
      <c r="K9" s="3257"/>
      <c r="L9" s="3256"/>
      <c r="M9" s="3258">
        <v>43</v>
      </c>
      <c r="N9" s="3259">
        <v>48</v>
      </c>
      <c r="O9" s="3260"/>
      <c r="P9" s="3261"/>
      <c r="Q9" s="3240"/>
      <c r="R9" s="3240"/>
      <c r="AB9" s="267"/>
    </row>
    <row r="10" spans="1:28" ht="15.75" x14ac:dyDescent="0.25">
      <c r="A10" s="782"/>
      <c r="B10" s="782"/>
      <c r="C10" s="782"/>
      <c r="D10" s="3262" t="s">
        <v>1382</v>
      </c>
      <c r="E10" s="3255">
        <v>66</v>
      </c>
      <c r="F10" s="3256">
        <v>60</v>
      </c>
      <c r="G10" s="3255">
        <v>56</v>
      </c>
      <c r="H10" s="3256">
        <v>41</v>
      </c>
      <c r="I10" s="3255">
        <v>48.8</v>
      </c>
      <c r="J10" s="3256">
        <v>47.5</v>
      </c>
      <c r="K10" s="3255">
        <v>42.8</v>
      </c>
      <c r="L10" s="3255">
        <v>47.8</v>
      </c>
      <c r="M10" s="3258">
        <v>51.8</v>
      </c>
      <c r="N10" s="3259">
        <v>54</v>
      </c>
      <c r="O10" s="3263"/>
      <c r="P10" s="3242"/>
      <c r="Q10" s="3240"/>
      <c r="R10" s="3240"/>
      <c r="AB10" s="267"/>
    </row>
    <row r="11" spans="1:28" ht="15.75" x14ac:dyDescent="0.25">
      <c r="A11" s="782"/>
      <c r="B11" s="782"/>
      <c r="C11" s="782"/>
      <c r="D11" s="3264" t="s">
        <v>1383</v>
      </c>
      <c r="E11" s="3255">
        <v>73.5</v>
      </c>
      <c r="F11" s="3256">
        <v>67.599999999999994</v>
      </c>
      <c r="G11" s="3255">
        <v>67.5</v>
      </c>
      <c r="H11" s="3256">
        <v>65</v>
      </c>
      <c r="I11" s="3255">
        <v>69</v>
      </c>
      <c r="J11" s="3256">
        <v>50.5</v>
      </c>
      <c r="K11" s="3265">
        <v>59.6</v>
      </c>
      <c r="L11" s="3255">
        <v>54.3</v>
      </c>
      <c r="M11" s="3258">
        <v>45.5</v>
      </c>
      <c r="N11" s="3259">
        <v>38.4</v>
      </c>
      <c r="O11" s="3260"/>
      <c r="P11" s="3242"/>
      <c r="Q11" s="3240"/>
      <c r="R11" s="3240"/>
      <c r="AB11" s="267"/>
    </row>
    <row r="12" spans="1:28" ht="15.75" x14ac:dyDescent="0.25">
      <c r="A12" s="782"/>
      <c r="B12" s="782"/>
      <c r="C12" s="782"/>
      <c r="D12" s="3262" t="s">
        <v>1384</v>
      </c>
      <c r="E12" s="3255">
        <v>42.8</v>
      </c>
      <c r="F12" s="3256">
        <v>56.4</v>
      </c>
      <c r="G12" s="3255">
        <v>55.3</v>
      </c>
      <c r="H12" s="3256">
        <v>50</v>
      </c>
      <c r="I12" s="3255">
        <v>51</v>
      </c>
      <c r="J12" s="3256">
        <v>45.1</v>
      </c>
      <c r="K12" s="3255">
        <v>46.1</v>
      </c>
      <c r="L12" s="3255">
        <v>38.200000000000003</v>
      </c>
      <c r="M12" s="3258">
        <v>37.6</v>
      </c>
      <c r="N12" s="3259">
        <v>33.6</v>
      </c>
      <c r="O12" s="3260"/>
      <c r="P12" s="3242"/>
      <c r="Q12" s="3240"/>
      <c r="R12" s="3240"/>
      <c r="AB12" s="267"/>
    </row>
    <row r="13" spans="1:28" ht="15.75" x14ac:dyDescent="0.25">
      <c r="A13" s="782"/>
      <c r="B13" s="782"/>
      <c r="C13" s="782"/>
      <c r="D13" s="3266" t="s">
        <v>1385</v>
      </c>
      <c r="E13" s="3267">
        <v>40.799999999999997</v>
      </c>
      <c r="F13" s="3267">
        <v>42</v>
      </c>
      <c r="G13" s="3268">
        <v>44</v>
      </c>
      <c r="H13" s="3269">
        <v>40</v>
      </c>
      <c r="I13" s="3267">
        <v>34</v>
      </c>
      <c r="J13" s="3269">
        <v>30</v>
      </c>
      <c r="K13" s="3268">
        <v>20</v>
      </c>
      <c r="L13" s="3267">
        <v>26</v>
      </c>
      <c r="M13" s="3268"/>
      <c r="N13" s="3270"/>
      <c r="O13" s="3260"/>
      <c r="P13" s="3242"/>
      <c r="Q13" s="3240"/>
      <c r="R13" s="3240"/>
      <c r="AB13" s="267"/>
    </row>
    <row r="14" spans="1:28" ht="15.75" x14ac:dyDescent="0.25">
      <c r="A14" s="782"/>
      <c r="B14" s="782"/>
      <c r="C14" s="782"/>
      <c r="D14" s="138"/>
      <c r="E14" s="3271"/>
      <c r="F14" s="3271"/>
      <c r="G14" s="3271"/>
      <c r="H14" s="3271"/>
      <c r="I14" s="3271"/>
      <c r="J14" s="3271"/>
      <c r="K14" s="3271"/>
      <c r="L14" s="3271"/>
      <c r="M14" s="3271"/>
      <c r="N14" s="3271"/>
      <c r="O14" s="3271"/>
      <c r="P14" s="3260"/>
      <c r="Q14" s="3242"/>
      <c r="R14" s="3240"/>
      <c r="S14" s="3240"/>
    </row>
    <row r="15" spans="1:28" ht="15.75" x14ac:dyDescent="0.25">
      <c r="A15" s="782">
        <v>5</v>
      </c>
      <c r="B15" s="782" t="s">
        <v>90</v>
      </c>
      <c r="C15" s="782"/>
      <c r="D15" s="138"/>
      <c r="E15" s="3271"/>
      <c r="F15" s="3271"/>
      <c r="G15" s="3271"/>
      <c r="H15" s="3271"/>
      <c r="I15" s="3271"/>
      <c r="J15" s="3271"/>
      <c r="K15" s="3271"/>
      <c r="L15" s="3271"/>
      <c r="M15" s="3271"/>
      <c r="N15" s="3271"/>
      <c r="O15" s="3271"/>
      <c r="P15" s="3260"/>
      <c r="Q15" s="3242"/>
      <c r="R15" s="3240"/>
      <c r="S15" s="3240"/>
    </row>
    <row r="16" spans="1:28" ht="15.75" x14ac:dyDescent="0.25">
      <c r="A16" s="782"/>
      <c r="B16" s="782"/>
      <c r="C16" s="782"/>
      <c r="D16" s="138"/>
      <c r="E16" s="3271"/>
      <c r="F16" s="3271"/>
      <c r="G16" s="3271"/>
      <c r="H16" s="3271"/>
      <c r="I16" s="3271"/>
      <c r="J16" s="3271"/>
      <c r="K16" s="3271"/>
      <c r="L16" s="3271"/>
      <c r="M16" s="3271"/>
      <c r="N16" s="3271"/>
      <c r="O16" s="3271"/>
      <c r="P16" s="3260"/>
      <c r="Q16" s="3242"/>
      <c r="R16" s="3240"/>
      <c r="S16" s="3240"/>
    </row>
    <row r="17" spans="1:22" ht="15.75" x14ac:dyDescent="0.25">
      <c r="A17" s="782"/>
      <c r="B17" s="782"/>
      <c r="C17" s="782"/>
      <c r="D17" s="138"/>
      <c r="E17" s="3271"/>
      <c r="F17" s="3271"/>
      <c r="G17" s="3271"/>
      <c r="H17" s="3271"/>
      <c r="I17" s="3271"/>
      <c r="J17" s="3271"/>
      <c r="K17" s="3271"/>
      <c r="L17" s="3271"/>
      <c r="M17" s="3271"/>
      <c r="N17" s="3271"/>
      <c r="O17" s="3271"/>
      <c r="P17" s="3260"/>
      <c r="Q17" s="3242"/>
      <c r="R17" s="3240"/>
      <c r="S17" s="3240"/>
      <c r="V17" s="3272"/>
    </row>
    <row r="18" spans="1:22" ht="15.75" x14ac:dyDescent="0.25">
      <c r="A18" s="782"/>
      <c r="B18" s="782"/>
      <c r="C18" s="782"/>
      <c r="D18" s="138"/>
      <c r="E18" s="3271"/>
      <c r="F18" s="3271"/>
      <c r="G18" s="3271"/>
      <c r="H18" s="3271"/>
      <c r="I18" s="3271"/>
      <c r="J18" s="3271"/>
      <c r="K18" s="3271"/>
      <c r="L18" s="3271"/>
      <c r="M18" s="3271"/>
      <c r="N18" s="3271"/>
      <c r="O18" s="3271"/>
      <c r="P18" s="3260"/>
      <c r="Q18" s="3242"/>
      <c r="R18" s="3240"/>
      <c r="S18" s="3240"/>
    </row>
    <row r="19" spans="1:22" ht="15.75" x14ac:dyDescent="0.25">
      <c r="A19" s="782"/>
      <c r="B19" s="782"/>
      <c r="C19" s="782"/>
      <c r="D19" s="138"/>
      <c r="E19" s="3271"/>
      <c r="F19" s="3271"/>
      <c r="G19" s="3271"/>
      <c r="H19" s="3271"/>
      <c r="I19" s="3271"/>
      <c r="J19" s="3271"/>
      <c r="K19" s="3271"/>
      <c r="L19" s="3271"/>
      <c r="M19" s="3271"/>
      <c r="N19" s="3271"/>
      <c r="O19" s="3271"/>
      <c r="P19" s="3260"/>
      <c r="Q19" s="3242"/>
      <c r="R19" s="3240"/>
      <c r="S19" s="3240"/>
    </row>
    <row r="20" spans="1:22" ht="15.75" x14ac:dyDescent="0.25">
      <c r="A20" s="782"/>
      <c r="B20" s="782"/>
      <c r="C20" s="782"/>
      <c r="D20" s="138"/>
      <c r="E20" s="3271"/>
      <c r="F20" s="3271"/>
      <c r="G20" s="3271"/>
      <c r="H20" s="3271"/>
      <c r="I20" s="3271"/>
      <c r="J20" s="3271"/>
      <c r="K20" s="3271"/>
      <c r="L20" s="3271"/>
      <c r="M20" s="3271"/>
      <c r="N20" s="3271"/>
      <c r="O20" s="3271"/>
      <c r="P20" s="3260"/>
      <c r="Q20" s="3242"/>
      <c r="R20" s="3240"/>
      <c r="S20" s="3240"/>
    </row>
    <row r="21" spans="1:22" ht="15.75" x14ac:dyDescent="0.25">
      <c r="A21" s="782"/>
      <c r="B21" s="782"/>
      <c r="C21" s="782"/>
      <c r="D21" s="138"/>
      <c r="E21" s="3271"/>
      <c r="F21" s="3271"/>
      <c r="G21" s="3271"/>
      <c r="H21" s="3271"/>
      <c r="I21" s="3271"/>
      <c r="J21" s="3271"/>
      <c r="K21" s="3271"/>
      <c r="L21" s="3271"/>
      <c r="M21" s="3271"/>
      <c r="N21" s="3271"/>
      <c r="O21" s="3271"/>
      <c r="P21" s="3260"/>
      <c r="Q21" s="3242"/>
      <c r="R21" s="3240"/>
      <c r="S21" s="3240"/>
    </row>
    <row r="22" spans="1:22" ht="15.75" x14ac:dyDescent="0.25">
      <c r="A22" s="782"/>
      <c r="B22" s="782"/>
      <c r="C22" s="782"/>
      <c r="D22" s="138"/>
      <c r="E22" s="3271"/>
      <c r="F22" s="3271"/>
      <c r="G22" s="3271"/>
      <c r="H22" s="3271"/>
      <c r="I22" s="3271"/>
      <c r="J22" s="3271"/>
      <c r="K22" s="3271"/>
      <c r="L22" s="3271"/>
      <c r="M22" s="3271"/>
      <c r="N22" s="3271"/>
      <c r="O22" s="3271"/>
      <c r="P22" s="3260"/>
      <c r="Q22" s="3242"/>
      <c r="R22" s="3240"/>
      <c r="S22" s="3240"/>
    </row>
    <row r="23" spans="1:22" ht="15.75" x14ac:dyDescent="0.25">
      <c r="A23" s="782"/>
      <c r="B23" s="782"/>
      <c r="C23" s="782"/>
      <c r="D23" s="138"/>
      <c r="E23" s="3271"/>
      <c r="F23" s="3271"/>
      <c r="G23" s="3271"/>
      <c r="H23" s="3271"/>
      <c r="I23" s="3271"/>
      <c r="J23" s="3271"/>
      <c r="K23" s="3271"/>
      <c r="L23" s="3271"/>
      <c r="M23" s="3271"/>
      <c r="N23" s="3271"/>
      <c r="O23" s="3271"/>
      <c r="P23" s="3260"/>
      <c r="Q23" s="3273"/>
      <c r="R23" s="3240"/>
      <c r="S23" s="3240"/>
    </row>
    <row r="24" spans="1:22" ht="15.75" x14ac:dyDescent="0.25">
      <c r="A24" s="782"/>
      <c r="B24" s="782"/>
      <c r="C24" s="782"/>
      <c r="D24" s="138"/>
      <c r="E24" s="3271"/>
      <c r="F24" s="3271"/>
      <c r="G24" s="3271"/>
      <c r="H24" s="3271"/>
      <c r="I24" s="3271"/>
      <c r="J24" s="3271"/>
      <c r="K24" s="3271"/>
      <c r="L24" s="3271"/>
      <c r="M24" s="3271"/>
      <c r="N24" s="3271"/>
      <c r="O24" s="3271"/>
      <c r="P24" s="3260"/>
      <c r="Q24" s="3242"/>
      <c r="R24" s="3240"/>
      <c r="S24" s="3240"/>
    </row>
    <row r="25" spans="1:22" ht="15.75" x14ac:dyDescent="0.25">
      <c r="A25" s="782"/>
      <c r="B25" s="782"/>
      <c r="C25" s="782"/>
      <c r="D25" s="138"/>
      <c r="E25" s="3271"/>
      <c r="F25" s="3271"/>
      <c r="G25" s="3271"/>
      <c r="H25" s="3271"/>
      <c r="I25" s="3271"/>
      <c r="J25" s="3271"/>
      <c r="K25" s="3271"/>
      <c r="L25" s="3271"/>
      <c r="M25" s="3271"/>
      <c r="N25" s="3271"/>
      <c r="O25" s="3271"/>
      <c r="P25" s="3260"/>
      <c r="Q25" s="3242"/>
      <c r="R25" s="3240"/>
      <c r="S25" s="3240"/>
    </row>
    <row r="26" spans="1:22" ht="15.75" x14ac:dyDescent="0.25">
      <c r="A26" s="782"/>
      <c r="B26" s="782"/>
      <c r="C26" s="782"/>
      <c r="D26" s="138"/>
      <c r="E26" s="3271"/>
      <c r="F26" s="3271"/>
      <c r="G26" s="3271"/>
      <c r="H26" s="3271"/>
      <c r="I26" s="3271"/>
      <c r="J26" s="3271"/>
      <c r="K26" s="3271"/>
      <c r="L26" s="3271"/>
      <c r="M26" s="3271"/>
      <c r="N26" s="3271"/>
      <c r="O26" s="3271"/>
      <c r="P26" s="3260"/>
      <c r="Q26" s="3242"/>
      <c r="R26" s="3240"/>
      <c r="S26" s="3240"/>
    </row>
    <row r="27" spans="1:22" ht="15.75" x14ac:dyDescent="0.25">
      <c r="A27" s="782"/>
      <c r="B27" s="782"/>
      <c r="C27" s="782"/>
      <c r="D27" s="138"/>
      <c r="E27" s="3271"/>
      <c r="F27" s="3271"/>
      <c r="G27" s="3271"/>
      <c r="H27" s="3271"/>
      <c r="I27" s="3271"/>
      <c r="J27" s="3271"/>
      <c r="K27" s="3271"/>
      <c r="L27" s="3271"/>
      <c r="M27" s="3271"/>
      <c r="N27" s="3271"/>
      <c r="O27" s="3271"/>
      <c r="P27" s="3260"/>
      <c r="Q27" s="3242"/>
      <c r="R27" s="3240"/>
      <c r="S27" s="3240"/>
    </row>
    <row r="28" spans="1:22" ht="15.75" x14ac:dyDescent="0.25">
      <c r="A28" s="782"/>
      <c r="B28" s="782"/>
      <c r="C28" s="782"/>
      <c r="D28" s="138"/>
      <c r="E28" s="3271"/>
      <c r="F28" s="3271"/>
      <c r="G28" s="3271"/>
      <c r="H28" s="3271"/>
      <c r="I28" s="3271"/>
      <c r="J28" s="3271"/>
      <c r="K28" s="3271"/>
      <c r="L28" s="3271"/>
      <c r="M28" s="3271"/>
      <c r="N28" s="3271"/>
      <c r="O28" s="3271"/>
      <c r="P28" s="3260"/>
      <c r="Q28" s="3242"/>
      <c r="R28" s="3240"/>
      <c r="S28" s="3240"/>
    </row>
    <row r="29" spans="1:22" ht="15.75" x14ac:dyDescent="0.25">
      <c r="A29" s="782"/>
      <c r="B29" s="782"/>
      <c r="C29" s="782"/>
      <c r="D29" s="138"/>
      <c r="E29" s="3271"/>
      <c r="F29" s="3271"/>
      <c r="G29" s="3271"/>
      <c r="H29" s="3271"/>
      <c r="I29" s="3271"/>
      <c r="J29" s="3271"/>
      <c r="K29" s="3271"/>
      <c r="L29" s="3271"/>
      <c r="M29" s="3271"/>
      <c r="N29" s="3271"/>
      <c r="O29" s="3271"/>
      <c r="P29" s="3260"/>
      <c r="Q29" s="3242"/>
      <c r="R29" s="3240"/>
      <c r="S29" s="3240"/>
    </row>
    <row r="30" spans="1:22" ht="15.75" x14ac:dyDescent="0.25">
      <c r="D30" s="1059"/>
      <c r="E30" s="1059"/>
      <c r="F30" s="1059"/>
      <c r="G30" s="1059"/>
      <c r="H30" s="1059"/>
      <c r="I30" s="1059"/>
      <c r="J30" s="1059"/>
      <c r="K30" s="1682"/>
      <c r="L30" s="1682"/>
      <c r="M30" s="1682"/>
      <c r="N30" s="1682"/>
      <c r="O30" s="1682"/>
      <c r="P30" s="3240"/>
      <c r="Q30" s="3240"/>
      <c r="R30" s="3240"/>
      <c r="S30" s="3240"/>
    </row>
    <row r="31" spans="1:22" ht="15.75" x14ac:dyDescent="0.25">
      <c r="A31" s="782">
        <v>6</v>
      </c>
      <c r="B31" s="782" t="s">
        <v>29</v>
      </c>
      <c r="C31" s="782"/>
      <c r="D31" s="4048" t="s">
        <v>392</v>
      </c>
      <c r="E31" s="4049"/>
      <c r="F31" s="4049"/>
      <c r="G31" s="4049"/>
      <c r="H31" s="4049"/>
      <c r="I31" s="4049"/>
      <c r="J31" s="4049"/>
      <c r="K31" s="4049"/>
      <c r="L31" s="4049"/>
      <c r="M31" s="4049"/>
      <c r="N31" s="4049"/>
      <c r="O31" s="4050"/>
      <c r="P31" s="3241"/>
      <c r="Q31" s="3242"/>
      <c r="R31" s="3240"/>
      <c r="S31" s="3240"/>
    </row>
    <row r="32" spans="1:22" ht="15.75" customHeight="1" x14ac:dyDescent="0.25">
      <c r="A32" s="818">
        <v>7</v>
      </c>
      <c r="B32" s="818" t="s">
        <v>32</v>
      </c>
      <c r="C32" s="818"/>
      <c r="D32" s="4066" t="s">
        <v>1386</v>
      </c>
      <c r="E32" s="4067"/>
      <c r="F32" s="4067"/>
      <c r="G32" s="4067"/>
      <c r="H32" s="4067"/>
      <c r="I32" s="4067"/>
      <c r="J32" s="4067"/>
      <c r="K32" s="4067"/>
      <c r="L32" s="4067"/>
      <c r="M32" s="4067"/>
      <c r="N32" s="4067"/>
      <c r="O32" s="4068"/>
      <c r="P32" s="3241"/>
      <c r="Q32" s="3242"/>
      <c r="R32" s="3240"/>
      <c r="S32" s="3240"/>
    </row>
    <row r="33" spans="1:19" ht="15.75" customHeight="1" x14ac:dyDescent="0.25">
      <c r="A33" s="782">
        <v>8</v>
      </c>
      <c r="B33" s="782" t="s">
        <v>31</v>
      </c>
      <c r="C33" s="782"/>
      <c r="D33" s="4066" t="s">
        <v>1387</v>
      </c>
      <c r="E33" s="4067"/>
      <c r="F33" s="4067"/>
      <c r="G33" s="4067"/>
      <c r="H33" s="4067"/>
      <c r="I33" s="4067"/>
      <c r="J33" s="4067"/>
      <c r="K33" s="4067"/>
      <c r="L33" s="4067"/>
      <c r="M33" s="4067"/>
      <c r="N33" s="4067"/>
      <c r="O33" s="4068"/>
      <c r="P33" s="3241"/>
      <c r="Q33" s="3242"/>
      <c r="R33" s="3240"/>
      <c r="S33" s="3240"/>
    </row>
    <row r="34" spans="1:19" ht="102.6" customHeight="1" x14ac:dyDescent="0.25">
      <c r="A34" s="818">
        <v>9</v>
      </c>
      <c r="B34" s="782" t="s">
        <v>34</v>
      </c>
      <c r="D34" s="4066" t="s">
        <v>1388</v>
      </c>
      <c r="E34" s="4067"/>
      <c r="F34" s="4067"/>
      <c r="G34" s="4067"/>
      <c r="H34" s="4067"/>
      <c r="I34" s="4067"/>
      <c r="J34" s="4067"/>
      <c r="K34" s="4067"/>
      <c r="L34" s="4067"/>
      <c r="M34" s="4067"/>
      <c r="N34" s="4067"/>
      <c r="O34" s="4068"/>
      <c r="P34" s="3240"/>
      <c r="Q34" s="3240"/>
      <c r="R34" s="3240"/>
      <c r="S34" s="3240"/>
    </row>
    <row r="35" spans="1:19" ht="15.75" x14ac:dyDescent="0.25">
      <c r="D35" s="3274"/>
      <c r="E35" s="3275"/>
      <c r="F35" s="3275"/>
      <c r="G35" s="3275"/>
      <c r="H35" s="3275"/>
      <c r="I35" s="3275"/>
      <c r="J35" s="3275"/>
      <c r="K35" s="3240"/>
      <c r="L35" s="3240"/>
      <c r="M35" s="3240"/>
      <c r="N35" s="3240"/>
      <c r="O35" s="3240"/>
      <c r="P35" s="3240"/>
      <c r="Q35" s="3240"/>
      <c r="R35" s="3240"/>
      <c r="S35" s="3240"/>
    </row>
    <row r="36" spans="1:19" ht="15.75" x14ac:dyDescent="0.25">
      <c r="D36" s="3275"/>
      <c r="E36" s="3275"/>
      <c r="F36" s="3275"/>
      <c r="G36" s="3275"/>
      <c r="H36" s="3275"/>
      <c r="I36" s="3275"/>
      <c r="J36" s="3275"/>
      <c r="K36" s="3240"/>
      <c r="L36" s="3240"/>
      <c r="M36" s="3240"/>
      <c r="N36" s="3240"/>
      <c r="O36" s="3240"/>
      <c r="P36" s="3240"/>
      <c r="Q36" s="3240"/>
      <c r="R36" s="3240"/>
      <c r="S36" s="3240"/>
    </row>
    <row r="37" spans="1:19" ht="15.75" x14ac:dyDescent="0.25">
      <c r="D37" s="3275"/>
      <c r="E37" s="3275"/>
      <c r="F37" s="3275"/>
      <c r="G37" s="3275"/>
      <c r="H37" s="3275"/>
      <c r="I37" s="3275"/>
      <c r="J37" s="3275"/>
      <c r="K37" s="3240"/>
      <c r="L37" s="3240"/>
      <c r="M37" s="3240"/>
      <c r="N37" s="3240"/>
      <c r="O37" s="3240"/>
      <c r="P37" s="3240"/>
      <c r="Q37" s="3240"/>
      <c r="R37" s="3240"/>
      <c r="S37" s="3240"/>
    </row>
    <row r="38" spans="1:19" ht="15.75" x14ac:dyDescent="0.25">
      <c r="D38" s="3275"/>
      <c r="E38" s="3275"/>
      <c r="F38" s="3275"/>
      <c r="G38" s="3275"/>
      <c r="H38" s="3275"/>
      <c r="I38" s="3275"/>
      <c r="J38" s="3275"/>
      <c r="K38" s="3240"/>
      <c r="L38" s="3240"/>
      <c r="M38" s="3240"/>
      <c r="N38" s="3240"/>
      <c r="O38" s="3240"/>
      <c r="P38" s="3240"/>
      <c r="Q38" s="3240"/>
      <c r="R38" s="3240"/>
      <c r="S38" s="3240"/>
    </row>
    <row r="39" spans="1:19" ht="15.75" x14ac:dyDescent="0.25">
      <c r="D39" s="3275"/>
      <c r="E39" s="3275"/>
      <c r="F39" s="3275"/>
      <c r="G39" s="3275"/>
      <c r="H39" s="3275"/>
      <c r="I39" s="3275"/>
      <c r="J39" s="3275"/>
      <c r="K39" s="3240"/>
      <c r="L39" s="3240"/>
      <c r="M39" s="3240"/>
      <c r="N39" s="3240"/>
      <c r="O39" s="3240"/>
      <c r="P39" s="3240"/>
      <c r="Q39" s="3240"/>
      <c r="R39" s="3240"/>
      <c r="S39" s="3240"/>
    </row>
    <row r="40" spans="1:19" ht="15.75" x14ac:dyDescent="0.25">
      <c r="D40" s="3275"/>
      <c r="E40" s="3275"/>
      <c r="F40" s="3275"/>
      <c r="G40" s="3275"/>
      <c r="H40" s="3275"/>
      <c r="I40" s="3275"/>
      <c r="J40" s="3275"/>
      <c r="K40" s="3240"/>
      <c r="L40" s="3240"/>
      <c r="M40" s="3240"/>
      <c r="N40" s="3240"/>
      <c r="O40" s="3240"/>
      <c r="P40" s="3240"/>
      <c r="Q40" s="3240"/>
      <c r="R40" s="3240"/>
      <c r="S40" s="3240"/>
    </row>
    <row r="41" spans="1:19" ht="15.75" x14ac:dyDescent="0.25">
      <c r="D41" s="3275"/>
      <c r="E41" s="3275"/>
      <c r="F41" s="3275"/>
      <c r="G41" s="3275"/>
      <c r="H41" s="3275"/>
      <c r="I41" s="3275"/>
      <c r="J41" s="3275"/>
      <c r="K41" s="3240"/>
      <c r="L41" s="3240"/>
      <c r="M41" s="3240"/>
      <c r="N41" s="3240"/>
      <c r="O41" s="3240"/>
      <c r="P41" s="3240"/>
      <c r="Q41" s="3240"/>
      <c r="R41" s="3240"/>
      <c r="S41" s="3240"/>
    </row>
    <row r="44" spans="1:19" x14ac:dyDescent="0.25">
      <c r="G44" s="336"/>
    </row>
  </sheetData>
  <mergeCells count="14">
    <mergeCell ref="D2:O2"/>
    <mergeCell ref="D31:O31"/>
    <mergeCell ref="D32:O32"/>
    <mergeCell ref="D33:O33"/>
    <mergeCell ref="D34:O34"/>
    <mergeCell ref="D3:O3"/>
    <mergeCell ref="D4:O4"/>
    <mergeCell ref="E6:J6"/>
    <mergeCell ref="K6:Q6"/>
    <mergeCell ref="E7:F7"/>
    <mergeCell ref="G7:H7"/>
    <mergeCell ref="I7:J7"/>
    <mergeCell ref="K7:L7"/>
    <mergeCell ref="M7:N7"/>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8"/>
  <sheetViews>
    <sheetView showGridLines="0" view="pageBreakPreview" topLeftCell="A8" zoomScaleNormal="100" zoomScaleSheetLayoutView="100" workbookViewId="0">
      <selection activeCell="D33" sqref="D33:O33"/>
    </sheetView>
  </sheetViews>
  <sheetFormatPr defaultColWidth="9.140625" defaultRowHeight="15" x14ac:dyDescent="0.2"/>
  <cols>
    <col min="1" max="1" width="3.7109375" style="1000" customWidth="1"/>
    <col min="2" max="2" width="14.42578125" style="1000" customWidth="1"/>
    <col min="3" max="3" width="3.7109375" style="1000" customWidth="1"/>
    <col min="4" max="4" width="24.85546875" style="3275" customWidth="1"/>
    <col min="5" max="6" width="9.140625" style="3275" customWidth="1"/>
    <col min="7" max="14" width="9.140625" style="3275"/>
    <col min="15" max="15" width="8.140625" style="3275" customWidth="1"/>
    <col min="16" max="16" width="11.42578125" style="3275" customWidth="1"/>
    <col min="17" max="257" width="9.140625" style="3275"/>
    <col min="258" max="258" width="3.7109375" style="3275" customWidth="1"/>
    <col min="259" max="259" width="14.42578125" style="3275" customWidth="1"/>
    <col min="260" max="260" width="3.7109375" style="3275" customWidth="1"/>
    <col min="261" max="261" width="24.85546875" style="3275" customWidth="1"/>
    <col min="262" max="263" width="9.140625" style="3275" customWidth="1"/>
    <col min="264" max="513" width="9.140625" style="3275"/>
    <col min="514" max="514" width="3.7109375" style="3275" customWidth="1"/>
    <col min="515" max="515" width="14.42578125" style="3275" customWidth="1"/>
    <col min="516" max="516" width="3.7109375" style="3275" customWidth="1"/>
    <col min="517" max="517" width="24.85546875" style="3275" customWidth="1"/>
    <col min="518" max="519" width="9.140625" style="3275" customWidth="1"/>
    <col min="520" max="769" width="9.140625" style="3275"/>
    <col min="770" max="770" width="3.7109375" style="3275" customWidth="1"/>
    <col min="771" max="771" width="14.42578125" style="3275" customWidth="1"/>
    <col min="772" max="772" width="3.7109375" style="3275" customWidth="1"/>
    <col min="773" max="773" width="24.85546875" style="3275" customWidth="1"/>
    <col min="774" max="775" width="9.140625" style="3275" customWidth="1"/>
    <col min="776" max="1025" width="9.140625" style="3275"/>
    <col min="1026" max="1026" width="3.7109375" style="3275" customWidth="1"/>
    <col min="1027" max="1027" width="14.42578125" style="3275" customWidth="1"/>
    <col min="1028" max="1028" width="3.7109375" style="3275" customWidth="1"/>
    <col min="1029" max="1029" width="24.85546875" style="3275" customWidth="1"/>
    <col min="1030" max="1031" width="9.140625" style="3275" customWidth="1"/>
    <col min="1032" max="1281" width="9.140625" style="3275"/>
    <col min="1282" max="1282" width="3.7109375" style="3275" customWidth="1"/>
    <col min="1283" max="1283" width="14.42578125" style="3275" customWidth="1"/>
    <col min="1284" max="1284" width="3.7109375" style="3275" customWidth="1"/>
    <col min="1285" max="1285" width="24.85546875" style="3275" customWidth="1"/>
    <col min="1286" max="1287" width="9.140625" style="3275" customWidth="1"/>
    <col min="1288" max="1537" width="9.140625" style="3275"/>
    <col min="1538" max="1538" width="3.7109375" style="3275" customWidth="1"/>
    <col min="1539" max="1539" width="14.42578125" style="3275" customWidth="1"/>
    <col min="1540" max="1540" width="3.7109375" style="3275" customWidth="1"/>
    <col min="1541" max="1541" width="24.85546875" style="3275" customWidth="1"/>
    <col min="1542" max="1543" width="9.140625" style="3275" customWidth="1"/>
    <col min="1544" max="1793" width="9.140625" style="3275"/>
    <col min="1794" max="1794" width="3.7109375" style="3275" customWidth="1"/>
    <col min="1795" max="1795" width="14.42578125" style="3275" customWidth="1"/>
    <col min="1796" max="1796" width="3.7109375" style="3275" customWidth="1"/>
    <col min="1797" max="1797" width="24.85546875" style="3275" customWidth="1"/>
    <col min="1798" max="1799" width="9.140625" style="3275" customWidth="1"/>
    <col min="1800" max="2049" width="9.140625" style="3275"/>
    <col min="2050" max="2050" width="3.7109375" style="3275" customWidth="1"/>
    <col min="2051" max="2051" width="14.42578125" style="3275" customWidth="1"/>
    <col min="2052" max="2052" width="3.7109375" style="3275" customWidth="1"/>
    <col min="2053" max="2053" width="24.85546875" style="3275" customWidth="1"/>
    <col min="2054" max="2055" width="9.140625" style="3275" customWidth="1"/>
    <col min="2056" max="2305" width="9.140625" style="3275"/>
    <col min="2306" max="2306" width="3.7109375" style="3275" customWidth="1"/>
    <col min="2307" max="2307" width="14.42578125" style="3275" customWidth="1"/>
    <col min="2308" max="2308" width="3.7109375" style="3275" customWidth="1"/>
    <col min="2309" max="2309" width="24.85546875" style="3275" customWidth="1"/>
    <col min="2310" max="2311" width="9.140625" style="3275" customWidth="1"/>
    <col min="2312" max="2561" width="9.140625" style="3275"/>
    <col min="2562" max="2562" width="3.7109375" style="3275" customWidth="1"/>
    <col min="2563" max="2563" width="14.42578125" style="3275" customWidth="1"/>
    <col min="2564" max="2564" width="3.7109375" style="3275" customWidth="1"/>
    <col min="2565" max="2565" width="24.85546875" style="3275" customWidth="1"/>
    <col min="2566" max="2567" width="9.140625" style="3275" customWidth="1"/>
    <col min="2568" max="2817" width="9.140625" style="3275"/>
    <col min="2818" max="2818" width="3.7109375" style="3275" customWidth="1"/>
    <col min="2819" max="2819" width="14.42578125" style="3275" customWidth="1"/>
    <col min="2820" max="2820" width="3.7109375" style="3275" customWidth="1"/>
    <col min="2821" max="2821" width="24.85546875" style="3275" customWidth="1"/>
    <col min="2822" max="2823" width="9.140625" style="3275" customWidth="1"/>
    <col min="2824" max="3073" width="9.140625" style="3275"/>
    <col min="3074" max="3074" width="3.7109375" style="3275" customWidth="1"/>
    <col min="3075" max="3075" width="14.42578125" style="3275" customWidth="1"/>
    <col min="3076" max="3076" width="3.7109375" style="3275" customWidth="1"/>
    <col min="3077" max="3077" width="24.85546875" style="3275" customWidth="1"/>
    <col min="3078" max="3079" width="9.140625" style="3275" customWidth="1"/>
    <col min="3080" max="3329" width="9.140625" style="3275"/>
    <col min="3330" max="3330" width="3.7109375" style="3275" customWidth="1"/>
    <col min="3331" max="3331" width="14.42578125" style="3275" customWidth="1"/>
    <col min="3332" max="3332" width="3.7109375" style="3275" customWidth="1"/>
    <col min="3333" max="3333" width="24.85546875" style="3275" customWidth="1"/>
    <col min="3334" max="3335" width="9.140625" style="3275" customWidth="1"/>
    <col min="3336" max="3585" width="9.140625" style="3275"/>
    <col min="3586" max="3586" width="3.7109375" style="3275" customWidth="1"/>
    <col min="3587" max="3587" width="14.42578125" style="3275" customWidth="1"/>
    <col min="3588" max="3588" width="3.7109375" style="3275" customWidth="1"/>
    <col min="3589" max="3589" width="24.85546875" style="3275" customWidth="1"/>
    <col min="3590" max="3591" width="9.140625" style="3275" customWidth="1"/>
    <col min="3592" max="3841" width="9.140625" style="3275"/>
    <col min="3842" max="3842" width="3.7109375" style="3275" customWidth="1"/>
    <col min="3843" max="3843" width="14.42578125" style="3275" customWidth="1"/>
    <col min="3844" max="3844" width="3.7109375" style="3275" customWidth="1"/>
    <col min="3845" max="3845" width="24.85546875" style="3275" customWidth="1"/>
    <col min="3846" max="3847" width="9.140625" style="3275" customWidth="1"/>
    <col min="3848" max="4097" width="9.140625" style="3275"/>
    <col min="4098" max="4098" width="3.7109375" style="3275" customWidth="1"/>
    <col min="4099" max="4099" width="14.42578125" style="3275" customWidth="1"/>
    <col min="4100" max="4100" width="3.7109375" style="3275" customWidth="1"/>
    <col min="4101" max="4101" width="24.85546875" style="3275" customWidth="1"/>
    <col min="4102" max="4103" width="9.140625" style="3275" customWidth="1"/>
    <col min="4104" max="4353" width="9.140625" style="3275"/>
    <col min="4354" max="4354" width="3.7109375" style="3275" customWidth="1"/>
    <col min="4355" max="4355" width="14.42578125" style="3275" customWidth="1"/>
    <col min="4356" max="4356" width="3.7109375" style="3275" customWidth="1"/>
    <col min="4357" max="4357" width="24.85546875" style="3275" customWidth="1"/>
    <col min="4358" max="4359" width="9.140625" style="3275" customWidth="1"/>
    <col min="4360" max="4609" width="9.140625" style="3275"/>
    <col min="4610" max="4610" width="3.7109375" style="3275" customWidth="1"/>
    <col min="4611" max="4611" width="14.42578125" style="3275" customWidth="1"/>
    <col min="4612" max="4612" width="3.7109375" style="3275" customWidth="1"/>
    <col min="4613" max="4613" width="24.85546875" style="3275" customWidth="1"/>
    <col min="4614" max="4615" width="9.140625" style="3275" customWidth="1"/>
    <col min="4616" max="4865" width="9.140625" style="3275"/>
    <col min="4866" max="4866" width="3.7109375" style="3275" customWidth="1"/>
    <col min="4867" max="4867" width="14.42578125" style="3275" customWidth="1"/>
    <col min="4868" max="4868" width="3.7109375" style="3275" customWidth="1"/>
    <col min="4869" max="4869" width="24.85546875" style="3275" customWidth="1"/>
    <col min="4870" max="4871" width="9.140625" style="3275" customWidth="1"/>
    <col min="4872" max="5121" width="9.140625" style="3275"/>
    <col min="5122" max="5122" width="3.7109375" style="3275" customWidth="1"/>
    <col min="5123" max="5123" width="14.42578125" style="3275" customWidth="1"/>
    <col min="5124" max="5124" width="3.7109375" style="3275" customWidth="1"/>
    <col min="5125" max="5125" width="24.85546875" style="3275" customWidth="1"/>
    <col min="5126" max="5127" width="9.140625" style="3275" customWidth="1"/>
    <col min="5128" max="5377" width="9.140625" style="3275"/>
    <col min="5378" max="5378" width="3.7109375" style="3275" customWidth="1"/>
    <col min="5379" max="5379" width="14.42578125" style="3275" customWidth="1"/>
    <col min="5380" max="5380" width="3.7109375" style="3275" customWidth="1"/>
    <col min="5381" max="5381" width="24.85546875" style="3275" customWidth="1"/>
    <col min="5382" max="5383" width="9.140625" style="3275" customWidth="1"/>
    <col min="5384" max="5633" width="9.140625" style="3275"/>
    <col min="5634" max="5634" width="3.7109375" style="3275" customWidth="1"/>
    <col min="5635" max="5635" width="14.42578125" style="3275" customWidth="1"/>
    <col min="5636" max="5636" width="3.7109375" style="3275" customWidth="1"/>
    <col min="5637" max="5637" width="24.85546875" style="3275" customWidth="1"/>
    <col min="5638" max="5639" width="9.140625" style="3275" customWidth="1"/>
    <col min="5640" max="5889" width="9.140625" style="3275"/>
    <col min="5890" max="5890" width="3.7109375" style="3275" customWidth="1"/>
    <col min="5891" max="5891" width="14.42578125" style="3275" customWidth="1"/>
    <col min="5892" max="5892" width="3.7109375" style="3275" customWidth="1"/>
    <col min="5893" max="5893" width="24.85546875" style="3275" customWidth="1"/>
    <col min="5894" max="5895" width="9.140625" style="3275" customWidth="1"/>
    <col min="5896" max="6145" width="9.140625" style="3275"/>
    <col min="6146" max="6146" width="3.7109375" style="3275" customWidth="1"/>
    <col min="6147" max="6147" width="14.42578125" style="3275" customWidth="1"/>
    <col min="6148" max="6148" width="3.7109375" style="3275" customWidth="1"/>
    <col min="6149" max="6149" width="24.85546875" style="3275" customWidth="1"/>
    <col min="6150" max="6151" width="9.140625" style="3275" customWidth="1"/>
    <col min="6152" max="6401" width="9.140625" style="3275"/>
    <col min="6402" max="6402" width="3.7109375" style="3275" customWidth="1"/>
    <col min="6403" max="6403" width="14.42578125" style="3275" customWidth="1"/>
    <col min="6404" max="6404" width="3.7109375" style="3275" customWidth="1"/>
    <col min="6405" max="6405" width="24.85546875" style="3275" customWidth="1"/>
    <col min="6406" max="6407" width="9.140625" style="3275" customWidth="1"/>
    <col min="6408" max="6657" width="9.140625" style="3275"/>
    <col min="6658" max="6658" width="3.7109375" style="3275" customWidth="1"/>
    <col min="6659" max="6659" width="14.42578125" style="3275" customWidth="1"/>
    <col min="6660" max="6660" width="3.7109375" style="3275" customWidth="1"/>
    <col min="6661" max="6661" width="24.85546875" style="3275" customWidth="1"/>
    <col min="6662" max="6663" width="9.140625" style="3275" customWidth="1"/>
    <col min="6664" max="6913" width="9.140625" style="3275"/>
    <col min="6914" max="6914" width="3.7109375" style="3275" customWidth="1"/>
    <col min="6915" max="6915" width="14.42578125" style="3275" customWidth="1"/>
    <col min="6916" max="6916" width="3.7109375" style="3275" customWidth="1"/>
    <col min="6917" max="6917" width="24.85546875" style="3275" customWidth="1"/>
    <col min="6918" max="6919" width="9.140625" style="3275" customWidth="1"/>
    <col min="6920" max="7169" width="9.140625" style="3275"/>
    <col min="7170" max="7170" width="3.7109375" style="3275" customWidth="1"/>
    <col min="7171" max="7171" width="14.42578125" style="3275" customWidth="1"/>
    <col min="7172" max="7172" width="3.7109375" style="3275" customWidth="1"/>
    <col min="7173" max="7173" width="24.85546875" style="3275" customWidth="1"/>
    <col min="7174" max="7175" width="9.140625" style="3275" customWidth="1"/>
    <col min="7176" max="7425" width="9.140625" style="3275"/>
    <col min="7426" max="7426" width="3.7109375" style="3275" customWidth="1"/>
    <col min="7427" max="7427" width="14.42578125" style="3275" customWidth="1"/>
    <col min="7428" max="7428" width="3.7109375" style="3275" customWidth="1"/>
    <col min="7429" max="7429" width="24.85546875" style="3275" customWidth="1"/>
    <col min="7430" max="7431" width="9.140625" style="3275" customWidth="1"/>
    <col min="7432" max="7681" width="9.140625" style="3275"/>
    <col min="7682" max="7682" width="3.7109375" style="3275" customWidth="1"/>
    <col min="7683" max="7683" width="14.42578125" style="3275" customWidth="1"/>
    <col min="7684" max="7684" width="3.7109375" style="3275" customWidth="1"/>
    <col min="7685" max="7685" width="24.85546875" style="3275" customWidth="1"/>
    <col min="7686" max="7687" width="9.140625" style="3275" customWidth="1"/>
    <col min="7688" max="7937" width="9.140625" style="3275"/>
    <col min="7938" max="7938" width="3.7109375" style="3275" customWidth="1"/>
    <col min="7939" max="7939" width="14.42578125" style="3275" customWidth="1"/>
    <col min="7940" max="7940" width="3.7109375" style="3275" customWidth="1"/>
    <col min="7941" max="7941" width="24.85546875" style="3275" customWidth="1"/>
    <col min="7942" max="7943" width="9.140625" style="3275" customWidth="1"/>
    <col min="7944" max="8193" width="9.140625" style="3275"/>
    <col min="8194" max="8194" width="3.7109375" style="3275" customWidth="1"/>
    <col min="8195" max="8195" width="14.42578125" style="3275" customWidth="1"/>
    <col min="8196" max="8196" width="3.7109375" style="3275" customWidth="1"/>
    <col min="8197" max="8197" width="24.85546875" style="3275" customWidth="1"/>
    <col min="8198" max="8199" width="9.140625" style="3275" customWidth="1"/>
    <col min="8200" max="8449" width="9.140625" style="3275"/>
    <col min="8450" max="8450" width="3.7109375" style="3275" customWidth="1"/>
    <col min="8451" max="8451" width="14.42578125" style="3275" customWidth="1"/>
    <col min="8452" max="8452" width="3.7109375" style="3275" customWidth="1"/>
    <col min="8453" max="8453" width="24.85546875" style="3275" customWidth="1"/>
    <col min="8454" max="8455" width="9.140625" style="3275" customWidth="1"/>
    <col min="8456" max="8705" width="9.140625" style="3275"/>
    <col min="8706" max="8706" width="3.7109375" style="3275" customWidth="1"/>
    <col min="8707" max="8707" width="14.42578125" style="3275" customWidth="1"/>
    <col min="8708" max="8708" width="3.7109375" style="3275" customWidth="1"/>
    <col min="8709" max="8709" width="24.85546875" style="3275" customWidth="1"/>
    <col min="8710" max="8711" width="9.140625" style="3275" customWidth="1"/>
    <col min="8712" max="8961" width="9.140625" style="3275"/>
    <col min="8962" max="8962" width="3.7109375" style="3275" customWidth="1"/>
    <col min="8963" max="8963" width="14.42578125" style="3275" customWidth="1"/>
    <col min="8964" max="8964" width="3.7109375" style="3275" customWidth="1"/>
    <col min="8965" max="8965" width="24.85546875" style="3275" customWidth="1"/>
    <col min="8966" max="8967" width="9.140625" style="3275" customWidth="1"/>
    <col min="8968" max="9217" width="9.140625" style="3275"/>
    <col min="9218" max="9218" width="3.7109375" style="3275" customWidth="1"/>
    <col min="9219" max="9219" width="14.42578125" style="3275" customWidth="1"/>
    <col min="9220" max="9220" width="3.7109375" style="3275" customWidth="1"/>
    <col min="9221" max="9221" width="24.85546875" style="3275" customWidth="1"/>
    <col min="9222" max="9223" width="9.140625" style="3275" customWidth="1"/>
    <col min="9224" max="9473" width="9.140625" style="3275"/>
    <col min="9474" max="9474" width="3.7109375" style="3275" customWidth="1"/>
    <col min="9475" max="9475" width="14.42578125" style="3275" customWidth="1"/>
    <col min="9476" max="9476" width="3.7109375" style="3275" customWidth="1"/>
    <col min="9477" max="9477" width="24.85546875" style="3275" customWidth="1"/>
    <col min="9478" max="9479" width="9.140625" style="3275" customWidth="1"/>
    <col min="9480" max="9729" width="9.140625" style="3275"/>
    <col min="9730" max="9730" width="3.7109375" style="3275" customWidth="1"/>
    <col min="9731" max="9731" width="14.42578125" style="3275" customWidth="1"/>
    <col min="9732" max="9732" width="3.7109375" style="3275" customWidth="1"/>
    <col min="9733" max="9733" width="24.85546875" style="3275" customWidth="1"/>
    <col min="9734" max="9735" width="9.140625" style="3275" customWidth="1"/>
    <col min="9736" max="9985" width="9.140625" style="3275"/>
    <col min="9986" max="9986" width="3.7109375" style="3275" customWidth="1"/>
    <col min="9987" max="9987" width="14.42578125" style="3275" customWidth="1"/>
    <col min="9988" max="9988" width="3.7109375" style="3275" customWidth="1"/>
    <col min="9989" max="9989" width="24.85546875" style="3275" customWidth="1"/>
    <col min="9990" max="9991" width="9.140625" style="3275" customWidth="1"/>
    <col min="9992" max="10241" width="9.140625" style="3275"/>
    <col min="10242" max="10242" width="3.7109375" style="3275" customWidth="1"/>
    <col min="10243" max="10243" width="14.42578125" style="3275" customWidth="1"/>
    <col min="10244" max="10244" width="3.7109375" style="3275" customWidth="1"/>
    <col min="10245" max="10245" width="24.85546875" style="3275" customWidth="1"/>
    <col min="10246" max="10247" width="9.140625" style="3275" customWidth="1"/>
    <col min="10248" max="10497" width="9.140625" style="3275"/>
    <col min="10498" max="10498" width="3.7109375" style="3275" customWidth="1"/>
    <col min="10499" max="10499" width="14.42578125" style="3275" customWidth="1"/>
    <col min="10500" max="10500" width="3.7109375" style="3275" customWidth="1"/>
    <col min="10501" max="10501" width="24.85546875" style="3275" customWidth="1"/>
    <col min="10502" max="10503" width="9.140625" style="3275" customWidth="1"/>
    <col min="10504" max="10753" width="9.140625" style="3275"/>
    <col min="10754" max="10754" width="3.7109375" style="3275" customWidth="1"/>
    <col min="10755" max="10755" width="14.42578125" style="3275" customWidth="1"/>
    <col min="10756" max="10756" width="3.7109375" style="3275" customWidth="1"/>
    <col min="10757" max="10757" width="24.85546875" style="3275" customWidth="1"/>
    <col min="10758" max="10759" width="9.140625" style="3275" customWidth="1"/>
    <col min="10760" max="11009" width="9.140625" style="3275"/>
    <col min="11010" max="11010" width="3.7109375" style="3275" customWidth="1"/>
    <col min="11011" max="11011" width="14.42578125" style="3275" customWidth="1"/>
    <col min="11012" max="11012" width="3.7109375" style="3275" customWidth="1"/>
    <col min="11013" max="11013" width="24.85546875" style="3275" customWidth="1"/>
    <col min="11014" max="11015" width="9.140625" style="3275" customWidth="1"/>
    <col min="11016" max="11265" width="9.140625" style="3275"/>
    <col min="11266" max="11266" width="3.7109375" style="3275" customWidth="1"/>
    <col min="11267" max="11267" width="14.42578125" style="3275" customWidth="1"/>
    <col min="11268" max="11268" width="3.7109375" style="3275" customWidth="1"/>
    <col min="11269" max="11269" width="24.85546875" style="3275" customWidth="1"/>
    <col min="11270" max="11271" width="9.140625" style="3275" customWidth="1"/>
    <col min="11272" max="11521" width="9.140625" style="3275"/>
    <col min="11522" max="11522" width="3.7109375" style="3275" customWidth="1"/>
    <col min="11523" max="11523" width="14.42578125" style="3275" customWidth="1"/>
    <col min="11524" max="11524" width="3.7109375" style="3275" customWidth="1"/>
    <col min="11525" max="11525" width="24.85546875" style="3275" customWidth="1"/>
    <col min="11526" max="11527" width="9.140625" style="3275" customWidth="1"/>
    <col min="11528" max="11777" width="9.140625" style="3275"/>
    <col min="11778" max="11778" width="3.7109375" style="3275" customWidth="1"/>
    <col min="11779" max="11779" width="14.42578125" style="3275" customWidth="1"/>
    <col min="11780" max="11780" width="3.7109375" style="3275" customWidth="1"/>
    <col min="11781" max="11781" width="24.85546875" style="3275" customWidth="1"/>
    <col min="11782" max="11783" width="9.140625" style="3275" customWidth="1"/>
    <col min="11784" max="12033" width="9.140625" style="3275"/>
    <col min="12034" max="12034" width="3.7109375" style="3275" customWidth="1"/>
    <col min="12035" max="12035" width="14.42578125" style="3275" customWidth="1"/>
    <col min="12036" max="12036" width="3.7109375" style="3275" customWidth="1"/>
    <col min="12037" max="12037" width="24.85546875" style="3275" customWidth="1"/>
    <col min="12038" max="12039" width="9.140625" style="3275" customWidth="1"/>
    <col min="12040" max="12289" width="9.140625" style="3275"/>
    <col min="12290" max="12290" width="3.7109375" style="3275" customWidth="1"/>
    <col min="12291" max="12291" width="14.42578125" style="3275" customWidth="1"/>
    <col min="12292" max="12292" width="3.7109375" style="3275" customWidth="1"/>
    <col min="12293" max="12293" width="24.85546875" style="3275" customWidth="1"/>
    <col min="12294" max="12295" width="9.140625" style="3275" customWidth="1"/>
    <col min="12296" max="12545" width="9.140625" style="3275"/>
    <col min="12546" max="12546" width="3.7109375" style="3275" customWidth="1"/>
    <col min="12547" max="12547" width="14.42578125" style="3275" customWidth="1"/>
    <col min="12548" max="12548" width="3.7109375" style="3275" customWidth="1"/>
    <col min="12549" max="12549" width="24.85546875" style="3275" customWidth="1"/>
    <col min="12550" max="12551" width="9.140625" style="3275" customWidth="1"/>
    <col min="12552" max="12801" width="9.140625" style="3275"/>
    <col min="12802" max="12802" width="3.7109375" style="3275" customWidth="1"/>
    <col min="12803" max="12803" width="14.42578125" style="3275" customWidth="1"/>
    <col min="12804" max="12804" width="3.7109375" style="3275" customWidth="1"/>
    <col min="12805" max="12805" width="24.85546875" style="3275" customWidth="1"/>
    <col min="12806" max="12807" width="9.140625" style="3275" customWidth="1"/>
    <col min="12808" max="13057" width="9.140625" style="3275"/>
    <col min="13058" max="13058" width="3.7109375" style="3275" customWidth="1"/>
    <col min="13059" max="13059" width="14.42578125" style="3275" customWidth="1"/>
    <col min="13060" max="13060" width="3.7109375" style="3275" customWidth="1"/>
    <col min="13061" max="13061" width="24.85546875" style="3275" customWidth="1"/>
    <col min="13062" max="13063" width="9.140625" style="3275" customWidth="1"/>
    <col min="13064" max="13313" width="9.140625" style="3275"/>
    <col min="13314" max="13314" width="3.7109375" style="3275" customWidth="1"/>
    <col min="13315" max="13315" width="14.42578125" style="3275" customWidth="1"/>
    <col min="13316" max="13316" width="3.7109375" style="3275" customWidth="1"/>
    <col min="13317" max="13317" width="24.85546875" style="3275" customWidth="1"/>
    <col min="13318" max="13319" width="9.140625" style="3275" customWidth="1"/>
    <col min="13320" max="13569" width="9.140625" style="3275"/>
    <col min="13570" max="13570" width="3.7109375" style="3275" customWidth="1"/>
    <col min="13571" max="13571" width="14.42578125" style="3275" customWidth="1"/>
    <col min="13572" max="13572" width="3.7109375" style="3275" customWidth="1"/>
    <col min="13573" max="13573" width="24.85546875" style="3275" customWidth="1"/>
    <col min="13574" max="13575" width="9.140625" style="3275" customWidth="1"/>
    <col min="13576" max="13825" width="9.140625" style="3275"/>
    <col min="13826" max="13826" width="3.7109375" style="3275" customWidth="1"/>
    <col min="13827" max="13827" width="14.42578125" style="3275" customWidth="1"/>
    <col min="13828" max="13828" width="3.7109375" style="3275" customWidth="1"/>
    <col min="13829" max="13829" width="24.85546875" style="3275" customWidth="1"/>
    <col min="13830" max="13831" width="9.140625" style="3275" customWidth="1"/>
    <col min="13832" max="14081" width="9.140625" style="3275"/>
    <col min="14082" max="14082" width="3.7109375" style="3275" customWidth="1"/>
    <col min="14083" max="14083" width="14.42578125" style="3275" customWidth="1"/>
    <col min="14084" max="14084" width="3.7109375" style="3275" customWidth="1"/>
    <col min="14085" max="14085" width="24.85546875" style="3275" customWidth="1"/>
    <col min="14086" max="14087" width="9.140625" style="3275" customWidth="1"/>
    <col min="14088" max="14337" width="9.140625" style="3275"/>
    <col min="14338" max="14338" width="3.7109375" style="3275" customWidth="1"/>
    <col min="14339" max="14339" width="14.42578125" style="3275" customWidth="1"/>
    <col min="14340" max="14340" width="3.7109375" style="3275" customWidth="1"/>
    <col min="14341" max="14341" width="24.85546875" style="3275" customWidth="1"/>
    <col min="14342" max="14343" width="9.140625" style="3275" customWidth="1"/>
    <col min="14344" max="14593" width="9.140625" style="3275"/>
    <col min="14594" max="14594" width="3.7109375" style="3275" customWidth="1"/>
    <col min="14595" max="14595" width="14.42578125" style="3275" customWidth="1"/>
    <col min="14596" max="14596" width="3.7109375" style="3275" customWidth="1"/>
    <col min="14597" max="14597" width="24.85546875" style="3275" customWidth="1"/>
    <col min="14598" max="14599" width="9.140625" style="3275" customWidth="1"/>
    <col min="14600" max="14849" width="9.140625" style="3275"/>
    <col min="14850" max="14850" width="3.7109375" style="3275" customWidth="1"/>
    <col min="14851" max="14851" width="14.42578125" style="3275" customWidth="1"/>
    <col min="14852" max="14852" width="3.7109375" style="3275" customWidth="1"/>
    <col min="14853" max="14853" width="24.85546875" style="3275" customWidth="1"/>
    <col min="14854" max="14855" width="9.140625" style="3275" customWidth="1"/>
    <col min="14856" max="15105" width="9.140625" style="3275"/>
    <col min="15106" max="15106" width="3.7109375" style="3275" customWidth="1"/>
    <col min="15107" max="15107" width="14.42578125" style="3275" customWidth="1"/>
    <col min="15108" max="15108" width="3.7109375" style="3275" customWidth="1"/>
    <col min="15109" max="15109" width="24.85546875" style="3275" customWidth="1"/>
    <col min="15110" max="15111" width="9.140625" style="3275" customWidth="1"/>
    <col min="15112" max="15361" width="9.140625" style="3275"/>
    <col min="15362" max="15362" width="3.7109375" style="3275" customWidth="1"/>
    <col min="15363" max="15363" width="14.42578125" style="3275" customWidth="1"/>
    <col min="15364" max="15364" width="3.7109375" style="3275" customWidth="1"/>
    <col min="15365" max="15365" width="24.85546875" style="3275" customWidth="1"/>
    <col min="15366" max="15367" width="9.140625" style="3275" customWidth="1"/>
    <col min="15368" max="15617" width="9.140625" style="3275"/>
    <col min="15618" max="15618" width="3.7109375" style="3275" customWidth="1"/>
    <col min="15619" max="15619" width="14.42578125" style="3275" customWidth="1"/>
    <col min="15620" max="15620" width="3.7109375" style="3275" customWidth="1"/>
    <col min="15621" max="15621" width="24.85546875" style="3275" customWidth="1"/>
    <col min="15622" max="15623" width="9.140625" style="3275" customWidth="1"/>
    <col min="15624" max="15873" width="9.140625" style="3275"/>
    <col min="15874" max="15874" width="3.7109375" style="3275" customWidth="1"/>
    <col min="15875" max="15875" width="14.42578125" style="3275" customWidth="1"/>
    <col min="15876" max="15876" width="3.7109375" style="3275" customWidth="1"/>
    <col min="15877" max="15877" width="24.85546875" style="3275" customWidth="1"/>
    <col min="15878" max="15879" width="9.140625" style="3275" customWidth="1"/>
    <col min="15880" max="16129" width="9.140625" style="3275"/>
    <col min="16130" max="16130" width="3.7109375" style="3275" customWidth="1"/>
    <col min="16131" max="16131" width="14.42578125" style="3275" customWidth="1"/>
    <col min="16132" max="16132" width="3.7109375" style="3275" customWidth="1"/>
    <col min="16133" max="16133" width="24.85546875" style="3275" customWidth="1"/>
    <col min="16134" max="16135" width="9.140625" style="3275" customWidth="1"/>
    <col min="16136" max="16384" width="9.140625" style="3275"/>
  </cols>
  <sheetData>
    <row r="1" spans="1:22" x14ac:dyDescent="0.2">
      <c r="D1" s="1059"/>
      <c r="E1" s="1059"/>
      <c r="F1" s="1059"/>
      <c r="G1" s="1059"/>
      <c r="H1" s="1059"/>
      <c r="I1" s="1059"/>
      <c r="J1" s="1059"/>
      <c r="K1" s="1059"/>
      <c r="L1" s="1059"/>
    </row>
    <row r="2" spans="1:22" ht="15.75" customHeight="1" x14ac:dyDescent="0.2">
      <c r="A2" s="782">
        <v>1</v>
      </c>
      <c r="B2" s="782" t="s">
        <v>0</v>
      </c>
      <c r="C2" s="782">
        <v>58</v>
      </c>
      <c r="D2" s="4048" t="s">
        <v>1389</v>
      </c>
      <c r="E2" s="4049"/>
      <c r="F2" s="4049"/>
      <c r="G2" s="4049"/>
      <c r="H2" s="4049"/>
      <c r="I2" s="4049"/>
      <c r="J2" s="4049"/>
      <c r="K2" s="4049"/>
      <c r="L2" s="4049"/>
      <c r="M2" s="4049"/>
      <c r="N2" s="4049"/>
      <c r="O2" s="4050"/>
      <c r="P2" s="3276"/>
      <c r="Q2" s="3276"/>
      <c r="R2" s="3276"/>
      <c r="S2" s="3276"/>
      <c r="T2" s="3276"/>
      <c r="U2" s="3276"/>
      <c r="V2" s="3276"/>
    </row>
    <row r="3" spans="1:22" ht="15" customHeight="1" x14ac:dyDescent="0.2">
      <c r="A3" s="782">
        <v>2</v>
      </c>
      <c r="B3" s="782" t="s">
        <v>2</v>
      </c>
      <c r="C3" s="782"/>
      <c r="D3" s="4048" t="s">
        <v>1356</v>
      </c>
      <c r="E3" s="4049"/>
      <c r="F3" s="4049"/>
      <c r="G3" s="4049"/>
      <c r="H3" s="4049"/>
      <c r="I3" s="4049"/>
      <c r="J3" s="4049"/>
      <c r="K3" s="4049"/>
      <c r="L3" s="4049"/>
      <c r="M3" s="4049"/>
      <c r="N3" s="4049"/>
      <c r="O3" s="4050"/>
    </row>
    <row r="4" spans="1:22" ht="14.25" customHeight="1" x14ac:dyDescent="0.2">
      <c r="A4" s="782">
        <v>3</v>
      </c>
      <c r="B4" s="782" t="s">
        <v>4</v>
      </c>
      <c r="C4" s="782"/>
      <c r="D4" s="4048" t="s">
        <v>1390</v>
      </c>
      <c r="E4" s="4049"/>
      <c r="F4" s="4049"/>
      <c r="G4" s="4049"/>
      <c r="H4" s="4049"/>
      <c r="I4" s="4049"/>
      <c r="J4" s="4049"/>
      <c r="K4" s="4049"/>
      <c r="L4" s="4049"/>
      <c r="M4" s="4049"/>
      <c r="N4" s="4049"/>
      <c r="O4" s="4050"/>
    </row>
    <row r="5" spans="1:22" ht="14.25" customHeight="1" x14ac:dyDescent="0.2">
      <c r="A5" s="782">
        <v>4</v>
      </c>
      <c r="B5" s="782" t="s">
        <v>804</v>
      </c>
      <c r="C5" s="782"/>
      <c r="D5" s="4048" t="s">
        <v>1391</v>
      </c>
      <c r="E5" s="4049"/>
      <c r="F5" s="4049"/>
      <c r="G5" s="4049"/>
      <c r="H5" s="4049"/>
      <c r="I5" s="4049"/>
      <c r="J5" s="4049"/>
      <c r="K5" s="4049"/>
      <c r="L5" s="4049"/>
      <c r="M5" s="4049"/>
      <c r="N5" s="4049"/>
      <c r="O5" s="4050"/>
    </row>
    <row r="6" spans="1:22" x14ac:dyDescent="0.2">
      <c r="A6" s="782"/>
      <c r="B6" s="782"/>
      <c r="C6" s="782"/>
      <c r="D6" s="367"/>
      <c r="E6" s="367"/>
      <c r="F6" s="367"/>
      <c r="G6" s="367"/>
      <c r="H6" s="367"/>
      <c r="I6" s="367"/>
      <c r="J6" s="367"/>
      <c r="K6" s="367"/>
      <c r="L6" s="367"/>
      <c r="M6" s="367"/>
    </row>
    <row r="7" spans="1:22" x14ac:dyDescent="0.2">
      <c r="A7" s="782">
        <v>4</v>
      </c>
      <c r="B7" s="902" t="s">
        <v>5</v>
      </c>
      <c r="C7" s="902"/>
      <c r="D7" s="3277" t="s">
        <v>1392</v>
      </c>
      <c r="E7" s="180" t="s">
        <v>1393</v>
      </c>
      <c r="F7" s="3278"/>
      <c r="G7" s="3278"/>
      <c r="H7" s="3278"/>
      <c r="I7" s="3278"/>
      <c r="J7" s="1682"/>
      <c r="K7" s="1059"/>
      <c r="L7" s="1059"/>
    </row>
    <row r="8" spans="1:22" x14ac:dyDescent="0.2">
      <c r="A8" s="782"/>
      <c r="B8" s="902"/>
      <c r="C8" s="902"/>
      <c r="D8" s="183"/>
      <c r="E8" s="3279">
        <v>2004</v>
      </c>
      <c r="F8" s="3279">
        <v>2007</v>
      </c>
      <c r="G8" s="3279">
        <v>2008</v>
      </c>
      <c r="H8" s="3279">
        <v>2009</v>
      </c>
      <c r="I8" s="3280">
        <v>2010</v>
      </c>
      <c r="J8" s="3279">
        <v>2011</v>
      </c>
      <c r="K8" s="3279">
        <v>2012</v>
      </c>
      <c r="L8" s="3279">
        <v>2014</v>
      </c>
      <c r="M8" s="3279">
        <v>2015</v>
      </c>
      <c r="N8" s="3281">
        <v>2016</v>
      </c>
      <c r="O8" s="3282">
        <v>2017</v>
      </c>
      <c r="P8" s="1737"/>
    </row>
    <row r="9" spans="1:22" x14ac:dyDescent="0.2">
      <c r="A9" s="782"/>
      <c r="B9" s="902"/>
      <c r="C9" s="902"/>
      <c r="D9" s="260" t="s">
        <v>1394</v>
      </c>
      <c r="E9" s="1026">
        <v>18.399999999999999</v>
      </c>
      <c r="F9" s="1026">
        <v>25.8</v>
      </c>
      <c r="G9" s="1026">
        <v>32.6</v>
      </c>
      <c r="H9" s="1026">
        <v>30.2</v>
      </c>
      <c r="I9" s="3283"/>
      <c r="J9" s="1026">
        <v>30.8</v>
      </c>
      <c r="K9" s="1026">
        <v>29.1</v>
      </c>
      <c r="L9" s="1026">
        <v>30</v>
      </c>
      <c r="M9" s="1026">
        <v>29</v>
      </c>
      <c r="N9" s="3284">
        <v>27.8</v>
      </c>
      <c r="O9" s="3285">
        <v>26</v>
      </c>
      <c r="P9" s="52"/>
    </row>
    <row r="10" spans="1:22" x14ac:dyDescent="0.2">
      <c r="A10" s="782"/>
      <c r="B10" s="902"/>
      <c r="C10" s="902"/>
      <c r="D10" s="260" t="s">
        <v>1395</v>
      </c>
      <c r="E10" s="1026">
        <v>52.8</v>
      </c>
      <c r="F10" s="1026">
        <v>52.6</v>
      </c>
      <c r="G10" s="1026">
        <v>45.7</v>
      </c>
      <c r="H10" s="1026">
        <v>54.1</v>
      </c>
      <c r="I10" s="3283"/>
      <c r="J10" s="1026">
        <v>50.8</v>
      </c>
      <c r="K10" s="1026">
        <v>52.4</v>
      </c>
      <c r="L10" s="1026">
        <v>57</v>
      </c>
      <c r="M10" s="1026">
        <v>52</v>
      </c>
      <c r="N10" s="3284">
        <v>48</v>
      </c>
      <c r="O10" s="3285">
        <v>50</v>
      </c>
      <c r="P10" s="52"/>
    </row>
    <row r="11" spans="1:22" x14ac:dyDescent="0.2">
      <c r="A11" s="782"/>
      <c r="B11" s="902"/>
      <c r="C11" s="902"/>
      <c r="D11" s="260" t="s">
        <v>1396</v>
      </c>
      <c r="E11" s="1026">
        <v>4.0999999999999996</v>
      </c>
      <c r="F11" s="1026">
        <v>9.9</v>
      </c>
      <c r="G11" s="1026">
        <v>11.3</v>
      </c>
      <c r="H11" s="1026">
        <v>7.1</v>
      </c>
      <c r="I11" s="3283"/>
      <c r="J11" s="1026">
        <v>9.1</v>
      </c>
      <c r="K11" s="1026">
        <v>8.8000000000000007</v>
      </c>
      <c r="L11" s="1026">
        <v>6</v>
      </c>
      <c r="M11" s="1026">
        <v>9</v>
      </c>
      <c r="N11" s="3284">
        <v>8.8000000000000007</v>
      </c>
      <c r="O11" s="3285">
        <v>10.3</v>
      </c>
      <c r="P11" s="52"/>
    </row>
    <row r="12" spans="1:22" x14ac:dyDescent="0.2">
      <c r="A12" s="782"/>
      <c r="B12" s="902"/>
      <c r="C12" s="902"/>
      <c r="D12" s="260" t="s">
        <v>1397</v>
      </c>
      <c r="E12" s="1026">
        <v>13.6</v>
      </c>
      <c r="F12" s="1026">
        <v>2.6</v>
      </c>
      <c r="G12" s="1026">
        <v>3.1</v>
      </c>
      <c r="H12" s="1026">
        <v>1.9</v>
      </c>
      <c r="I12" s="3283"/>
      <c r="J12" s="1026">
        <v>3.7</v>
      </c>
      <c r="K12" s="1026">
        <v>4.0999999999999996</v>
      </c>
      <c r="L12" s="1026">
        <v>2</v>
      </c>
      <c r="M12" s="1026">
        <v>3</v>
      </c>
      <c r="N12" s="3284">
        <v>4.8</v>
      </c>
      <c r="O12" s="3285">
        <v>4.0999999999999996</v>
      </c>
      <c r="P12" s="52"/>
    </row>
    <row r="13" spans="1:22" x14ac:dyDescent="0.2">
      <c r="A13" s="782"/>
      <c r="B13" s="902"/>
      <c r="C13" s="902"/>
      <c r="D13" s="3286" t="s">
        <v>1398</v>
      </c>
      <c r="E13" s="3287">
        <v>11.1</v>
      </c>
      <c r="F13" s="3287">
        <v>9.0999999999999943</v>
      </c>
      <c r="G13" s="3287">
        <v>7.3</v>
      </c>
      <c r="H13" s="3287">
        <v>6.7</v>
      </c>
      <c r="I13" s="3288"/>
      <c r="J13" s="3287">
        <v>5.6</v>
      </c>
      <c r="K13" s="3287">
        <v>5.6</v>
      </c>
      <c r="L13" s="3287">
        <v>6.9</v>
      </c>
      <c r="M13" s="3287">
        <v>7</v>
      </c>
      <c r="N13" s="3289">
        <v>4.9000000000000004</v>
      </c>
      <c r="O13" s="3290">
        <v>9.1999999999999993</v>
      </c>
      <c r="P13" s="52"/>
    </row>
    <row r="14" spans="1:22" x14ac:dyDescent="0.2">
      <c r="A14" s="782"/>
      <c r="B14" s="902"/>
      <c r="C14" s="902"/>
      <c r="D14" s="139"/>
      <c r="E14" s="139"/>
      <c r="F14" s="139"/>
      <c r="G14" s="1059"/>
      <c r="H14" s="1059"/>
      <c r="I14" s="1059"/>
      <c r="J14" s="1059"/>
      <c r="K14" s="1059"/>
      <c r="L14" s="1059"/>
    </row>
    <row r="15" spans="1:22" x14ac:dyDescent="0.2">
      <c r="A15" s="782">
        <v>5</v>
      </c>
      <c r="B15" s="902" t="s">
        <v>90</v>
      </c>
      <c r="C15" s="902"/>
      <c r="D15" s="139"/>
      <c r="E15" s="139"/>
      <c r="F15" s="139"/>
      <c r="G15" s="1059"/>
      <c r="H15" s="1059"/>
      <c r="I15" s="1059"/>
      <c r="J15" s="1059"/>
      <c r="K15" s="1059"/>
      <c r="L15" s="1059"/>
    </row>
    <row r="16" spans="1:22" x14ac:dyDescent="0.2">
      <c r="A16" s="782"/>
      <c r="B16" s="902"/>
      <c r="C16" s="902"/>
      <c r="D16" s="139"/>
      <c r="E16" s="139"/>
      <c r="F16" s="139"/>
      <c r="G16" s="1059"/>
      <c r="H16" s="1059"/>
      <c r="I16" s="1059"/>
      <c r="J16" s="1059"/>
      <c r="K16" s="1059"/>
      <c r="L16" s="1059"/>
    </row>
    <row r="17" spans="1:15" x14ac:dyDescent="0.2">
      <c r="A17" s="782"/>
      <c r="B17" s="902"/>
      <c r="C17" s="902"/>
      <c r="D17" s="139"/>
      <c r="E17" s="139"/>
      <c r="F17" s="139"/>
      <c r="G17" s="1059"/>
      <c r="H17" s="1059"/>
      <c r="I17" s="1059"/>
      <c r="J17" s="1059"/>
      <c r="K17" s="1059"/>
      <c r="L17" s="1059"/>
    </row>
    <row r="18" spans="1:15" x14ac:dyDescent="0.2">
      <c r="A18" s="782"/>
      <c r="B18" s="902"/>
      <c r="C18" s="902"/>
      <c r="D18" s="139"/>
      <c r="E18" s="139"/>
      <c r="F18" s="139"/>
      <c r="G18" s="1059"/>
      <c r="H18" s="1059"/>
      <c r="I18" s="1059"/>
      <c r="J18" s="1059"/>
      <c r="K18" s="1059"/>
      <c r="L18" s="1059"/>
    </row>
    <row r="19" spans="1:15" x14ac:dyDescent="0.2">
      <c r="A19" s="782"/>
      <c r="B19" s="902"/>
      <c r="C19" s="902"/>
      <c r="D19" s="139"/>
      <c r="E19" s="139"/>
      <c r="F19" s="139"/>
      <c r="G19" s="1059"/>
      <c r="H19" s="1059"/>
      <c r="I19" s="1059"/>
      <c r="J19" s="1059"/>
      <c r="K19" s="1059"/>
      <c r="L19" s="1059"/>
    </row>
    <row r="20" spans="1:15" x14ac:dyDescent="0.2">
      <c r="A20" s="782"/>
      <c r="B20" s="902"/>
      <c r="C20" s="902"/>
      <c r="D20" s="139"/>
      <c r="E20" s="139"/>
      <c r="F20" s="139"/>
      <c r="G20" s="1059"/>
      <c r="H20" s="1059"/>
      <c r="I20" s="1059"/>
      <c r="J20" s="1059"/>
      <c r="K20" s="1059"/>
      <c r="L20" s="1059"/>
    </row>
    <row r="21" spans="1:15" x14ac:dyDescent="0.2">
      <c r="A21" s="782"/>
      <c r="B21" s="902"/>
      <c r="C21" s="902"/>
      <c r="D21" s="139"/>
      <c r="E21" s="139"/>
      <c r="F21" s="139"/>
      <c r="G21" s="1059"/>
      <c r="H21" s="1059"/>
      <c r="I21" s="1059"/>
      <c r="J21" s="1059"/>
      <c r="K21" s="1059"/>
      <c r="L21" s="1059"/>
    </row>
    <row r="22" spans="1:15" x14ac:dyDescent="0.2">
      <c r="A22" s="782"/>
      <c r="B22" s="902"/>
      <c r="C22" s="902"/>
      <c r="D22" s="139"/>
      <c r="E22" s="139"/>
      <c r="F22" s="139"/>
      <c r="G22" s="1059"/>
      <c r="H22" s="1059"/>
      <c r="I22" s="1059"/>
      <c r="J22" s="1059"/>
      <c r="K22" s="1059"/>
      <c r="L22" s="1059"/>
    </row>
    <row r="23" spans="1:15" x14ac:dyDescent="0.2">
      <c r="A23" s="782"/>
      <c r="B23" s="902"/>
      <c r="C23" s="902"/>
      <c r="D23" s="139"/>
      <c r="E23" s="139"/>
      <c r="F23" s="139"/>
      <c r="G23" s="1059"/>
      <c r="H23" s="1059"/>
      <c r="I23" s="1059"/>
      <c r="J23" s="1059"/>
      <c r="K23" s="1059"/>
      <c r="L23" s="1059"/>
    </row>
    <row r="24" spans="1:15" x14ac:dyDescent="0.2">
      <c r="A24" s="782"/>
      <c r="B24" s="902"/>
      <c r="C24" s="902"/>
      <c r="D24" s="139"/>
      <c r="E24" s="139"/>
      <c r="F24" s="139"/>
      <c r="G24" s="1059"/>
      <c r="H24" s="1059"/>
      <c r="I24" s="1059"/>
      <c r="J24" s="1059"/>
      <c r="K24" s="1059"/>
      <c r="L24" s="1059"/>
    </row>
    <row r="25" spans="1:15" x14ac:dyDescent="0.2">
      <c r="A25" s="782"/>
      <c r="B25" s="902"/>
      <c r="C25" s="902"/>
      <c r="D25" s="139"/>
      <c r="E25" s="139"/>
      <c r="F25" s="139"/>
      <c r="G25" s="1059"/>
      <c r="H25" s="1059"/>
      <c r="I25" s="1059"/>
      <c r="J25" s="1059"/>
      <c r="K25" s="1059"/>
      <c r="L25" s="1059"/>
    </row>
    <row r="26" spans="1:15" x14ac:dyDescent="0.2">
      <c r="A26" s="782"/>
      <c r="B26" s="902"/>
      <c r="C26" s="902"/>
      <c r="D26" s="139"/>
      <c r="E26" s="139"/>
      <c r="F26" s="139"/>
      <c r="G26" s="1059"/>
      <c r="H26" s="1059"/>
      <c r="I26" s="1059"/>
      <c r="J26" s="1059"/>
      <c r="K26" s="1059"/>
      <c r="L26" s="1059"/>
    </row>
    <row r="27" spans="1:15" x14ac:dyDescent="0.2">
      <c r="A27" s="782"/>
      <c r="B27" s="902"/>
      <c r="C27" s="902"/>
      <c r="D27" s="139"/>
      <c r="E27" s="139"/>
      <c r="F27" s="139"/>
      <c r="G27" s="1059"/>
      <c r="H27" s="1059"/>
      <c r="I27" s="1059"/>
      <c r="J27" s="1059"/>
      <c r="K27" s="1059"/>
      <c r="L27" s="1059"/>
    </row>
    <row r="28" spans="1:15" x14ac:dyDescent="0.2">
      <c r="A28" s="782"/>
      <c r="B28" s="902"/>
      <c r="C28" s="902"/>
      <c r="D28" s="139"/>
      <c r="E28" s="139"/>
      <c r="F28" s="139"/>
      <c r="G28" s="1059"/>
      <c r="H28" s="1059"/>
      <c r="I28" s="1059"/>
      <c r="J28" s="1059"/>
      <c r="K28" s="1059"/>
      <c r="L28" s="1059"/>
    </row>
    <row r="29" spans="1:15" x14ac:dyDescent="0.2">
      <c r="D29" s="1059"/>
      <c r="E29" s="1059"/>
      <c r="F29" s="1059"/>
      <c r="G29" s="1059"/>
      <c r="H29" s="1059"/>
      <c r="I29" s="1059"/>
      <c r="J29" s="1059"/>
      <c r="K29" s="1059"/>
      <c r="L29" s="1059"/>
    </row>
    <row r="30" spans="1:15" ht="15.75" customHeight="1" x14ac:dyDescent="0.2">
      <c r="A30" s="782">
        <v>6</v>
      </c>
      <c r="B30" s="782" t="s">
        <v>29</v>
      </c>
      <c r="C30" s="782"/>
      <c r="D30" s="4048" t="s">
        <v>392</v>
      </c>
      <c r="E30" s="4049"/>
      <c r="F30" s="4049"/>
      <c r="G30" s="4049"/>
      <c r="H30" s="4049"/>
      <c r="I30" s="4049"/>
      <c r="J30" s="4049"/>
      <c r="K30" s="4049"/>
      <c r="L30" s="4049"/>
      <c r="M30" s="4049"/>
      <c r="N30" s="4049"/>
      <c r="O30" s="4050"/>
    </row>
    <row r="31" spans="1:15" ht="15" customHeight="1" x14ac:dyDescent="0.2">
      <c r="A31" s="818">
        <v>7</v>
      </c>
      <c r="B31" s="818" t="s">
        <v>32</v>
      </c>
      <c r="C31" s="818"/>
      <c r="D31" s="4048" t="s">
        <v>1399</v>
      </c>
      <c r="E31" s="4049"/>
      <c r="F31" s="4049"/>
      <c r="G31" s="4049"/>
      <c r="H31" s="4049"/>
      <c r="I31" s="4049"/>
      <c r="J31" s="4049"/>
      <c r="K31" s="4049"/>
      <c r="L31" s="4049"/>
      <c r="M31" s="4049"/>
      <c r="N31" s="4049"/>
      <c r="O31" s="4050"/>
    </row>
    <row r="32" spans="1:15" ht="15.75" customHeight="1" x14ac:dyDescent="0.2">
      <c r="A32" s="782">
        <v>8</v>
      </c>
      <c r="B32" s="782" t="s">
        <v>31</v>
      </c>
      <c r="C32" s="782"/>
      <c r="D32" s="4048" t="s">
        <v>1400</v>
      </c>
      <c r="E32" s="4049"/>
      <c r="F32" s="4049"/>
      <c r="G32" s="4049"/>
      <c r="H32" s="4049"/>
      <c r="I32" s="4049"/>
      <c r="J32" s="4049"/>
      <c r="K32" s="4049"/>
      <c r="L32" s="4049"/>
      <c r="M32" s="4049"/>
      <c r="N32" s="4049"/>
      <c r="O32" s="4050"/>
    </row>
    <row r="33" spans="1:15" ht="84.75" customHeight="1" x14ac:dyDescent="0.2">
      <c r="A33" s="782">
        <v>9</v>
      </c>
      <c r="B33" s="782" t="s">
        <v>34</v>
      </c>
      <c r="D33" s="4048" t="s">
        <v>1401</v>
      </c>
      <c r="E33" s="4049"/>
      <c r="F33" s="4049"/>
      <c r="G33" s="4049"/>
      <c r="H33" s="4049"/>
      <c r="I33" s="4049"/>
      <c r="J33" s="4049"/>
      <c r="K33" s="4049"/>
      <c r="L33" s="4049"/>
      <c r="M33" s="4049"/>
      <c r="N33" s="4049"/>
      <c r="O33" s="4050"/>
    </row>
    <row r="34" spans="1:15" x14ac:dyDescent="0.2">
      <c r="A34" s="818"/>
    </row>
    <row r="36" spans="1:15" x14ac:dyDescent="0.2">
      <c r="F36" s="3240"/>
      <c r="G36" s="3240"/>
      <c r="H36" s="3240"/>
      <c r="I36" s="3240"/>
      <c r="J36" s="3240"/>
    </row>
    <row r="37" spans="1:15" ht="15.75" x14ac:dyDescent="0.25">
      <c r="F37" s="3291"/>
      <c r="G37" s="903"/>
      <c r="H37" s="903"/>
      <c r="I37" s="3240"/>
      <c r="J37" s="3240"/>
    </row>
    <row r="38" spans="1:15" ht="15.75" x14ac:dyDescent="0.25">
      <c r="F38" s="903"/>
      <c r="G38" s="3291"/>
      <c r="H38" s="3291"/>
      <c r="I38" s="3240"/>
      <c r="J38" s="3240"/>
    </row>
    <row r="39" spans="1:15" ht="15.75" x14ac:dyDescent="0.25">
      <c r="F39" s="903"/>
      <c r="G39" s="903"/>
      <c r="H39" s="903"/>
      <c r="I39" s="3240"/>
      <c r="J39" s="3240"/>
    </row>
    <row r="40" spans="1:15" ht="15.75" x14ac:dyDescent="0.25">
      <c r="F40" s="903"/>
      <c r="G40" s="903"/>
      <c r="H40" s="903"/>
      <c r="I40" s="3240"/>
      <c r="J40" s="3240"/>
    </row>
    <row r="41" spans="1:15" ht="15.75" x14ac:dyDescent="0.25">
      <c r="F41" s="903"/>
      <c r="G41" s="903"/>
      <c r="H41" s="903"/>
      <c r="I41" s="3240"/>
      <c r="J41" s="3240"/>
    </row>
    <row r="42" spans="1:15" ht="15.75" x14ac:dyDescent="0.25">
      <c r="F42" s="903"/>
      <c r="G42" s="3292"/>
      <c r="H42" s="903"/>
      <c r="I42" s="3240"/>
      <c r="J42" s="3240"/>
    </row>
    <row r="43" spans="1:15" ht="15.75" x14ac:dyDescent="0.25">
      <c r="F43" s="903"/>
      <c r="G43" s="903"/>
      <c r="H43" s="903"/>
      <c r="I43" s="3240"/>
      <c r="J43" s="3240"/>
    </row>
    <row r="44" spans="1:15" ht="15.75" x14ac:dyDescent="0.25">
      <c r="F44" s="903"/>
      <c r="G44" s="903"/>
      <c r="H44" s="903"/>
      <c r="I44" s="3240"/>
      <c r="J44" s="3240"/>
    </row>
    <row r="45" spans="1:15" ht="15.75" x14ac:dyDescent="0.25">
      <c r="F45" s="903"/>
      <c r="G45" s="903"/>
      <c r="H45" s="903"/>
      <c r="I45" s="3240"/>
      <c r="J45" s="3240"/>
    </row>
    <row r="46" spans="1:15" ht="15.75" x14ac:dyDescent="0.25">
      <c r="F46" s="903"/>
      <c r="G46" s="903"/>
      <c r="H46" s="903"/>
      <c r="I46" s="3240"/>
      <c r="J46" s="3240"/>
    </row>
    <row r="47" spans="1:15" ht="15.75" x14ac:dyDescent="0.25">
      <c r="F47" s="903"/>
      <c r="G47" s="903"/>
      <c r="H47" s="903"/>
      <c r="I47" s="3240"/>
      <c r="J47" s="3240"/>
    </row>
    <row r="48" spans="1:15" ht="15.75" x14ac:dyDescent="0.25">
      <c r="F48" s="267"/>
      <c r="G48" s="267"/>
      <c r="H48" s="267"/>
    </row>
  </sheetData>
  <mergeCells count="8">
    <mergeCell ref="D31:O31"/>
    <mergeCell ref="D32:O32"/>
    <mergeCell ref="D33:O33"/>
    <mergeCell ref="D2:O2"/>
    <mergeCell ref="D3:O3"/>
    <mergeCell ref="D4:O4"/>
    <mergeCell ref="D5:O5"/>
    <mergeCell ref="D30:O30"/>
  </mergeCells>
  <pageMargins left="0.74803149606299213" right="0.74803149606299213" top="0.98425196850393704" bottom="0.98425196850393704" header="0.51181102362204722" footer="0.51181102362204722"/>
  <pageSetup paperSize="9" scale="7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M42"/>
  <sheetViews>
    <sheetView showGridLines="0" view="pageBreakPreview" zoomScaleNormal="100" zoomScaleSheetLayoutView="100" workbookViewId="0">
      <selection activeCell="D3" sqref="D3:AK3"/>
    </sheetView>
  </sheetViews>
  <sheetFormatPr defaultColWidth="9.140625" defaultRowHeight="15" x14ac:dyDescent="0.25"/>
  <cols>
    <col min="1" max="1" width="3.7109375" style="899" customWidth="1"/>
    <col min="2" max="2" width="14.42578125" style="899" customWidth="1"/>
    <col min="3" max="3" width="3.7109375" style="899" customWidth="1"/>
    <col min="4" max="4" width="21.5703125" style="267" customWidth="1"/>
    <col min="5" max="27" width="7.7109375" style="267" customWidth="1"/>
    <col min="28" max="29" width="9.140625" style="267"/>
    <col min="30" max="30" width="9.7109375" style="267" customWidth="1"/>
    <col min="31" max="33" width="9.140625" style="267"/>
    <col min="34" max="34" width="11" style="267" customWidth="1"/>
    <col min="35" max="35" width="8.140625" style="267" customWidth="1"/>
    <col min="36" max="36" width="8" style="267" customWidth="1"/>
    <col min="37" max="37" width="7.140625" style="267" customWidth="1"/>
    <col min="38" max="38" width="7.85546875" style="267" customWidth="1"/>
    <col min="39" max="16384" width="9.140625" style="267"/>
  </cols>
  <sheetData>
    <row r="1" spans="1:39" x14ac:dyDescent="0.25">
      <c r="D1" s="900"/>
      <c r="E1" s="900"/>
      <c r="F1" s="900"/>
      <c r="G1" s="900"/>
      <c r="H1" s="900"/>
      <c r="I1" s="900"/>
      <c r="J1" s="900"/>
      <c r="K1" s="900"/>
      <c r="L1" s="900"/>
      <c r="M1" s="900"/>
      <c r="N1" s="900"/>
      <c r="O1" s="900"/>
      <c r="P1" s="900"/>
      <c r="Q1" s="900"/>
      <c r="R1" s="900"/>
      <c r="S1" s="900"/>
      <c r="T1" s="900"/>
      <c r="U1" s="900"/>
      <c r="V1" s="900"/>
      <c r="W1" s="900"/>
      <c r="X1" s="900"/>
      <c r="Y1" s="900"/>
      <c r="Z1" s="900"/>
      <c r="AA1" s="900"/>
    </row>
    <row r="2" spans="1:39" ht="14.45" customHeight="1" x14ac:dyDescent="0.25">
      <c r="A2" s="782">
        <v>1</v>
      </c>
      <c r="B2" s="782" t="s">
        <v>0</v>
      </c>
      <c r="C2" s="782">
        <v>59</v>
      </c>
      <c r="D2" s="4048" t="s">
        <v>1402</v>
      </c>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49"/>
      <c r="AC2" s="4049"/>
      <c r="AD2" s="4049"/>
      <c r="AE2" s="4049"/>
      <c r="AF2" s="4049"/>
      <c r="AG2" s="4049"/>
      <c r="AH2" s="4049"/>
      <c r="AI2" s="4049"/>
      <c r="AJ2" s="4049"/>
      <c r="AK2" s="4050"/>
    </row>
    <row r="3" spans="1:39" ht="15" customHeight="1" x14ac:dyDescent="0.25">
      <c r="A3" s="782">
        <v>2</v>
      </c>
      <c r="B3" s="782" t="s">
        <v>2</v>
      </c>
      <c r="C3" s="782"/>
      <c r="D3" s="4048" t="s">
        <v>1356</v>
      </c>
      <c r="E3" s="4049"/>
      <c r="F3" s="4049"/>
      <c r="G3" s="4049"/>
      <c r="H3" s="4049"/>
      <c r="I3" s="4049"/>
      <c r="J3" s="4049"/>
      <c r="K3" s="4049"/>
      <c r="L3" s="4049"/>
      <c r="M3" s="4049"/>
      <c r="N3" s="4049"/>
      <c r="O3" s="4049"/>
      <c r="P3" s="4049"/>
      <c r="Q3" s="4049"/>
      <c r="R3" s="4049"/>
      <c r="S3" s="4049"/>
      <c r="T3" s="4049"/>
      <c r="U3" s="4049"/>
      <c r="V3" s="4049"/>
      <c r="W3" s="4049"/>
      <c r="X3" s="4049"/>
      <c r="Y3" s="4049"/>
      <c r="Z3" s="4049"/>
      <c r="AA3" s="4049"/>
      <c r="AB3" s="4049"/>
      <c r="AC3" s="4049"/>
      <c r="AD3" s="4049"/>
      <c r="AE3" s="4049"/>
      <c r="AF3" s="4049"/>
      <c r="AG3" s="4049"/>
      <c r="AH3" s="4049"/>
      <c r="AI3" s="4049"/>
      <c r="AJ3" s="4049"/>
      <c r="AK3" s="4050"/>
    </row>
    <row r="4" spans="1:39" ht="15" customHeight="1" x14ac:dyDescent="0.25">
      <c r="A4" s="782">
        <v>3</v>
      </c>
      <c r="B4" s="782" t="s">
        <v>4</v>
      </c>
      <c r="C4" s="782"/>
      <c r="D4" s="4048" t="s">
        <v>1403</v>
      </c>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50"/>
    </row>
    <row r="5" spans="1:39" x14ac:dyDescent="0.25">
      <c r="C5" s="902"/>
      <c r="D5" s="1078"/>
      <c r="E5" s="1078"/>
      <c r="F5" s="1078"/>
      <c r="G5" s="1078"/>
      <c r="H5" s="1078"/>
      <c r="I5" s="1078"/>
      <c r="J5" s="1078"/>
      <c r="K5" s="1078"/>
      <c r="L5" s="1078"/>
      <c r="M5" s="1078"/>
      <c r="N5" s="1078"/>
      <c r="O5" s="1078"/>
      <c r="P5" s="1078"/>
      <c r="Q5" s="1078"/>
      <c r="R5" s="1078"/>
      <c r="S5" s="1078"/>
      <c r="T5" s="1078"/>
      <c r="U5" s="1078"/>
      <c r="V5" s="1078"/>
      <c r="W5" s="1078"/>
      <c r="X5" s="1078"/>
      <c r="Y5" s="1078"/>
      <c r="Z5" s="1078"/>
      <c r="AA5" s="1078"/>
    </row>
    <row r="6" spans="1:39" x14ac:dyDescent="0.25">
      <c r="A6" s="782">
        <v>4</v>
      </c>
      <c r="B6" s="902" t="s">
        <v>5</v>
      </c>
      <c r="C6" s="1082"/>
      <c r="D6" s="123" t="s">
        <v>112</v>
      </c>
      <c r="E6" s="123" t="str">
        <f>D2</f>
        <v>Pride in being South African</v>
      </c>
      <c r="F6" s="123"/>
      <c r="G6" s="123"/>
      <c r="H6" s="123"/>
      <c r="I6" s="123"/>
      <c r="J6" s="123"/>
      <c r="K6" s="123"/>
      <c r="L6" s="122"/>
      <c r="M6" s="122"/>
      <c r="N6" s="122"/>
      <c r="O6" s="122"/>
      <c r="P6" s="139"/>
      <c r="Q6" s="139"/>
      <c r="R6" s="139"/>
      <c r="S6" s="139"/>
      <c r="T6" s="139"/>
      <c r="U6" s="139"/>
      <c r="V6" s="139"/>
      <c r="W6" s="139"/>
      <c r="X6" s="139"/>
      <c r="Y6" s="139"/>
      <c r="Z6" s="139"/>
      <c r="AA6" s="139"/>
    </row>
    <row r="7" spans="1:39" x14ac:dyDescent="0.25">
      <c r="A7" s="1083"/>
      <c r="B7" s="1082"/>
      <c r="C7" s="1082"/>
      <c r="D7" s="3293" t="s">
        <v>69</v>
      </c>
      <c r="E7" s="3294">
        <v>2003</v>
      </c>
      <c r="F7" s="1571">
        <v>2004</v>
      </c>
      <c r="G7" s="1571">
        <v>2005</v>
      </c>
      <c r="H7" s="1571">
        <v>2006</v>
      </c>
      <c r="I7" s="1571">
        <v>2007</v>
      </c>
      <c r="J7" s="1571">
        <v>2008</v>
      </c>
      <c r="K7" s="3295">
        <v>2009</v>
      </c>
      <c r="L7" s="4370" t="s">
        <v>9</v>
      </c>
      <c r="M7" s="4371"/>
      <c r="N7" s="4371"/>
      <c r="O7" s="4372"/>
      <c r="P7" s="4371" t="s">
        <v>10</v>
      </c>
      <c r="Q7" s="4371"/>
      <c r="R7" s="4371"/>
      <c r="S7" s="4372"/>
      <c r="T7" s="4371" t="s">
        <v>11</v>
      </c>
      <c r="U7" s="4371"/>
      <c r="V7" s="4371"/>
      <c r="W7" s="4372"/>
      <c r="X7" s="4370" t="s">
        <v>12</v>
      </c>
      <c r="Y7" s="4371"/>
      <c r="Z7" s="4371"/>
      <c r="AA7" s="4372"/>
      <c r="AB7" s="4370" t="s">
        <v>13</v>
      </c>
      <c r="AC7" s="4371"/>
      <c r="AD7" s="4371"/>
      <c r="AE7" s="4372"/>
      <c r="AF7" s="4370" t="s">
        <v>14</v>
      </c>
      <c r="AG7" s="4375"/>
      <c r="AH7" s="3296" t="s">
        <v>15</v>
      </c>
      <c r="AI7" s="3297"/>
      <c r="AJ7" s="4370" t="s">
        <v>333</v>
      </c>
      <c r="AK7" s="4371"/>
      <c r="AL7" s="4371"/>
      <c r="AM7" s="4372"/>
    </row>
    <row r="8" spans="1:39" x14ac:dyDescent="0.25">
      <c r="A8" s="1083"/>
      <c r="B8" s="1082"/>
      <c r="C8" s="1082"/>
      <c r="D8" s="3298"/>
      <c r="E8" s="1365"/>
      <c r="F8" s="185"/>
      <c r="G8" s="185"/>
      <c r="H8" s="185"/>
      <c r="I8" s="185"/>
      <c r="J8" s="185"/>
      <c r="K8" s="3299"/>
      <c r="L8" s="1365" t="s">
        <v>1404</v>
      </c>
      <c r="M8" s="185" t="s">
        <v>1405</v>
      </c>
      <c r="N8" s="185" t="s">
        <v>1406</v>
      </c>
      <c r="O8" s="3299" t="s">
        <v>1407</v>
      </c>
      <c r="P8" s="185" t="s">
        <v>1404</v>
      </c>
      <c r="Q8" s="185" t="s">
        <v>1405</v>
      </c>
      <c r="R8" s="185" t="s">
        <v>1406</v>
      </c>
      <c r="S8" s="3299" t="s">
        <v>1407</v>
      </c>
      <c r="T8" s="185" t="s">
        <v>1404</v>
      </c>
      <c r="U8" s="185" t="s">
        <v>1405</v>
      </c>
      <c r="V8" s="185" t="s">
        <v>1406</v>
      </c>
      <c r="W8" s="3299" t="s">
        <v>1407</v>
      </c>
      <c r="X8" s="1365" t="s">
        <v>1404</v>
      </c>
      <c r="Y8" s="185" t="s">
        <v>1405</v>
      </c>
      <c r="Z8" s="185" t="s">
        <v>1406</v>
      </c>
      <c r="AA8" s="3299" t="s">
        <v>1407</v>
      </c>
      <c r="AB8" s="1365" t="s">
        <v>1404</v>
      </c>
      <c r="AC8" s="185" t="s">
        <v>1405</v>
      </c>
      <c r="AD8" s="185" t="s">
        <v>1406</v>
      </c>
      <c r="AE8" s="3299" t="s">
        <v>1407</v>
      </c>
      <c r="AF8" s="1365" t="s">
        <v>1404</v>
      </c>
      <c r="AG8" s="3300" t="s">
        <v>1405</v>
      </c>
      <c r="AH8" s="1365" t="s">
        <v>1404</v>
      </c>
      <c r="AI8" s="3300" t="s">
        <v>1405</v>
      </c>
      <c r="AJ8" s="185" t="s">
        <v>1404</v>
      </c>
      <c r="AK8" s="3300" t="s">
        <v>1405</v>
      </c>
      <c r="AL8" s="185"/>
      <c r="AM8" s="185"/>
    </row>
    <row r="9" spans="1:39" ht="19.5" customHeight="1" x14ac:dyDescent="0.25">
      <c r="A9" s="1083"/>
      <c r="B9" s="1082"/>
      <c r="C9" s="1082"/>
      <c r="D9" s="134" t="str">
        <f>D2</f>
        <v>Pride in being South African</v>
      </c>
      <c r="E9" s="3301">
        <v>84</v>
      </c>
      <c r="F9" s="148">
        <v>90</v>
      </c>
      <c r="G9" s="148">
        <v>90</v>
      </c>
      <c r="H9" s="148">
        <v>90</v>
      </c>
      <c r="I9" s="148">
        <v>78</v>
      </c>
      <c r="J9" s="148">
        <v>65</v>
      </c>
      <c r="K9" s="3302">
        <v>75</v>
      </c>
      <c r="L9" s="3303">
        <v>92.097967444973222</v>
      </c>
      <c r="M9" s="3304">
        <v>86.799492718143796</v>
      </c>
      <c r="N9" s="3304">
        <v>89.693507511431292</v>
      </c>
      <c r="O9" s="3305">
        <v>89.606609925510114</v>
      </c>
      <c r="P9" s="3303">
        <v>86.853583304450169</v>
      </c>
      <c r="Q9" s="3304">
        <v>89.799252722580988</v>
      </c>
      <c r="R9" s="3304">
        <v>87.961947738935748</v>
      </c>
      <c r="S9" s="3305">
        <v>87.156873874472439</v>
      </c>
      <c r="T9" s="3304">
        <v>88</v>
      </c>
      <c r="U9" s="3304">
        <v>88</v>
      </c>
      <c r="V9" s="3304">
        <v>88</v>
      </c>
      <c r="W9" s="3305">
        <v>85</v>
      </c>
      <c r="X9" s="3303">
        <v>86</v>
      </c>
      <c r="Y9" s="3304">
        <v>88</v>
      </c>
      <c r="Z9" s="3304">
        <v>90</v>
      </c>
      <c r="AA9" s="3305">
        <v>89</v>
      </c>
      <c r="AB9" s="3303">
        <v>89</v>
      </c>
      <c r="AC9" s="3304">
        <v>90</v>
      </c>
      <c r="AD9" s="3304">
        <v>89</v>
      </c>
      <c r="AE9" s="3305">
        <v>89</v>
      </c>
      <c r="AF9" s="3303">
        <v>85</v>
      </c>
      <c r="AG9" s="3306">
        <v>84</v>
      </c>
      <c r="AH9" s="3304">
        <v>89.2</v>
      </c>
      <c r="AI9" s="3306">
        <v>86</v>
      </c>
      <c r="AJ9" s="3304">
        <v>78.8</v>
      </c>
      <c r="AK9" s="3306">
        <v>82.9</v>
      </c>
      <c r="AL9" s="1574"/>
      <c r="AM9" s="1574"/>
    </row>
    <row r="10" spans="1:39" x14ac:dyDescent="0.25">
      <c r="A10" s="1076"/>
      <c r="B10" s="3307"/>
      <c r="C10" s="3307"/>
      <c r="D10" s="3308"/>
      <c r="E10" s="3308"/>
      <c r="F10" s="3308"/>
      <c r="G10" s="3308"/>
      <c r="H10" s="3308"/>
      <c r="I10" s="3308"/>
      <c r="J10" s="3308"/>
      <c r="K10" s="3308"/>
      <c r="L10" s="3309">
        <f>+AVERAGE(L9:O9)</f>
        <v>89.549394400014606</v>
      </c>
      <c r="M10" s="3308"/>
      <c r="N10" s="3308"/>
      <c r="O10" s="3308"/>
      <c r="P10" s="3309">
        <f>+AVERAGE(P9:S9)</f>
        <v>87.942914410109836</v>
      </c>
      <c r="Q10" s="3310"/>
      <c r="R10" s="3310"/>
      <c r="S10" s="1078"/>
      <c r="T10" s="3309">
        <f>+AVERAGE(T9:W9)</f>
        <v>87.25</v>
      </c>
      <c r="U10" s="3310"/>
      <c r="V10" s="3310"/>
      <c r="W10" s="1078"/>
      <c r="X10" s="3309">
        <f>+AVERAGE(X9:AA9)</f>
        <v>88.25</v>
      </c>
      <c r="Y10" s="3310"/>
      <c r="Z10" s="3310"/>
      <c r="AA10" s="1078"/>
      <c r="AB10" s="3309">
        <f>+AVERAGE(AB9:AE9)</f>
        <v>89.25</v>
      </c>
      <c r="AF10" s="3309">
        <f>+AVERAGE(AF9:AG9)</f>
        <v>84.5</v>
      </c>
      <c r="AG10" s="3309"/>
      <c r="AH10" s="3309">
        <v>88</v>
      </c>
      <c r="AI10" s="3309"/>
      <c r="AJ10" s="3309">
        <f>+AVERAGE(AJ9:AK9)</f>
        <v>80.849999999999994</v>
      </c>
      <c r="AK10" s="3309"/>
    </row>
    <row r="11" spans="1:39" x14ac:dyDescent="0.25">
      <c r="A11" s="1076"/>
      <c r="B11" s="3307"/>
      <c r="C11" s="3307"/>
      <c r="D11" s="3308"/>
      <c r="E11" s="3308"/>
      <c r="F11" s="3308"/>
      <c r="G11" s="3308"/>
      <c r="H11" s="3308"/>
      <c r="I11" s="3308"/>
      <c r="J11" s="3308"/>
      <c r="K11" s="3308"/>
      <c r="L11" s="3309"/>
      <c r="M11" s="3308"/>
      <c r="N11" s="3308"/>
      <c r="O11" s="3308"/>
      <c r="P11" s="3309"/>
      <c r="Q11" s="3310"/>
      <c r="R11" s="3310"/>
      <c r="S11" s="1078"/>
      <c r="T11" s="3309"/>
      <c r="U11" s="3310"/>
      <c r="V11" s="3310"/>
      <c r="W11" s="1078"/>
      <c r="X11" s="3309"/>
      <c r="Y11" s="3310"/>
      <c r="Z11" s="3310"/>
      <c r="AA11" s="1078"/>
      <c r="AB11" s="3309"/>
      <c r="AF11" s="3309"/>
      <c r="AG11" s="3309"/>
      <c r="AH11" s="3309"/>
      <c r="AI11" s="3309"/>
      <c r="AJ11" s="3309"/>
      <c r="AK11" s="3309"/>
    </row>
    <row r="12" spans="1:39" x14ac:dyDescent="0.25">
      <c r="A12" s="782">
        <v>5</v>
      </c>
      <c r="B12" s="1441" t="s">
        <v>90</v>
      </c>
      <c r="C12" s="1441"/>
      <c r="D12" s="3308"/>
      <c r="E12" s="3308"/>
      <c r="F12" s="3308"/>
      <c r="G12" s="3308"/>
      <c r="H12" s="3308"/>
      <c r="I12" s="3308"/>
      <c r="J12" s="3308"/>
      <c r="K12" s="3308"/>
      <c r="L12" s="3308"/>
      <c r="M12" s="3309"/>
      <c r="N12" s="3308"/>
      <c r="O12" s="3308"/>
      <c r="P12" s="3310"/>
      <c r="Q12" s="3310"/>
      <c r="R12" s="3310"/>
      <c r="S12" s="1078"/>
      <c r="T12" s="3310"/>
      <c r="U12" s="3310"/>
      <c r="V12" s="3310"/>
      <c r="W12" s="1078"/>
      <c r="X12" s="3310"/>
      <c r="Y12" s="3310"/>
      <c r="Z12" s="3310"/>
      <c r="AA12" s="1078"/>
      <c r="AC12" s="267" t="s">
        <v>333</v>
      </c>
      <c r="AF12" s="267" t="s">
        <v>333</v>
      </c>
    </row>
    <row r="13" spans="1:39" x14ac:dyDescent="0.25">
      <c r="A13" s="1076"/>
      <c r="B13" s="3307"/>
      <c r="C13" s="3307"/>
      <c r="D13" s="3308"/>
      <c r="E13" s="3308"/>
      <c r="F13" s="3308"/>
      <c r="G13" s="3308"/>
      <c r="H13" s="3308"/>
      <c r="I13" s="3308"/>
      <c r="J13" s="3308"/>
      <c r="K13" s="3308"/>
      <c r="L13" s="3308"/>
      <c r="M13" s="3308"/>
      <c r="N13" s="3308"/>
      <c r="O13" s="3308"/>
      <c r="P13" s="3310"/>
      <c r="Q13" s="3310"/>
      <c r="R13" s="3310"/>
      <c r="S13" s="1078"/>
      <c r="T13" s="3310"/>
      <c r="U13" s="3310"/>
      <c r="V13" s="3310"/>
      <c r="W13" s="1078"/>
      <c r="X13" s="3310"/>
      <c r="Y13" s="3310"/>
      <c r="Z13" s="3310"/>
      <c r="AA13" s="1078"/>
      <c r="AC13" s="4373" t="s">
        <v>1408</v>
      </c>
      <c r="AD13" s="4374"/>
      <c r="AE13" s="3311"/>
      <c r="AF13" s="4373" t="s">
        <v>1409</v>
      </c>
      <c r="AG13" s="4374"/>
    </row>
    <row r="14" spans="1:39" x14ac:dyDescent="0.25">
      <c r="A14" s="1076"/>
      <c r="B14" s="3307"/>
      <c r="C14" s="3307"/>
      <c r="D14" s="3308"/>
      <c r="E14" s="3308"/>
      <c r="F14" s="3308"/>
      <c r="G14" s="3308"/>
      <c r="H14" s="3308"/>
      <c r="I14" s="3308"/>
      <c r="J14" s="3308"/>
      <c r="K14" s="3308"/>
      <c r="L14" s="3308"/>
      <c r="M14" s="3308"/>
      <c r="N14" s="3308"/>
      <c r="O14" s="3308"/>
      <c r="P14" s="3310"/>
      <c r="Q14" s="3310"/>
      <c r="R14" s="3310"/>
      <c r="S14" s="1078"/>
      <c r="T14" s="3310"/>
      <c r="U14" s="3310"/>
      <c r="V14" s="3310"/>
      <c r="W14" s="1078"/>
      <c r="X14" s="3310"/>
      <c r="Y14" s="3310"/>
      <c r="Z14" s="3310"/>
      <c r="AA14" s="1078"/>
      <c r="AC14" s="3312" t="s">
        <v>1410</v>
      </c>
      <c r="AD14" s="3313">
        <v>0.8</v>
      </c>
      <c r="AF14" s="3312" t="s">
        <v>467</v>
      </c>
      <c r="AG14" s="3313">
        <v>0.48299999999999998</v>
      </c>
    </row>
    <row r="15" spans="1:39" x14ac:dyDescent="0.25">
      <c r="A15" s="1076"/>
      <c r="B15" s="3307"/>
      <c r="C15" s="3307"/>
      <c r="D15" s="3308"/>
      <c r="E15" s="3308"/>
      <c r="F15" s="3308"/>
      <c r="G15" s="3308"/>
      <c r="H15" s="3308"/>
      <c r="I15" s="3308"/>
      <c r="J15" s="3308"/>
      <c r="K15" s="3308"/>
      <c r="L15" s="3308"/>
      <c r="M15" s="3308"/>
      <c r="N15" s="3308"/>
      <c r="O15" s="3308"/>
      <c r="P15" s="3310"/>
      <c r="Q15" s="3310"/>
      <c r="R15" s="3310"/>
      <c r="S15" s="1078"/>
      <c r="T15" s="3310"/>
      <c r="U15" s="3310"/>
      <c r="V15" s="3310"/>
      <c r="W15" s="1078"/>
      <c r="X15" s="3310"/>
      <c r="Y15" s="3310"/>
      <c r="Z15" s="3310"/>
      <c r="AA15" s="1078"/>
      <c r="AC15" s="3312" t="s">
        <v>683</v>
      </c>
      <c r="AD15" s="3313">
        <v>0.09</v>
      </c>
      <c r="AF15" s="3312" t="s">
        <v>468</v>
      </c>
      <c r="AG15" s="3313">
        <v>0.51700000000000002</v>
      </c>
    </row>
    <row r="16" spans="1:39" x14ac:dyDescent="0.25">
      <c r="A16" s="1076"/>
      <c r="B16" s="3307"/>
      <c r="C16" s="3307"/>
      <c r="D16" s="3308"/>
      <c r="E16" s="3308"/>
      <c r="F16" s="3308"/>
      <c r="G16" s="3308"/>
      <c r="H16" s="3308"/>
      <c r="I16" s="3308"/>
      <c r="J16" s="3308"/>
      <c r="K16" s="3308"/>
      <c r="L16" s="3308"/>
      <c r="M16" s="3308"/>
      <c r="N16" s="3308"/>
      <c r="O16" s="3308"/>
      <c r="P16" s="3310"/>
      <c r="Q16" s="3310"/>
      <c r="R16" s="3310"/>
      <c r="S16" s="1078"/>
      <c r="T16" s="3310"/>
      <c r="U16" s="3310"/>
      <c r="V16" s="3310"/>
      <c r="W16" s="1078"/>
      <c r="X16" s="3310"/>
      <c r="Y16" s="3310"/>
      <c r="Z16" s="3310"/>
      <c r="AA16" s="1078"/>
      <c r="AC16" s="3312" t="s">
        <v>1411</v>
      </c>
      <c r="AD16" s="3314">
        <v>2.5000000000000001E-2</v>
      </c>
      <c r="AF16" s="3312"/>
      <c r="AG16" s="3314"/>
    </row>
    <row r="17" spans="1:35" x14ac:dyDescent="0.25">
      <c r="A17" s="1076"/>
      <c r="B17" s="3307"/>
      <c r="C17" s="3307"/>
      <c r="D17" s="3308"/>
      <c r="E17" s="3308"/>
      <c r="F17" s="3308"/>
      <c r="G17" s="3308"/>
      <c r="H17" s="3308"/>
      <c r="I17" s="3308"/>
      <c r="J17" s="3308"/>
      <c r="K17" s="3308"/>
      <c r="L17" s="3308"/>
      <c r="M17" s="3308"/>
      <c r="N17" s="3308"/>
      <c r="O17" s="3308"/>
      <c r="P17" s="3310"/>
      <c r="Q17" s="3310"/>
      <c r="R17" s="3310"/>
      <c r="S17" s="1078"/>
      <c r="T17" s="3310"/>
      <c r="U17" s="3310"/>
      <c r="V17" s="3310"/>
      <c r="W17" s="1078"/>
      <c r="X17" s="3310"/>
      <c r="Y17" s="3310"/>
      <c r="Z17" s="3310"/>
      <c r="AA17" s="1078"/>
      <c r="AC17" s="3315" t="s">
        <v>471</v>
      </c>
      <c r="AD17" s="3316">
        <v>8.5000000000000006E-2</v>
      </c>
      <c r="AF17" s="3315"/>
      <c r="AG17" s="3316"/>
    </row>
    <row r="18" spans="1:35" x14ac:dyDescent="0.25">
      <c r="A18" s="1076"/>
      <c r="B18" s="3307"/>
      <c r="C18" s="3307"/>
      <c r="D18" s="3308"/>
      <c r="E18" s="3308"/>
      <c r="F18" s="3308"/>
      <c r="G18" s="3308"/>
      <c r="H18" s="3308"/>
      <c r="I18" s="3308"/>
      <c r="J18" s="3308"/>
      <c r="K18" s="3308"/>
      <c r="L18" s="3308"/>
      <c r="M18" s="3308"/>
      <c r="N18" s="3308"/>
      <c r="O18" s="3308"/>
      <c r="P18" s="3310"/>
      <c r="Q18" s="3310"/>
      <c r="R18" s="3310"/>
      <c r="S18" s="1078"/>
      <c r="T18" s="3310"/>
      <c r="U18" s="3310"/>
      <c r="V18" s="3310"/>
      <c r="W18" s="1078"/>
      <c r="X18" s="3310"/>
      <c r="Y18" s="3310"/>
      <c r="Z18" s="3310"/>
      <c r="AA18" s="1078"/>
    </row>
    <row r="19" spans="1:35" x14ac:dyDescent="0.25">
      <c r="A19" s="1076"/>
      <c r="B19" s="3307"/>
      <c r="C19" s="3307"/>
      <c r="D19" s="3308"/>
      <c r="E19" s="3308"/>
      <c r="F19" s="3308"/>
      <c r="G19" s="3308"/>
      <c r="H19" s="3308"/>
      <c r="I19" s="3308"/>
      <c r="J19" s="3308"/>
      <c r="K19" s="3308"/>
      <c r="L19" s="3308"/>
      <c r="M19" s="3308"/>
      <c r="N19" s="3308"/>
      <c r="O19" s="3308"/>
      <c r="P19" s="3310"/>
      <c r="Q19" s="3310"/>
      <c r="R19" s="3310"/>
      <c r="S19" s="1078"/>
      <c r="T19" s="3310"/>
      <c r="U19" s="3310"/>
      <c r="V19" s="3310"/>
      <c r="W19" s="1078"/>
      <c r="X19" s="3310"/>
      <c r="Y19" s="3310"/>
      <c r="Z19" s="3310"/>
      <c r="AA19" s="1078"/>
    </row>
    <row r="20" spans="1:35" x14ac:dyDescent="0.25">
      <c r="A20" s="1076"/>
      <c r="B20" s="3307"/>
      <c r="C20" s="3307"/>
      <c r="D20" s="3308"/>
      <c r="E20" s="3308"/>
      <c r="F20" s="3308"/>
      <c r="G20" s="3308"/>
      <c r="H20" s="3308"/>
      <c r="I20" s="3308"/>
      <c r="J20" s="3308"/>
      <c r="K20" s="3308"/>
      <c r="L20" s="3308"/>
      <c r="M20" s="3308"/>
      <c r="N20" s="3308"/>
      <c r="O20" s="3308"/>
      <c r="P20" s="3310"/>
      <c r="Q20" s="3310"/>
      <c r="R20" s="3310"/>
      <c r="S20" s="1078"/>
      <c r="T20" s="3310"/>
      <c r="U20" s="3310"/>
      <c r="V20" s="3310"/>
      <c r="W20" s="1078"/>
      <c r="X20" s="3310"/>
      <c r="Y20" s="3310"/>
      <c r="Z20" s="3310"/>
      <c r="AA20" s="1078"/>
    </row>
    <row r="21" spans="1:35" x14ac:dyDescent="0.25">
      <c r="A21" s="1076"/>
      <c r="B21" s="3307"/>
      <c r="C21" s="3307"/>
      <c r="D21" s="3308"/>
      <c r="E21" s="3308"/>
      <c r="F21" s="3308"/>
      <c r="G21" s="3308"/>
      <c r="H21" s="3308"/>
      <c r="I21" s="3308"/>
      <c r="J21" s="3308"/>
      <c r="K21" s="3308"/>
      <c r="L21" s="3308"/>
      <c r="M21" s="3308"/>
      <c r="N21" s="3308"/>
      <c r="O21" s="3308"/>
      <c r="P21" s="3310"/>
      <c r="Q21" s="3310"/>
      <c r="R21" s="3310"/>
      <c r="S21" s="1078"/>
      <c r="T21" s="3310"/>
      <c r="U21" s="3310"/>
      <c r="V21" s="3310"/>
      <c r="W21" s="1078"/>
      <c r="X21" s="3310"/>
      <c r="Y21" s="3310"/>
      <c r="Z21" s="3310"/>
      <c r="AA21" s="1078"/>
    </row>
    <row r="22" spans="1:35" x14ac:dyDescent="0.25">
      <c r="A22" s="1076"/>
      <c r="B22" s="3307"/>
      <c r="C22" s="3307"/>
      <c r="D22" s="3308"/>
      <c r="E22" s="3308"/>
      <c r="F22" s="3308"/>
      <c r="G22" s="3308"/>
      <c r="H22" s="3308"/>
      <c r="I22" s="3308"/>
      <c r="J22" s="3308"/>
      <c r="K22" s="3308"/>
      <c r="L22" s="3308"/>
      <c r="M22" s="3308"/>
      <c r="N22" s="3308"/>
      <c r="O22" s="3308"/>
      <c r="P22" s="3310"/>
      <c r="Q22" s="3310"/>
      <c r="R22" s="3310"/>
      <c r="S22" s="1078"/>
      <c r="T22" s="3310"/>
      <c r="U22" s="3310"/>
      <c r="V22" s="3310"/>
      <c r="W22" s="1078"/>
      <c r="X22" s="3310"/>
      <c r="Y22" s="3310"/>
      <c r="Z22" s="3310"/>
      <c r="AA22" s="1078"/>
    </row>
    <row r="23" spans="1:35" x14ac:dyDescent="0.25">
      <c r="A23" s="1076"/>
      <c r="B23" s="3307"/>
      <c r="C23" s="3307"/>
      <c r="D23" s="3308"/>
      <c r="E23" s="3308"/>
      <c r="F23" s="3308"/>
      <c r="G23" s="3308"/>
      <c r="H23" s="3308"/>
      <c r="I23" s="3308"/>
      <c r="J23" s="3308"/>
      <c r="K23" s="3308"/>
      <c r="L23" s="3308"/>
      <c r="M23" s="3308"/>
      <c r="N23" s="3308"/>
      <c r="O23" s="3308"/>
      <c r="P23" s="3310"/>
      <c r="Q23" s="3310"/>
      <c r="R23" s="3310"/>
      <c r="S23" s="1078"/>
      <c r="T23" s="3310"/>
      <c r="U23" s="3310"/>
      <c r="V23" s="3310"/>
      <c r="W23" s="1078"/>
      <c r="X23" s="3310"/>
      <c r="Y23" s="3310"/>
      <c r="Z23" s="3310"/>
      <c r="AA23" s="1078"/>
    </row>
    <row r="24" spans="1:35" x14ac:dyDescent="0.25">
      <c r="A24" s="1076"/>
      <c r="B24" s="3307"/>
      <c r="C24" s="3307"/>
      <c r="D24" s="3308"/>
      <c r="E24" s="3308"/>
      <c r="F24" s="3308"/>
      <c r="G24" s="3308"/>
      <c r="H24" s="3308"/>
      <c r="I24" s="3308"/>
      <c r="J24" s="3308"/>
      <c r="K24" s="3308"/>
      <c r="L24" s="3308"/>
      <c r="M24" s="3308"/>
      <c r="N24" s="3308"/>
      <c r="O24" s="3308"/>
      <c r="P24" s="3310"/>
      <c r="Q24" s="3310"/>
      <c r="R24" s="3310"/>
      <c r="S24" s="1078"/>
      <c r="T24" s="3310"/>
      <c r="U24" s="3310"/>
      <c r="V24" s="3310"/>
      <c r="W24" s="1078"/>
      <c r="X24" s="3310"/>
      <c r="Y24" s="3310"/>
      <c r="Z24" s="3310"/>
      <c r="AA24" s="1078"/>
    </row>
    <row r="25" spans="1:35" x14ac:dyDescent="0.25">
      <c r="A25" s="1076"/>
      <c r="B25" s="3307"/>
      <c r="C25" s="3307"/>
      <c r="D25" s="3308"/>
      <c r="E25" s="3308"/>
      <c r="F25" s="3308"/>
      <c r="G25" s="3308"/>
      <c r="H25" s="3308"/>
      <c r="I25" s="3308"/>
      <c r="J25" s="3308"/>
      <c r="K25" s="3308"/>
      <c r="L25" s="3308"/>
      <c r="M25" s="3308"/>
      <c r="N25" s="3308"/>
      <c r="O25" s="3308"/>
      <c r="P25" s="3310"/>
      <c r="Q25" s="3310"/>
      <c r="R25" s="3310"/>
      <c r="S25" s="1078"/>
      <c r="T25" s="3310"/>
      <c r="U25" s="3310"/>
      <c r="V25" s="3310"/>
      <c r="W25" s="1078"/>
      <c r="X25" s="3310"/>
      <c r="Y25" s="3310"/>
      <c r="Z25" s="3310"/>
      <c r="AA25" s="1078"/>
    </row>
    <row r="26" spans="1:35" x14ac:dyDescent="0.25">
      <c r="A26" s="1076"/>
      <c r="B26" s="3307"/>
      <c r="C26" s="3307"/>
      <c r="D26" s="3308"/>
      <c r="E26" s="3308"/>
      <c r="F26" s="3308"/>
      <c r="G26" s="3308"/>
      <c r="H26" s="3308"/>
      <c r="I26" s="3308"/>
      <c r="J26" s="3308"/>
      <c r="K26" s="3308"/>
      <c r="L26" s="3308"/>
      <c r="M26" s="3308"/>
      <c r="N26" s="3308"/>
      <c r="O26" s="3308"/>
      <c r="P26" s="3310"/>
      <c r="Q26" s="3310"/>
      <c r="R26" s="3310"/>
      <c r="S26" s="1078"/>
      <c r="T26" s="3310"/>
      <c r="U26" s="3310"/>
      <c r="V26" s="3310"/>
      <c r="W26" s="1078"/>
      <c r="X26" s="3310"/>
      <c r="Y26" s="3310"/>
      <c r="Z26" s="3310"/>
      <c r="AA26" s="1078"/>
    </row>
    <row r="27" spans="1:35" x14ac:dyDescent="0.25">
      <c r="A27" s="1076"/>
      <c r="B27" s="3307"/>
      <c r="C27" s="3307"/>
      <c r="D27" s="3308"/>
      <c r="E27" s="3308"/>
      <c r="F27" s="3308"/>
      <c r="G27" s="3308"/>
      <c r="H27" s="3308"/>
      <c r="I27" s="3308"/>
      <c r="J27" s="3308"/>
      <c r="K27" s="3308"/>
      <c r="L27" s="3308"/>
      <c r="M27" s="3308"/>
      <c r="N27" s="3308"/>
      <c r="O27" s="3308"/>
      <c r="P27" s="3310"/>
      <c r="Q27" s="3310"/>
      <c r="R27" s="3310"/>
      <c r="S27" s="1078"/>
      <c r="T27" s="3310"/>
      <c r="U27" s="3310"/>
      <c r="V27" s="3310"/>
      <c r="W27" s="1078"/>
      <c r="X27" s="3310"/>
      <c r="Y27" s="3310"/>
      <c r="Z27" s="3310"/>
      <c r="AA27" s="1078"/>
    </row>
    <row r="28" spans="1:35" x14ac:dyDescent="0.25">
      <c r="A28" s="1076"/>
      <c r="B28" s="3307"/>
      <c r="C28" s="3307"/>
      <c r="D28" s="3308"/>
      <c r="E28" s="3308"/>
      <c r="F28" s="3308"/>
      <c r="G28" s="3308"/>
      <c r="H28" s="3308"/>
      <c r="I28" s="3308"/>
      <c r="J28" s="3308"/>
      <c r="K28" s="3308"/>
      <c r="L28" s="3308"/>
      <c r="M28" s="3308"/>
      <c r="N28" s="3308"/>
      <c r="O28" s="3308"/>
      <c r="P28" s="3310"/>
      <c r="Q28" s="3310"/>
      <c r="R28" s="3310"/>
      <c r="S28" s="1078"/>
      <c r="T28" s="3310"/>
      <c r="U28" s="3310"/>
      <c r="V28" s="3310"/>
      <c r="W28" s="1078"/>
      <c r="X28" s="3310"/>
      <c r="Y28" s="3310"/>
      <c r="Z28" s="3310"/>
      <c r="AA28" s="1078"/>
    </row>
    <row r="29" spans="1:35" x14ac:dyDescent="0.25">
      <c r="D29" s="900"/>
      <c r="E29" s="900"/>
      <c r="F29" s="900"/>
      <c r="G29" s="900"/>
      <c r="H29" s="900"/>
      <c r="I29" s="900"/>
      <c r="J29" s="900"/>
      <c r="K29" s="900"/>
      <c r="L29" s="900"/>
      <c r="M29" s="900"/>
      <c r="N29" s="900"/>
      <c r="O29" s="900"/>
      <c r="P29" s="900"/>
      <c r="Q29" s="900"/>
      <c r="R29" s="900"/>
      <c r="S29" s="900"/>
      <c r="T29" s="900"/>
      <c r="U29" s="900"/>
      <c r="V29" s="900"/>
      <c r="W29" s="900"/>
      <c r="X29" s="900"/>
      <c r="Y29" s="900"/>
      <c r="Z29" s="900"/>
      <c r="AA29" s="900"/>
    </row>
    <row r="30" spans="1:35" x14ac:dyDescent="0.25">
      <c r="A30" s="782">
        <v>6</v>
      </c>
      <c r="B30" s="782" t="s">
        <v>29</v>
      </c>
      <c r="C30" s="782"/>
      <c r="D30" s="4048" t="s">
        <v>392</v>
      </c>
      <c r="E30" s="4049"/>
      <c r="F30" s="4049"/>
      <c r="G30" s="4049"/>
      <c r="H30" s="4049"/>
      <c r="I30" s="4049"/>
      <c r="J30" s="4049"/>
      <c r="K30" s="4049"/>
      <c r="L30" s="4049"/>
      <c r="M30" s="4049"/>
      <c r="N30" s="4049"/>
      <c r="O30" s="4049"/>
      <c r="P30" s="4049"/>
      <c r="Q30" s="4049"/>
      <c r="R30" s="4049"/>
      <c r="S30" s="4049"/>
      <c r="T30" s="4049"/>
      <c r="U30" s="4049"/>
      <c r="V30" s="4049"/>
      <c r="W30" s="4049"/>
      <c r="X30" s="4049"/>
      <c r="Y30" s="4049"/>
      <c r="Z30" s="4049"/>
      <c r="AA30" s="4049"/>
      <c r="AB30" s="4049"/>
      <c r="AC30" s="4049"/>
      <c r="AD30" s="4049"/>
      <c r="AE30" s="4049"/>
      <c r="AF30" s="4049"/>
      <c r="AG30" s="4049"/>
      <c r="AH30" s="4049"/>
      <c r="AI30" s="4050"/>
    </row>
    <row r="31" spans="1:35" ht="15" customHeight="1" x14ac:dyDescent="0.25">
      <c r="A31" s="818">
        <v>7</v>
      </c>
      <c r="B31" s="818" t="s">
        <v>32</v>
      </c>
      <c r="C31" s="818"/>
      <c r="D31" s="4078" t="s">
        <v>1412</v>
      </c>
      <c r="E31" s="4079"/>
      <c r="F31" s="4079"/>
      <c r="G31" s="4079"/>
      <c r="H31" s="4079"/>
      <c r="I31" s="4079"/>
      <c r="J31" s="4079"/>
      <c r="K31" s="4079"/>
      <c r="L31" s="4079"/>
      <c r="M31" s="4079"/>
      <c r="N31" s="4079"/>
      <c r="O31" s="4079"/>
      <c r="P31" s="4079"/>
      <c r="Q31" s="4079"/>
      <c r="R31" s="4079"/>
      <c r="S31" s="4079"/>
      <c r="T31" s="4079"/>
      <c r="U31" s="4079"/>
      <c r="V31" s="4079"/>
      <c r="W31" s="4079"/>
      <c r="X31" s="4079"/>
      <c r="Y31" s="4079"/>
      <c r="Z31" s="4079"/>
      <c r="AA31" s="4079"/>
      <c r="AB31" s="4079"/>
      <c r="AC31" s="4079"/>
      <c r="AD31" s="4079"/>
      <c r="AE31" s="4079"/>
      <c r="AF31" s="4079"/>
      <c r="AG31" s="4079"/>
      <c r="AH31" s="4079"/>
      <c r="AI31" s="4080"/>
    </row>
    <row r="32" spans="1:35" ht="12.75" customHeight="1" x14ac:dyDescent="0.25">
      <c r="A32" s="782">
        <v>8</v>
      </c>
      <c r="B32" s="782" t="s">
        <v>31</v>
      </c>
      <c r="C32" s="782"/>
      <c r="D32" s="4072" t="s">
        <v>1413</v>
      </c>
      <c r="E32" s="4073"/>
      <c r="F32" s="4073"/>
      <c r="G32" s="4073"/>
      <c r="H32" s="4073"/>
      <c r="I32" s="4073"/>
      <c r="J32" s="4073"/>
      <c r="K32" s="4073"/>
      <c r="L32" s="4073"/>
      <c r="M32" s="4073"/>
      <c r="N32" s="4073"/>
      <c r="O32" s="4073"/>
      <c r="P32" s="4073"/>
      <c r="Q32" s="4073"/>
      <c r="R32" s="4073"/>
      <c r="S32" s="4073"/>
      <c r="T32" s="4073"/>
      <c r="U32" s="4073"/>
      <c r="V32" s="4073"/>
      <c r="W32" s="4073"/>
      <c r="X32" s="4073"/>
      <c r="Y32" s="4073"/>
      <c r="Z32" s="4073"/>
      <c r="AA32" s="4073"/>
      <c r="AB32" s="4073"/>
      <c r="AC32" s="4073"/>
      <c r="AD32" s="4073"/>
      <c r="AE32" s="4073"/>
      <c r="AF32" s="4073"/>
      <c r="AG32" s="4073"/>
      <c r="AH32" s="4073"/>
      <c r="AI32" s="4074"/>
    </row>
    <row r="33" spans="1:35" ht="51.75" customHeight="1" x14ac:dyDescent="0.25">
      <c r="A33" s="782">
        <v>9</v>
      </c>
      <c r="B33" s="782" t="s">
        <v>34</v>
      </c>
      <c r="D33" s="4072" t="s">
        <v>1414</v>
      </c>
      <c r="E33" s="4073"/>
      <c r="F33" s="4073"/>
      <c r="G33" s="4073"/>
      <c r="H33" s="4073"/>
      <c r="I33" s="4073"/>
      <c r="J33" s="4073"/>
      <c r="K33" s="4073"/>
      <c r="L33" s="4073"/>
      <c r="M33" s="4073"/>
      <c r="N33" s="4073"/>
      <c r="O33" s="4073"/>
      <c r="P33" s="4073"/>
      <c r="Q33" s="4073"/>
      <c r="R33" s="4073"/>
      <c r="S33" s="4073"/>
      <c r="T33" s="4073"/>
      <c r="U33" s="4073"/>
      <c r="V33" s="4073"/>
      <c r="W33" s="4073"/>
      <c r="X33" s="4073"/>
      <c r="Y33" s="4073"/>
      <c r="Z33" s="4073"/>
      <c r="AA33" s="4073"/>
      <c r="AB33" s="4073"/>
      <c r="AC33" s="4073"/>
      <c r="AD33" s="4073"/>
      <c r="AE33" s="4073"/>
      <c r="AF33" s="4073"/>
      <c r="AG33" s="4073"/>
      <c r="AH33" s="4073"/>
      <c r="AI33" s="4074"/>
    </row>
    <row r="38" spans="1:35" s="424" customFormat="1" x14ac:dyDescent="0.25">
      <c r="A38" s="3317"/>
      <c r="B38" s="3317"/>
      <c r="C38" s="3317"/>
    </row>
    <row r="39" spans="1:35" s="424" customFormat="1" x14ac:dyDescent="0.25">
      <c r="A39" s="3317"/>
      <c r="B39" s="3317"/>
      <c r="C39" s="3317"/>
      <c r="E39" s="185">
        <v>2003</v>
      </c>
      <c r="F39" s="185">
        <v>2004</v>
      </c>
      <c r="G39" s="185">
        <v>2005</v>
      </c>
      <c r="H39" s="185">
        <v>2006</v>
      </c>
      <c r="I39" s="185">
        <v>2007</v>
      </c>
      <c r="J39" s="185">
        <v>2008</v>
      </c>
      <c r="K39" s="185">
        <v>2009</v>
      </c>
      <c r="L39" s="3318" t="s">
        <v>9</v>
      </c>
      <c r="M39" s="3318" t="s">
        <v>10</v>
      </c>
      <c r="N39" s="3318" t="s">
        <v>11</v>
      </c>
      <c r="O39" s="3318" t="s">
        <v>12</v>
      </c>
      <c r="P39" s="3318" t="s">
        <v>13</v>
      </c>
      <c r="Q39" s="3318" t="s">
        <v>14</v>
      </c>
      <c r="R39" s="3318" t="s">
        <v>15</v>
      </c>
      <c r="S39" s="3319" t="s">
        <v>333</v>
      </c>
      <c r="T39" s="3320"/>
      <c r="U39" s="3320"/>
      <c r="V39" s="3320"/>
      <c r="X39" s="3320"/>
      <c r="Y39" s="3320"/>
      <c r="Z39" s="3320"/>
      <c r="AB39" s="3320"/>
      <c r="AC39" s="3320"/>
      <c r="AD39" s="3320"/>
    </row>
    <row r="40" spans="1:35" s="424" customFormat="1" x14ac:dyDescent="0.25">
      <c r="A40" s="3317"/>
      <c r="B40" s="3317"/>
      <c r="C40" s="3317"/>
      <c r="E40" s="139">
        <v>84</v>
      </c>
      <c r="F40" s="139">
        <v>90</v>
      </c>
      <c r="G40" s="139">
        <v>90</v>
      </c>
      <c r="H40" s="139">
        <v>90</v>
      </c>
      <c r="I40" s="139">
        <v>78</v>
      </c>
      <c r="J40" s="139">
        <v>65</v>
      </c>
      <c r="K40" s="139">
        <v>75</v>
      </c>
      <c r="L40" s="3319">
        <v>90</v>
      </c>
      <c r="M40" s="3321">
        <v>88.25</v>
      </c>
      <c r="N40" s="3319">
        <v>87</v>
      </c>
      <c r="O40" s="3321">
        <v>88</v>
      </c>
      <c r="P40" s="3321">
        <v>89</v>
      </c>
      <c r="Q40" s="3321">
        <v>85</v>
      </c>
      <c r="R40" s="3319">
        <v>88</v>
      </c>
      <c r="S40" s="185">
        <v>81</v>
      </c>
      <c r="T40" s="3322"/>
      <c r="U40" s="3322"/>
      <c r="V40" s="3322"/>
      <c r="W40" s="3322"/>
      <c r="X40" s="3322"/>
      <c r="Y40" s="3322"/>
      <c r="Z40" s="3322"/>
      <c r="AA40" s="3322"/>
      <c r="AB40" s="3322"/>
      <c r="AC40" s="3322"/>
      <c r="AD40" s="3322"/>
    </row>
    <row r="41" spans="1:35" s="420" customFormat="1" x14ac:dyDescent="0.25">
      <c r="A41" s="3323"/>
      <c r="B41" s="3323"/>
      <c r="C41" s="3323"/>
      <c r="AB41" s="3324"/>
      <c r="AC41" s="3324"/>
      <c r="AD41" s="3324"/>
      <c r="AE41" s="3324"/>
    </row>
    <row r="42" spans="1:35" s="420" customFormat="1" x14ac:dyDescent="0.25">
      <c r="A42" s="3323"/>
      <c r="B42" s="3323"/>
      <c r="C42" s="3323"/>
    </row>
  </sheetData>
  <mergeCells count="16">
    <mergeCell ref="D2:AK2"/>
    <mergeCell ref="D3:AK3"/>
    <mergeCell ref="D4:AK4"/>
    <mergeCell ref="D33:AI33"/>
    <mergeCell ref="AJ7:AM7"/>
    <mergeCell ref="AC13:AD13"/>
    <mergeCell ref="AF13:AG13"/>
    <mergeCell ref="D30:AI30"/>
    <mergeCell ref="D31:AI31"/>
    <mergeCell ref="D32:AI32"/>
    <mergeCell ref="L7:O7"/>
    <mergeCell ref="P7:S7"/>
    <mergeCell ref="T7:W7"/>
    <mergeCell ref="X7:AA7"/>
    <mergeCell ref="AB7:AE7"/>
    <mergeCell ref="AF7:AG7"/>
  </mergeCells>
  <pageMargins left="0.74803149606299213" right="0.74803149606299213" top="0.98425196850393704" bottom="0.98425196850393704" header="0.51181102362204722" footer="0.51181102362204722"/>
  <pageSetup paperSize="9" scale="3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U279"/>
  <sheetViews>
    <sheetView showGridLines="0" view="pageBreakPreview" topLeftCell="A22" zoomScaleNormal="100" zoomScaleSheetLayoutView="100" workbookViewId="0">
      <selection activeCell="D60" sqref="D60:T60"/>
    </sheetView>
  </sheetViews>
  <sheetFormatPr defaultColWidth="9.140625" defaultRowHeight="15" x14ac:dyDescent="0.25"/>
  <cols>
    <col min="1" max="1" width="3.7109375" style="2355" customWidth="1"/>
    <col min="2" max="2" width="13.28515625" style="2355" customWidth="1"/>
    <col min="3" max="3" width="3.7109375" style="2355" customWidth="1"/>
    <col min="4" max="4" width="14.5703125" style="2357" customWidth="1"/>
    <col min="5" max="6" width="7.5703125" style="2357" customWidth="1"/>
    <col min="7" max="7" width="8.140625" style="2357" customWidth="1"/>
    <col min="8" max="8" width="8.7109375" style="2357" customWidth="1"/>
    <col min="9" max="9" width="9.42578125" style="2357" customWidth="1"/>
    <col min="10" max="10" width="7.85546875" style="2357" customWidth="1"/>
    <col min="11" max="11" width="8.28515625" style="2357" customWidth="1"/>
    <col min="12" max="12" width="8" style="2357" customWidth="1"/>
    <col min="13" max="13" width="10.28515625" style="2357" customWidth="1"/>
    <col min="14" max="14" width="8.140625" style="2357" customWidth="1"/>
    <col min="15" max="15" width="8.42578125" style="2357" customWidth="1"/>
    <col min="16" max="16" width="9.140625" style="2357"/>
    <col min="17" max="17" width="9" style="2357" customWidth="1"/>
    <col min="18" max="18" width="8" style="2357" customWidth="1"/>
    <col min="19" max="19" width="7.7109375" style="2357" customWidth="1"/>
    <col min="20" max="16384" width="9.140625" style="2357"/>
  </cols>
  <sheetData>
    <row r="1" spans="1:21" x14ac:dyDescent="0.25">
      <c r="D1" s="2356"/>
      <c r="E1" s="2356"/>
      <c r="F1" s="2356"/>
      <c r="G1" s="2356"/>
      <c r="H1" s="2356"/>
      <c r="I1" s="2356"/>
      <c r="J1" s="2356"/>
      <c r="K1" s="2356"/>
      <c r="L1" s="2356"/>
      <c r="M1" s="2356"/>
    </row>
    <row r="2" spans="1:21" ht="15.75" customHeight="1" x14ac:dyDescent="0.25">
      <c r="A2" s="782">
        <v>1</v>
      </c>
      <c r="B2" s="2358" t="s">
        <v>1029</v>
      </c>
      <c r="C2" s="2358">
        <v>60</v>
      </c>
      <c r="D2" s="4048" t="s">
        <v>1030</v>
      </c>
      <c r="E2" s="4049"/>
      <c r="F2" s="4049"/>
      <c r="G2" s="4049"/>
      <c r="H2" s="4049"/>
      <c r="I2" s="4049"/>
      <c r="J2" s="4049"/>
      <c r="K2" s="4049"/>
      <c r="L2" s="4049"/>
      <c r="M2" s="4049"/>
      <c r="N2" s="4049"/>
      <c r="O2" s="4049"/>
      <c r="P2" s="4049"/>
      <c r="Q2" s="4049"/>
      <c r="R2" s="4049"/>
      <c r="S2" s="4049"/>
      <c r="T2" s="4050"/>
    </row>
    <row r="3" spans="1:21" ht="15" customHeight="1" x14ac:dyDescent="0.25">
      <c r="A3" s="782">
        <v>2</v>
      </c>
      <c r="B3" s="2358" t="s">
        <v>1031</v>
      </c>
      <c r="C3" s="2358"/>
      <c r="D3" s="4048" t="s">
        <v>1032</v>
      </c>
      <c r="E3" s="4049"/>
      <c r="F3" s="4049"/>
      <c r="G3" s="4049"/>
      <c r="H3" s="4049"/>
      <c r="I3" s="4049"/>
      <c r="J3" s="4049"/>
      <c r="K3" s="4049"/>
      <c r="L3" s="4049"/>
      <c r="M3" s="4049"/>
      <c r="N3" s="4049"/>
      <c r="O3" s="4049"/>
      <c r="P3" s="4049"/>
      <c r="Q3" s="4049"/>
      <c r="R3" s="4049"/>
      <c r="S3" s="4049"/>
      <c r="T3" s="4050"/>
    </row>
    <row r="4" spans="1:21" ht="12.75" customHeight="1" x14ac:dyDescent="0.25">
      <c r="A4" s="782">
        <v>3</v>
      </c>
      <c r="B4" s="2358" t="s">
        <v>4</v>
      </c>
      <c r="C4" s="2360"/>
      <c r="D4" s="4048" t="s">
        <v>1033</v>
      </c>
      <c r="E4" s="4049"/>
      <c r="F4" s="4049"/>
      <c r="G4" s="4049"/>
      <c r="H4" s="4049"/>
      <c r="I4" s="4049"/>
      <c r="J4" s="4049"/>
      <c r="K4" s="4049"/>
      <c r="L4" s="4049"/>
      <c r="M4" s="4049"/>
      <c r="N4" s="4049"/>
      <c r="O4" s="4049"/>
      <c r="P4" s="4049"/>
      <c r="Q4" s="4049"/>
      <c r="R4" s="4049"/>
      <c r="S4" s="4049"/>
      <c r="T4" s="4050"/>
    </row>
    <row r="5" spans="1:21" ht="12.75" customHeight="1" x14ac:dyDescent="0.25">
      <c r="A5" s="782"/>
      <c r="B5" s="1076"/>
      <c r="C5" s="1076"/>
      <c r="D5" s="2361"/>
      <c r="E5" s="48"/>
      <c r="F5" s="48"/>
      <c r="G5" s="48"/>
      <c r="H5" s="48"/>
      <c r="I5" s="48"/>
      <c r="J5" s="48"/>
      <c r="K5" s="48"/>
      <c r="L5" s="48"/>
    </row>
    <row r="6" spans="1:21" x14ac:dyDescent="0.25">
      <c r="A6" s="782">
        <v>4</v>
      </c>
      <c r="B6" s="782" t="s">
        <v>5</v>
      </c>
      <c r="D6" s="2362" t="s">
        <v>40</v>
      </c>
      <c r="E6" s="2362"/>
      <c r="F6" s="2362"/>
      <c r="G6" s="2362"/>
      <c r="H6" s="2362"/>
      <c r="I6" s="2362"/>
      <c r="J6" s="2362"/>
      <c r="K6" s="2362"/>
    </row>
    <row r="7" spans="1:21" ht="12.75" customHeight="1" x14ac:dyDescent="0.25">
      <c r="A7" s="1083"/>
      <c r="D7" s="2363"/>
      <c r="E7" s="2364">
        <v>2007</v>
      </c>
      <c r="F7" s="2364">
        <v>2011</v>
      </c>
      <c r="G7" s="2364">
        <v>2012</v>
      </c>
      <c r="H7" s="2364" t="s">
        <v>12</v>
      </c>
      <c r="I7" s="2364" t="s">
        <v>13</v>
      </c>
      <c r="J7" s="2364" t="s">
        <v>14</v>
      </c>
      <c r="K7" s="2364" t="s">
        <v>15</v>
      </c>
      <c r="L7" s="1902" t="s">
        <v>333</v>
      </c>
      <c r="M7" s="2365"/>
    </row>
    <row r="8" spans="1:21" ht="14.1" customHeight="1" x14ac:dyDescent="0.25">
      <c r="A8" s="1083"/>
      <c r="D8" s="2366" t="s">
        <v>1034</v>
      </c>
      <c r="E8" s="2367">
        <v>76</v>
      </c>
      <c r="F8" s="2367">
        <v>88.4</v>
      </c>
      <c r="G8" s="2367">
        <v>85.1</v>
      </c>
      <c r="H8" s="2367">
        <v>86.8</v>
      </c>
      <c r="I8" s="2367">
        <v>85.4</v>
      </c>
      <c r="J8" s="2367">
        <v>83.7</v>
      </c>
      <c r="K8" s="2368">
        <v>84.8</v>
      </c>
      <c r="L8" s="2369">
        <v>0.79100000000000004</v>
      </c>
      <c r="M8" s="2365"/>
    </row>
    <row r="9" spans="1:21" ht="14.1" customHeight="1" x14ac:dyDescent="0.25">
      <c r="A9" s="1083"/>
      <c r="D9" s="2370" t="s">
        <v>1035</v>
      </c>
      <c r="E9" s="2371">
        <v>23</v>
      </c>
      <c r="F9" s="2371">
        <v>37.6</v>
      </c>
      <c r="G9" s="2371">
        <v>36.5</v>
      </c>
      <c r="H9" s="2371">
        <v>35</v>
      </c>
      <c r="I9" s="2371">
        <v>31.2</v>
      </c>
      <c r="J9" s="2371">
        <v>30.7</v>
      </c>
      <c r="K9" s="2371">
        <v>29.4</v>
      </c>
      <c r="L9" s="2372">
        <v>0.32</v>
      </c>
      <c r="M9" s="2365"/>
    </row>
    <row r="10" spans="1:21" ht="14.1" customHeight="1" x14ac:dyDescent="0.25">
      <c r="A10" s="1083"/>
      <c r="D10" s="2366"/>
      <c r="E10" s="2367"/>
      <c r="F10" s="2367"/>
      <c r="G10" s="2367"/>
      <c r="H10" s="2368"/>
      <c r="I10" s="2368"/>
      <c r="J10" s="2368"/>
      <c r="K10" s="2368"/>
      <c r="L10" s="2365"/>
    </row>
    <row r="11" spans="1:21" ht="14.1" customHeight="1" x14ac:dyDescent="0.25">
      <c r="A11" s="1083"/>
      <c r="D11" s="2366"/>
      <c r="E11" s="2367"/>
      <c r="F11" s="2367"/>
      <c r="G11" s="2367"/>
      <c r="H11" s="2368"/>
      <c r="I11" s="2368"/>
      <c r="J11" s="2368"/>
      <c r="K11" s="2368"/>
      <c r="L11" s="2365"/>
    </row>
    <row r="12" spans="1:21" ht="14.1" customHeight="1" x14ac:dyDescent="0.25">
      <c r="A12" s="1083"/>
      <c r="D12" s="2366"/>
      <c r="E12" s="2373"/>
      <c r="F12" s="2373"/>
      <c r="G12" s="2373"/>
      <c r="H12" s="2373"/>
      <c r="I12" s="2373"/>
      <c r="J12" s="2373"/>
      <c r="K12" s="2368"/>
      <c r="L12" s="2365"/>
    </row>
    <row r="13" spans="1:21" ht="14.1" customHeight="1" x14ac:dyDescent="0.25">
      <c r="A13" s="1083"/>
      <c r="D13" s="2366"/>
      <c r="E13" s="2373"/>
      <c r="F13" s="2373"/>
      <c r="G13" s="2373"/>
      <c r="H13" s="2368"/>
      <c r="I13" s="2368"/>
      <c r="J13" s="2368"/>
      <c r="K13" s="2368"/>
      <c r="L13" s="2365"/>
    </row>
    <row r="14" spans="1:21" ht="14.1" customHeight="1" x14ac:dyDescent="0.25">
      <c r="A14" s="1083"/>
      <c r="D14" s="2362" t="s">
        <v>67</v>
      </c>
      <c r="E14" s="2373"/>
      <c r="F14" s="2373"/>
      <c r="G14" s="2373"/>
      <c r="H14" s="2373"/>
      <c r="I14" s="2374"/>
      <c r="J14" s="2374"/>
      <c r="K14" s="2374"/>
      <c r="L14" s="2365"/>
    </row>
    <row r="15" spans="1:21" ht="14.1" customHeight="1" x14ac:dyDescent="0.25">
      <c r="A15" s="1083"/>
      <c r="D15" s="2375"/>
      <c r="E15" s="2376"/>
      <c r="F15" s="4380" t="s">
        <v>1036</v>
      </c>
      <c r="G15" s="4381"/>
      <c r="H15" s="4381"/>
      <c r="I15" s="4376" t="s">
        <v>1037</v>
      </c>
      <c r="J15" s="4377"/>
      <c r="K15" s="4377"/>
      <c r="L15" s="4376" t="s">
        <v>14</v>
      </c>
      <c r="M15" s="4377"/>
      <c r="N15" s="4378"/>
      <c r="O15" s="4376" t="s">
        <v>15</v>
      </c>
      <c r="P15" s="4377"/>
      <c r="Q15" s="4378"/>
      <c r="R15" s="4376" t="s">
        <v>333</v>
      </c>
      <c r="S15" s="4377"/>
      <c r="T15" s="4377"/>
      <c r="U15" s="4379"/>
    </row>
    <row r="16" spans="1:21" ht="24.6" customHeight="1" x14ac:dyDescent="0.25">
      <c r="A16" s="1083"/>
      <c r="D16" s="2377"/>
      <c r="E16" s="2378" t="s">
        <v>1038</v>
      </c>
      <c r="F16" s="2379" t="s">
        <v>1039</v>
      </c>
      <c r="G16" s="2379" t="s">
        <v>1040</v>
      </c>
      <c r="H16" s="2378" t="s">
        <v>1038</v>
      </c>
      <c r="I16" s="2379" t="s">
        <v>1039</v>
      </c>
      <c r="J16" s="2379" t="s">
        <v>1040</v>
      </c>
      <c r="K16" s="2380" t="s">
        <v>1038</v>
      </c>
      <c r="L16" s="2379" t="s">
        <v>1039</v>
      </c>
      <c r="M16" s="2379" t="s">
        <v>1040</v>
      </c>
      <c r="N16" s="2381" t="s">
        <v>1038</v>
      </c>
      <c r="O16" s="2379" t="s">
        <v>1039</v>
      </c>
      <c r="P16" s="2379" t="s">
        <v>1040</v>
      </c>
      <c r="Q16" s="2381" t="s">
        <v>1038</v>
      </c>
      <c r="R16" s="2382" t="s">
        <v>1038</v>
      </c>
      <c r="S16" s="2383" t="s">
        <v>1039</v>
      </c>
      <c r="T16" s="2383" t="s">
        <v>1040</v>
      </c>
      <c r="U16" s="2384"/>
    </row>
    <row r="17" spans="1:21" ht="14.1" customHeight="1" x14ac:dyDescent="0.25">
      <c r="A17" s="1083"/>
      <c r="D17" s="17" t="s">
        <v>19</v>
      </c>
      <c r="E17" s="2385">
        <v>28.3</v>
      </c>
      <c r="F17" s="2386">
        <v>40.299999999999997</v>
      </c>
      <c r="G17" s="2386">
        <v>27.4</v>
      </c>
      <c r="H17" s="2387">
        <v>32.299999999999997</v>
      </c>
      <c r="I17" s="2386">
        <v>50.6</v>
      </c>
      <c r="J17" s="2386">
        <v>20.6</v>
      </c>
      <c r="K17" s="2387">
        <v>28.8</v>
      </c>
      <c r="L17" s="2386">
        <v>45.8</v>
      </c>
      <c r="M17" s="2386">
        <v>18.8</v>
      </c>
      <c r="N17" s="2386">
        <v>35.6</v>
      </c>
      <c r="O17" s="2386">
        <v>47.1</v>
      </c>
      <c r="P17" s="2386">
        <v>17.399999999999999</v>
      </c>
      <c r="Q17" s="2386">
        <v>35.5</v>
      </c>
      <c r="R17" s="2386">
        <v>31.1</v>
      </c>
      <c r="S17" s="2386">
        <v>44.2</v>
      </c>
      <c r="T17" s="2386">
        <v>21.7</v>
      </c>
      <c r="U17" s="903"/>
    </row>
    <row r="18" spans="1:21" ht="14.1" customHeight="1" x14ac:dyDescent="0.25">
      <c r="A18" s="1083"/>
      <c r="D18" s="17" t="s">
        <v>1041</v>
      </c>
      <c r="E18" s="2385">
        <v>29.2</v>
      </c>
      <c r="F18" s="2386">
        <v>50.3</v>
      </c>
      <c r="G18" s="2386">
        <v>28.8</v>
      </c>
      <c r="H18" s="2387">
        <v>20.9</v>
      </c>
      <c r="I18" s="2386">
        <v>46.8</v>
      </c>
      <c r="J18" s="2386">
        <v>30.4</v>
      </c>
      <c r="K18" s="2387">
        <v>22.9</v>
      </c>
      <c r="L18" s="2386">
        <v>48</v>
      </c>
      <c r="M18" s="2386">
        <v>31</v>
      </c>
      <c r="N18" s="2386">
        <v>21</v>
      </c>
      <c r="O18" s="2386">
        <v>42.4</v>
      </c>
      <c r="P18" s="2386">
        <v>31.2</v>
      </c>
      <c r="Q18" s="2386">
        <v>26.4</v>
      </c>
      <c r="R18" s="2386">
        <v>23</v>
      </c>
      <c r="S18" s="2386">
        <v>47.3</v>
      </c>
      <c r="T18" s="2386">
        <v>27.1</v>
      </c>
      <c r="U18" s="903"/>
    </row>
    <row r="19" spans="1:21" ht="14.1" customHeight="1" x14ac:dyDescent="0.25">
      <c r="A19" s="1083"/>
      <c r="D19" s="17" t="s">
        <v>694</v>
      </c>
      <c r="E19" s="2385">
        <v>30.8</v>
      </c>
      <c r="F19" s="2386">
        <v>33.6</v>
      </c>
      <c r="G19" s="2386">
        <v>41.5</v>
      </c>
      <c r="H19" s="2387">
        <v>24.8</v>
      </c>
      <c r="I19" s="2386">
        <v>40.6</v>
      </c>
      <c r="J19" s="2386">
        <v>34.6</v>
      </c>
      <c r="K19" s="2387">
        <v>24.8</v>
      </c>
      <c r="L19" s="2386">
        <v>36.6</v>
      </c>
      <c r="M19" s="2386">
        <v>33.6</v>
      </c>
      <c r="N19" s="2386">
        <v>29.8</v>
      </c>
      <c r="O19" s="2386">
        <v>33</v>
      </c>
      <c r="P19" s="2386">
        <v>33</v>
      </c>
      <c r="Q19" s="2386">
        <v>34</v>
      </c>
      <c r="R19" s="2386">
        <v>28.1</v>
      </c>
      <c r="S19" s="2386">
        <v>37.700000000000003</v>
      </c>
      <c r="T19" s="2386">
        <v>26.5</v>
      </c>
      <c r="U19" s="903"/>
    </row>
    <row r="20" spans="1:21" ht="14.1" customHeight="1" x14ac:dyDescent="0.25">
      <c r="A20" s="1083"/>
      <c r="D20" s="17" t="s">
        <v>1042</v>
      </c>
      <c r="E20" s="2385">
        <v>25.6</v>
      </c>
      <c r="F20" s="2386">
        <v>38.700000000000003</v>
      </c>
      <c r="G20" s="2386">
        <v>34.4</v>
      </c>
      <c r="H20" s="2387">
        <v>26.9</v>
      </c>
      <c r="I20" s="2386">
        <v>43.1</v>
      </c>
      <c r="J20" s="2386">
        <v>33</v>
      </c>
      <c r="K20" s="2387">
        <v>23.9</v>
      </c>
      <c r="L20" s="2386">
        <v>35.6</v>
      </c>
      <c r="M20" s="2386">
        <v>33.1</v>
      </c>
      <c r="N20" s="2386">
        <v>31.3</v>
      </c>
      <c r="O20" s="2386">
        <v>35.4</v>
      </c>
      <c r="P20" s="2386">
        <v>32.700000000000003</v>
      </c>
      <c r="Q20" s="2386">
        <v>32</v>
      </c>
      <c r="R20" s="2386">
        <v>29.1</v>
      </c>
      <c r="S20" s="2386">
        <v>38.6</v>
      </c>
      <c r="T20" s="2386">
        <v>28.8</v>
      </c>
      <c r="U20" s="903"/>
    </row>
    <row r="21" spans="1:21" ht="14.1" customHeight="1" x14ac:dyDescent="0.25">
      <c r="A21" s="1083"/>
      <c r="D21" s="17" t="s">
        <v>23</v>
      </c>
      <c r="E21" s="2385">
        <v>24.3</v>
      </c>
      <c r="F21" s="2386">
        <v>46.1</v>
      </c>
      <c r="G21" s="2386">
        <v>32.700000000000003</v>
      </c>
      <c r="H21" s="2387">
        <v>21.2</v>
      </c>
      <c r="I21" s="2386">
        <v>51.2</v>
      </c>
      <c r="J21" s="2386">
        <v>25.9</v>
      </c>
      <c r="K21" s="2387">
        <v>22.8</v>
      </c>
      <c r="L21" s="2386">
        <v>45.8</v>
      </c>
      <c r="M21" s="2386">
        <v>29.6</v>
      </c>
      <c r="N21" s="2386">
        <v>24.6</v>
      </c>
      <c r="O21" s="2386">
        <v>45.2</v>
      </c>
      <c r="P21" s="2386">
        <v>25.8</v>
      </c>
      <c r="Q21" s="2386">
        <v>29</v>
      </c>
      <c r="R21" s="2386">
        <v>24.5</v>
      </c>
      <c r="S21" s="2386">
        <v>46.1</v>
      </c>
      <c r="T21" s="2386">
        <v>26.4</v>
      </c>
      <c r="U21" s="903"/>
    </row>
    <row r="22" spans="1:21" ht="14.1" customHeight="1" x14ac:dyDescent="0.25">
      <c r="A22" s="1083"/>
      <c r="D22" s="17" t="s">
        <v>1043</v>
      </c>
      <c r="E22" s="2385">
        <v>21.4</v>
      </c>
      <c r="F22" s="2386">
        <v>37.299999999999997</v>
      </c>
      <c r="G22" s="2386">
        <v>32.200000000000003</v>
      </c>
      <c r="H22" s="2387">
        <v>30.6</v>
      </c>
      <c r="I22" s="2386">
        <v>40.299999999999997</v>
      </c>
      <c r="J22" s="2386">
        <v>29.8</v>
      </c>
      <c r="K22" s="2387">
        <v>29.9</v>
      </c>
      <c r="L22" s="2386">
        <v>38.4</v>
      </c>
      <c r="M22" s="2386">
        <v>31.8</v>
      </c>
      <c r="N22" s="2386">
        <v>29.8</v>
      </c>
      <c r="O22" s="2386">
        <v>32.799999999999997</v>
      </c>
      <c r="P22" s="2386">
        <v>35.5</v>
      </c>
      <c r="Q22" s="2386">
        <v>31.7</v>
      </c>
      <c r="R22" s="2386">
        <v>29.3</v>
      </c>
      <c r="S22" s="2386">
        <v>35.4</v>
      </c>
      <c r="T22" s="2386">
        <v>31.7</v>
      </c>
      <c r="U22" s="903"/>
    </row>
    <row r="23" spans="1:21" ht="14.1" customHeight="1" x14ac:dyDescent="0.25">
      <c r="A23" s="1083"/>
      <c r="D23" s="17" t="s">
        <v>25</v>
      </c>
      <c r="E23" s="2385">
        <v>36.200000000000003</v>
      </c>
      <c r="F23" s="2386">
        <v>49.3</v>
      </c>
      <c r="G23" s="2386">
        <v>25.7</v>
      </c>
      <c r="H23" s="2387">
        <v>25</v>
      </c>
      <c r="I23" s="2386">
        <v>53.9</v>
      </c>
      <c r="J23" s="2386">
        <v>23.9</v>
      </c>
      <c r="K23" s="2387">
        <v>22.2</v>
      </c>
      <c r="L23" s="2386">
        <v>47.4</v>
      </c>
      <c r="M23" s="2386">
        <v>25.8</v>
      </c>
      <c r="N23" s="2386">
        <v>26.8</v>
      </c>
      <c r="O23" s="2386">
        <v>47.7</v>
      </c>
      <c r="P23" s="2386">
        <v>21.1</v>
      </c>
      <c r="Q23" s="2386">
        <v>31.2</v>
      </c>
      <c r="R23" s="2386">
        <v>30.7</v>
      </c>
      <c r="S23" s="2386">
        <v>47.5</v>
      </c>
      <c r="T23" s="2386">
        <v>17.399999999999999</v>
      </c>
      <c r="U23" s="903"/>
    </row>
    <row r="24" spans="1:21" ht="14.1" customHeight="1" x14ac:dyDescent="0.25">
      <c r="A24" s="1083"/>
      <c r="D24" s="17" t="s">
        <v>1044</v>
      </c>
      <c r="E24" s="2385">
        <v>28.4</v>
      </c>
      <c r="F24" s="2386">
        <v>50.8</v>
      </c>
      <c r="G24" s="2386">
        <v>21.5</v>
      </c>
      <c r="H24" s="2387">
        <v>27.8</v>
      </c>
      <c r="I24" s="2386">
        <v>53.4</v>
      </c>
      <c r="J24" s="2386">
        <v>20.2</v>
      </c>
      <c r="K24" s="2387">
        <v>26.3</v>
      </c>
      <c r="L24" s="2386">
        <v>43.8</v>
      </c>
      <c r="M24" s="2386">
        <v>23.1</v>
      </c>
      <c r="N24" s="2386">
        <v>33.1</v>
      </c>
      <c r="O24" s="2386">
        <v>42.8</v>
      </c>
      <c r="P24" s="2386">
        <v>26.5</v>
      </c>
      <c r="Q24" s="2386">
        <v>30.7</v>
      </c>
      <c r="R24" s="2386">
        <v>22.1</v>
      </c>
      <c r="S24" s="2386">
        <v>43.1</v>
      </c>
      <c r="T24" s="2386">
        <v>23.6</v>
      </c>
      <c r="U24" s="903"/>
    </row>
    <row r="25" spans="1:21" ht="14.1" customHeight="1" x14ac:dyDescent="0.25">
      <c r="A25" s="1083"/>
      <c r="D25" s="2063" t="s">
        <v>27</v>
      </c>
      <c r="E25" s="2388">
        <v>34.6</v>
      </c>
      <c r="F25" s="2389">
        <v>51.7</v>
      </c>
      <c r="G25" s="2389">
        <v>13.8</v>
      </c>
      <c r="H25" s="2390">
        <v>34.4</v>
      </c>
      <c r="I25" s="2389">
        <v>57.7</v>
      </c>
      <c r="J25" s="2389">
        <v>12.3</v>
      </c>
      <c r="K25" s="2390">
        <v>29.9</v>
      </c>
      <c r="L25" s="2391">
        <v>52.2</v>
      </c>
      <c r="M25" s="2391">
        <v>12.9</v>
      </c>
      <c r="N25" s="2391">
        <v>34.9</v>
      </c>
      <c r="O25" s="2391">
        <v>47.1</v>
      </c>
      <c r="P25" s="2391">
        <v>14</v>
      </c>
      <c r="Q25" s="2391">
        <v>38.799999999999997</v>
      </c>
      <c r="R25" s="2391">
        <v>32.299999999999997</v>
      </c>
      <c r="S25" s="2391">
        <v>51.7</v>
      </c>
      <c r="T25" s="2391">
        <v>12.6</v>
      </c>
      <c r="U25" s="903"/>
    </row>
    <row r="26" spans="1:21" ht="14.1" customHeight="1" x14ac:dyDescent="0.25">
      <c r="A26" s="1083"/>
      <c r="D26" s="2392" t="s">
        <v>28</v>
      </c>
      <c r="E26" s="2393">
        <v>28.8</v>
      </c>
      <c r="F26" s="2394">
        <v>41.3</v>
      </c>
      <c r="G26" s="2395">
        <v>31.6</v>
      </c>
      <c r="H26" s="2396">
        <v>27</v>
      </c>
      <c r="I26" s="2394">
        <v>46.5</v>
      </c>
      <c r="J26" s="2395">
        <v>27.7</v>
      </c>
      <c r="K26" s="2396">
        <v>25.8</v>
      </c>
      <c r="L26" s="2393">
        <v>41.8</v>
      </c>
      <c r="M26" s="2393">
        <v>28.1</v>
      </c>
      <c r="N26" s="2393">
        <v>30.1</v>
      </c>
      <c r="O26" s="2393">
        <v>39.4</v>
      </c>
      <c r="P26" s="2393">
        <v>27.6</v>
      </c>
      <c r="Q26" s="2393">
        <v>33</v>
      </c>
      <c r="R26" s="2393">
        <v>28.6</v>
      </c>
      <c r="S26" s="2393">
        <v>42.1</v>
      </c>
      <c r="T26" s="2393">
        <v>24.5</v>
      </c>
      <c r="U26" s="2397"/>
    </row>
    <row r="27" spans="1:21" ht="14.1" customHeight="1" x14ac:dyDescent="0.25">
      <c r="A27" s="1083"/>
      <c r="D27" s="2366"/>
      <c r="E27" s="2373"/>
      <c r="F27" s="2373"/>
      <c r="G27" s="2373"/>
      <c r="H27" s="2368"/>
      <c r="I27" s="2368"/>
      <c r="J27" s="2373"/>
      <c r="K27" s="2373"/>
      <c r="L27" s="2365"/>
      <c r="U27" s="2365"/>
    </row>
    <row r="28" spans="1:21" ht="14.1" customHeight="1" x14ac:dyDescent="0.25">
      <c r="A28" s="1083"/>
      <c r="D28" s="2398"/>
      <c r="E28" s="2399"/>
      <c r="F28" s="2399"/>
      <c r="G28" s="2399"/>
      <c r="H28" s="2400"/>
      <c r="I28" s="2400"/>
      <c r="J28" s="2399"/>
      <c r="K28" s="2399"/>
    </row>
    <row r="29" spans="1:21" x14ac:dyDescent="0.25">
      <c r="A29" s="1083"/>
      <c r="D29" s="2401" t="s">
        <v>258</v>
      </c>
      <c r="E29" s="2402"/>
      <c r="F29" s="2403"/>
      <c r="G29" s="2404"/>
      <c r="H29" s="2400"/>
      <c r="I29" s="2400"/>
      <c r="J29" s="2399"/>
      <c r="K29" s="2399"/>
    </row>
    <row r="30" spans="1:21" x14ac:dyDescent="0.25">
      <c r="A30" s="1083"/>
      <c r="D30" s="2366"/>
      <c r="E30" s="2405" t="s">
        <v>12</v>
      </c>
      <c r="F30" s="2405" t="s">
        <v>13</v>
      </c>
      <c r="G30" s="2405" t="s">
        <v>14</v>
      </c>
      <c r="H30" s="2405" t="s">
        <v>15</v>
      </c>
      <c r="I30" s="2405" t="s">
        <v>333</v>
      </c>
      <c r="J30" s="2400"/>
      <c r="K30" s="2399"/>
      <c r="L30" s="2399"/>
    </row>
    <row r="31" spans="1:21" ht="14.1" customHeight="1" x14ac:dyDescent="0.25">
      <c r="A31" s="1083"/>
      <c r="D31" s="2366" t="s">
        <v>19</v>
      </c>
      <c r="E31" s="2406">
        <v>66</v>
      </c>
      <c r="F31" s="2406">
        <v>64.900000000000006</v>
      </c>
      <c r="G31" s="2406">
        <v>64.900000000000006</v>
      </c>
      <c r="H31" s="2406">
        <v>59</v>
      </c>
      <c r="I31" s="2406">
        <v>56</v>
      </c>
      <c r="J31" s="2400"/>
      <c r="K31" s="2399"/>
      <c r="L31" s="2399"/>
    </row>
    <row r="32" spans="1:21" ht="14.1" customHeight="1" x14ac:dyDescent="0.25">
      <c r="A32" s="1083"/>
      <c r="D32" s="2366" t="s">
        <v>20</v>
      </c>
      <c r="E32" s="2406">
        <v>60.9</v>
      </c>
      <c r="F32" s="2406">
        <v>58.7</v>
      </c>
      <c r="G32" s="2406">
        <v>58.7</v>
      </c>
      <c r="H32" s="2406">
        <v>64</v>
      </c>
      <c r="I32" s="2406">
        <v>64</v>
      </c>
      <c r="J32" s="2400"/>
      <c r="K32" s="2399"/>
      <c r="L32" s="2399"/>
    </row>
    <row r="33" spans="1:19" ht="14.1" customHeight="1" x14ac:dyDescent="0.25">
      <c r="A33" s="1083"/>
      <c r="D33" s="2366" t="s">
        <v>21</v>
      </c>
      <c r="E33" s="2406">
        <v>59.1</v>
      </c>
      <c r="F33" s="2406">
        <v>57.5</v>
      </c>
      <c r="G33" s="2406">
        <v>57.5</v>
      </c>
      <c r="H33" s="2406">
        <v>57</v>
      </c>
      <c r="I33" s="2406">
        <v>53</v>
      </c>
      <c r="J33" s="2400"/>
      <c r="K33" s="2399"/>
      <c r="L33" s="2399"/>
    </row>
    <row r="34" spans="1:19" ht="14.1" customHeight="1" x14ac:dyDescent="0.25">
      <c r="A34" s="1083"/>
      <c r="D34" s="2366" t="s">
        <v>1045</v>
      </c>
      <c r="E34" s="2406">
        <v>56.5</v>
      </c>
      <c r="F34" s="2406">
        <v>53</v>
      </c>
      <c r="G34" s="2406">
        <v>53</v>
      </c>
      <c r="H34" s="2406">
        <v>51</v>
      </c>
      <c r="I34" s="2406">
        <v>50</v>
      </c>
      <c r="J34" s="2400"/>
      <c r="K34" s="2399"/>
      <c r="L34" s="2399"/>
    </row>
    <row r="35" spans="1:19" ht="14.1" customHeight="1" x14ac:dyDescent="0.25">
      <c r="A35" s="1083"/>
      <c r="D35" s="2366" t="s">
        <v>23</v>
      </c>
      <c r="E35" s="2406">
        <v>59.1</v>
      </c>
      <c r="F35" s="2406">
        <v>58.8</v>
      </c>
      <c r="G35" s="2406">
        <v>58.8</v>
      </c>
      <c r="H35" s="2406">
        <v>65</v>
      </c>
      <c r="I35" s="2406">
        <v>58</v>
      </c>
      <c r="J35" s="2400"/>
      <c r="K35" s="2399"/>
      <c r="L35" s="2399"/>
    </row>
    <row r="36" spans="1:19" ht="14.1" customHeight="1" x14ac:dyDescent="0.25">
      <c r="A36" s="1083"/>
      <c r="D36" s="2366" t="s">
        <v>24</v>
      </c>
      <c r="E36" s="2406">
        <v>56.5</v>
      </c>
      <c r="F36" s="2406">
        <v>53.6</v>
      </c>
      <c r="G36" s="2406">
        <v>53.6</v>
      </c>
      <c r="H36" s="2406">
        <v>57</v>
      </c>
      <c r="I36" s="2406">
        <v>56</v>
      </c>
      <c r="J36" s="2400"/>
      <c r="K36" s="2399"/>
      <c r="L36" s="2399"/>
    </row>
    <row r="37" spans="1:19" ht="14.1" customHeight="1" x14ac:dyDescent="0.25">
      <c r="A37" s="1083"/>
      <c r="D37" s="2366" t="s">
        <v>25</v>
      </c>
      <c r="E37" s="2406">
        <v>50.7</v>
      </c>
      <c r="F37" s="2406">
        <v>47.5</v>
      </c>
      <c r="G37" s="2406">
        <v>47.5</v>
      </c>
      <c r="H37" s="2406">
        <v>50</v>
      </c>
      <c r="I37" s="2406">
        <v>47</v>
      </c>
      <c r="J37" s="2400"/>
      <c r="K37" s="2399"/>
      <c r="L37" s="2399"/>
    </row>
    <row r="38" spans="1:19" ht="14.1" customHeight="1" x14ac:dyDescent="0.25">
      <c r="A38" s="1083"/>
      <c r="D38" s="2366" t="s">
        <v>26</v>
      </c>
      <c r="E38" s="2406">
        <v>60</v>
      </c>
      <c r="F38" s="2406">
        <v>50.2</v>
      </c>
      <c r="G38" s="2406">
        <v>50.2</v>
      </c>
      <c r="H38" s="2406">
        <v>60</v>
      </c>
      <c r="I38" s="2406">
        <v>52</v>
      </c>
      <c r="J38" s="2400"/>
      <c r="K38" s="2399"/>
      <c r="L38" s="2399"/>
    </row>
    <row r="39" spans="1:19" ht="14.1" customHeight="1" x14ac:dyDescent="0.25">
      <c r="A39" s="1083"/>
      <c r="D39" s="2407" t="s">
        <v>27</v>
      </c>
      <c r="E39" s="2408">
        <v>65.5</v>
      </c>
      <c r="F39" s="2408">
        <v>60.4</v>
      </c>
      <c r="G39" s="2408">
        <v>60.4</v>
      </c>
      <c r="H39" s="2408">
        <v>58</v>
      </c>
      <c r="I39" s="2408">
        <v>58</v>
      </c>
      <c r="J39" s="2400"/>
      <c r="K39" s="2399"/>
      <c r="L39" s="2399"/>
    </row>
    <row r="40" spans="1:19" ht="14.1" customHeight="1" x14ac:dyDescent="0.25">
      <c r="A40" s="1083"/>
      <c r="D40" s="2392" t="s">
        <v>28</v>
      </c>
      <c r="E40" s="2409">
        <v>59.9</v>
      </c>
      <c r="F40" s="2409">
        <v>56.9</v>
      </c>
      <c r="G40" s="2409">
        <v>58.8</v>
      </c>
      <c r="H40" s="2409">
        <v>57.3</v>
      </c>
      <c r="I40" s="2409">
        <v>54.3</v>
      </c>
      <c r="J40" s="2400"/>
      <c r="K40" s="2399"/>
      <c r="L40" s="2399"/>
    </row>
    <row r="41" spans="1:19" ht="14.1" customHeight="1" x14ac:dyDescent="0.25">
      <c r="A41" s="1083"/>
      <c r="D41" s="2398"/>
      <c r="E41" s="2399"/>
      <c r="F41" s="2399"/>
      <c r="G41" s="900"/>
      <c r="H41" s="2400"/>
      <c r="I41" s="2400"/>
      <c r="J41" s="2399"/>
      <c r="K41" s="2399"/>
    </row>
    <row r="42" spans="1:19" ht="14.1" customHeight="1" x14ac:dyDescent="0.25">
      <c r="A42" s="1083"/>
      <c r="G42" s="900"/>
      <c r="R42" s="2410"/>
    </row>
    <row r="43" spans="1:19" ht="14.1" customHeight="1" x14ac:dyDescent="0.25">
      <c r="A43" s="1076">
        <v>5</v>
      </c>
      <c r="B43" s="902" t="s">
        <v>90</v>
      </c>
      <c r="D43" s="2401" t="s">
        <v>276</v>
      </c>
      <c r="G43" s="900"/>
      <c r="R43" s="2410"/>
    </row>
    <row r="44" spans="1:19" ht="14.1" customHeight="1" x14ac:dyDescent="0.25">
      <c r="A44" s="1083"/>
      <c r="D44" s="2366"/>
      <c r="E44" s="2405" t="s">
        <v>12</v>
      </c>
      <c r="F44" s="2405" t="s">
        <v>13</v>
      </c>
      <c r="G44" s="2405" t="s">
        <v>14</v>
      </c>
      <c r="H44" s="1902" t="s">
        <v>15</v>
      </c>
      <c r="I44" s="1902" t="s">
        <v>333</v>
      </c>
      <c r="S44" s="2410"/>
    </row>
    <row r="45" spans="1:19" ht="14.1" customHeight="1" x14ac:dyDescent="0.25">
      <c r="A45" s="1083"/>
      <c r="D45" s="2366" t="s">
        <v>19</v>
      </c>
      <c r="E45" s="2406">
        <v>68.900000000000006</v>
      </c>
      <c r="F45" s="2406">
        <v>56</v>
      </c>
      <c r="G45" s="563">
        <v>56</v>
      </c>
      <c r="H45" s="2411">
        <v>42.9</v>
      </c>
      <c r="I45" s="2411">
        <v>37.9</v>
      </c>
      <c r="S45" s="2410"/>
    </row>
    <row r="46" spans="1:19" ht="14.1" customHeight="1" x14ac:dyDescent="0.25">
      <c r="D46" s="2366" t="s">
        <v>20</v>
      </c>
      <c r="E46" s="2406">
        <v>69.7</v>
      </c>
      <c r="F46" s="2406">
        <v>59.9</v>
      </c>
      <c r="G46" s="563">
        <v>59.9</v>
      </c>
      <c r="H46" s="2411">
        <v>48</v>
      </c>
      <c r="I46" s="2411">
        <v>43.6</v>
      </c>
    </row>
    <row r="47" spans="1:19" ht="14.1" customHeight="1" x14ac:dyDescent="0.25">
      <c r="A47" s="1083"/>
      <c r="D47" s="2366" t="s">
        <v>21</v>
      </c>
      <c r="E47" s="2406">
        <v>57.4</v>
      </c>
      <c r="F47" s="2406">
        <v>49.4</v>
      </c>
      <c r="G47" s="563">
        <v>49.4</v>
      </c>
      <c r="H47" s="2411">
        <v>43.2</v>
      </c>
      <c r="I47" s="2411">
        <v>39.700000000000003</v>
      </c>
    </row>
    <row r="48" spans="1:19" ht="14.1" customHeight="1" x14ac:dyDescent="0.25">
      <c r="A48" s="1083"/>
      <c r="D48" s="2366" t="s">
        <v>1045</v>
      </c>
      <c r="E48" s="2406">
        <v>70.8</v>
      </c>
      <c r="F48" s="2406">
        <v>59.8</v>
      </c>
      <c r="G48" s="563">
        <v>59.8</v>
      </c>
      <c r="H48" s="2411">
        <v>45.2</v>
      </c>
      <c r="I48" s="2411">
        <v>39.700000000000003</v>
      </c>
    </row>
    <row r="49" spans="1:20" ht="14.1" customHeight="1" x14ac:dyDescent="0.25">
      <c r="A49" s="1083"/>
      <c r="D49" s="2366" t="s">
        <v>23</v>
      </c>
      <c r="E49" s="2406">
        <v>76.2</v>
      </c>
      <c r="F49" s="2406">
        <v>71.599999999999994</v>
      </c>
      <c r="G49" s="563">
        <v>71.599999999999994</v>
      </c>
      <c r="H49" s="2411">
        <v>68.2</v>
      </c>
      <c r="I49" s="2411">
        <v>64.2</v>
      </c>
    </row>
    <row r="50" spans="1:20" ht="14.1" customHeight="1" x14ac:dyDescent="0.25">
      <c r="A50" s="1083"/>
      <c r="D50" s="2366" t="s">
        <v>24</v>
      </c>
      <c r="E50" s="2406">
        <v>72.3</v>
      </c>
      <c r="F50" s="2406">
        <v>60.3</v>
      </c>
      <c r="G50" s="563">
        <v>60.3</v>
      </c>
      <c r="H50" s="2411">
        <v>50.6</v>
      </c>
      <c r="I50" s="2411">
        <v>44.3</v>
      </c>
    </row>
    <row r="51" spans="1:20" ht="14.1" customHeight="1" x14ac:dyDescent="0.25">
      <c r="D51" s="2366" t="s">
        <v>25</v>
      </c>
      <c r="E51" s="2406">
        <v>64.8</v>
      </c>
      <c r="F51" s="2406">
        <v>53.5</v>
      </c>
      <c r="G51" s="563">
        <v>53.5</v>
      </c>
      <c r="H51" s="2411">
        <v>43.5</v>
      </c>
      <c r="I51" s="2411">
        <v>39.700000000000003</v>
      </c>
      <c r="M51" s="332" t="s">
        <v>325</v>
      </c>
    </row>
    <row r="52" spans="1:20" s="2416" customFormat="1" x14ac:dyDescent="0.25">
      <c r="A52" s="1076"/>
      <c r="B52" s="2412"/>
      <c r="C52" s="2412"/>
      <c r="D52" s="2366" t="s">
        <v>26</v>
      </c>
      <c r="E52" s="2406">
        <v>71.2</v>
      </c>
      <c r="F52" s="2406">
        <v>61.9</v>
      </c>
      <c r="G52" s="2413">
        <v>61.9</v>
      </c>
      <c r="H52" s="2411">
        <v>47.9</v>
      </c>
      <c r="I52" s="2411">
        <v>41</v>
      </c>
      <c r="J52" s="2414"/>
      <c r="K52" s="2414"/>
      <c r="L52" s="2357"/>
      <c r="M52" s="2357"/>
      <c r="N52" s="2415"/>
    </row>
    <row r="53" spans="1:20" x14ac:dyDescent="0.25">
      <c r="A53" s="1076"/>
      <c r="B53" s="2417"/>
      <c r="C53" s="902"/>
      <c r="D53" s="2407" t="s">
        <v>27</v>
      </c>
      <c r="E53" s="2408">
        <v>45.1</v>
      </c>
      <c r="F53" s="2408">
        <v>32.299999999999997</v>
      </c>
      <c r="G53" s="1580">
        <v>32.299999999999997</v>
      </c>
      <c r="H53" s="2418">
        <v>24.5</v>
      </c>
      <c r="I53" s="2418">
        <v>21.3</v>
      </c>
      <c r="J53" s="139"/>
      <c r="K53" s="139"/>
      <c r="L53" s="139"/>
      <c r="M53" s="139"/>
      <c r="N53" s="317"/>
      <c r="O53" s="2419"/>
    </row>
    <row r="54" spans="1:20" x14ac:dyDescent="0.25">
      <c r="C54" s="899"/>
      <c r="D54" s="2392" t="s">
        <v>28</v>
      </c>
      <c r="E54" s="2409">
        <v>64.2</v>
      </c>
      <c r="F54" s="2409">
        <v>54.4</v>
      </c>
      <c r="G54" s="2409">
        <v>52.3</v>
      </c>
      <c r="H54" s="2409">
        <v>44.9</v>
      </c>
      <c r="I54" s="2409">
        <v>41.1</v>
      </c>
      <c r="J54" s="120"/>
      <c r="K54" s="120"/>
      <c r="L54" s="120"/>
      <c r="M54" s="120"/>
      <c r="N54" s="320"/>
      <c r="O54" s="2419"/>
    </row>
    <row r="55" spans="1:20" x14ac:dyDescent="0.25">
      <c r="A55" s="1076"/>
      <c r="B55" s="899"/>
      <c r="C55" s="899"/>
      <c r="D55" s="900"/>
      <c r="E55" s="120"/>
      <c r="F55" s="120"/>
      <c r="H55" s="120"/>
      <c r="I55" s="120"/>
      <c r="J55" s="120"/>
      <c r="K55" s="120"/>
      <c r="L55" s="120"/>
      <c r="M55" s="320"/>
      <c r="N55" s="2419"/>
    </row>
    <row r="56" spans="1:20" ht="13.5" customHeight="1" x14ac:dyDescent="0.25">
      <c r="B56" s="899"/>
      <c r="C56" s="899"/>
      <c r="D56" s="900"/>
      <c r="E56" s="900"/>
      <c r="F56" s="900"/>
      <c r="G56" s="900"/>
      <c r="H56" s="900"/>
      <c r="I56" s="900"/>
      <c r="J56" s="900"/>
      <c r="K56" s="900"/>
      <c r="L56" s="900"/>
      <c r="M56" s="2356"/>
    </row>
    <row r="57" spans="1:20" x14ac:dyDescent="0.25">
      <c r="A57" s="1083">
        <v>7</v>
      </c>
      <c r="B57" s="782" t="s">
        <v>29</v>
      </c>
      <c r="C57" s="782"/>
      <c r="D57" s="4048" t="s">
        <v>1046</v>
      </c>
      <c r="E57" s="4049"/>
      <c r="F57" s="4049"/>
      <c r="G57" s="4049"/>
      <c r="H57" s="4049"/>
      <c r="I57" s="4049"/>
      <c r="J57" s="4049"/>
      <c r="K57" s="4049"/>
      <c r="L57" s="4049"/>
      <c r="M57" s="4049"/>
      <c r="N57" s="4049"/>
      <c r="O57" s="4049"/>
      <c r="P57" s="4049"/>
      <c r="Q57" s="4049"/>
      <c r="R57" s="4049"/>
      <c r="S57" s="4049"/>
      <c r="T57" s="4050"/>
    </row>
    <row r="58" spans="1:20" ht="45" customHeight="1" x14ac:dyDescent="0.25">
      <c r="A58" s="1083">
        <v>8</v>
      </c>
      <c r="B58" s="818" t="s">
        <v>32</v>
      </c>
      <c r="C58" s="818"/>
      <c r="D58" s="4048" t="s">
        <v>1047</v>
      </c>
      <c r="E58" s="4049"/>
      <c r="F58" s="4049"/>
      <c r="G58" s="4049"/>
      <c r="H58" s="4049"/>
      <c r="I58" s="4049"/>
      <c r="J58" s="4049"/>
      <c r="K58" s="4049"/>
      <c r="L58" s="4049"/>
      <c r="M58" s="4049"/>
      <c r="N58" s="4049"/>
      <c r="O58" s="4049"/>
      <c r="P58" s="4049"/>
      <c r="Q58" s="4049"/>
      <c r="R58" s="4049"/>
      <c r="S58" s="4049"/>
      <c r="T58" s="4050"/>
    </row>
    <row r="59" spans="1:20" ht="17.25" customHeight="1" x14ac:dyDescent="0.25">
      <c r="A59" s="1083">
        <v>9</v>
      </c>
      <c r="B59" s="782" t="s">
        <v>31</v>
      </c>
      <c r="C59" s="782"/>
      <c r="D59" s="4048" t="s">
        <v>1048</v>
      </c>
      <c r="E59" s="4049"/>
      <c r="F59" s="4049"/>
      <c r="G59" s="4049"/>
      <c r="H59" s="4049"/>
      <c r="I59" s="4049"/>
      <c r="J59" s="4049"/>
      <c r="K59" s="4049"/>
      <c r="L59" s="4049"/>
      <c r="M59" s="4049"/>
      <c r="N59" s="4049"/>
      <c r="O59" s="4049"/>
      <c r="P59" s="4049"/>
      <c r="Q59" s="4049"/>
      <c r="R59" s="4049"/>
      <c r="S59" s="4049"/>
      <c r="T59" s="4050"/>
    </row>
    <row r="60" spans="1:20" ht="83.25" customHeight="1" x14ac:dyDescent="0.25">
      <c r="A60" s="1083">
        <v>10</v>
      </c>
      <c r="B60" s="782" t="s">
        <v>157</v>
      </c>
      <c r="C60" s="782"/>
      <c r="D60" s="4048" t="s">
        <v>1049</v>
      </c>
      <c r="E60" s="4049"/>
      <c r="F60" s="4049"/>
      <c r="G60" s="4049"/>
      <c r="H60" s="4049"/>
      <c r="I60" s="4049"/>
      <c r="J60" s="4049"/>
      <c r="K60" s="4049"/>
      <c r="L60" s="4049"/>
      <c r="M60" s="4049"/>
      <c r="N60" s="4049"/>
      <c r="O60" s="4049"/>
      <c r="P60" s="4049"/>
      <c r="Q60" s="4049"/>
      <c r="R60" s="4049"/>
      <c r="S60" s="4049"/>
      <c r="T60" s="4050"/>
    </row>
    <row r="62" spans="1:20" ht="13.5" customHeight="1" x14ac:dyDescent="0.25"/>
    <row r="63" spans="1:20" ht="9.75" customHeight="1" x14ac:dyDescent="0.25">
      <c r="B63" s="899"/>
      <c r="C63" s="899"/>
      <c r="D63" s="900"/>
      <c r="E63" s="900"/>
      <c r="F63" s="900"/>
      <c r="G63" s="900"/>
      <c r="H63" s="900"/>
      <c r="I63" s="900"/>
      <c r="J63" s="900"/>
      <c r="K63" s="900"/>
      <c r="L63" s="900"/>
      <c r="M63" s="2356"/>
    </row>
    <row r="64" spans="1:20" ht="13.5" customHeight="1" x14ac:dyDescent="0.25"/>
    <row r="65" spans="2:12" ht="13.5" customHeight="1" x14ac:dyDescent="0.25"/>
    <row r="66" spans="2:12" ht="12.75" customHeight="1" x14ac:dyDescent="0.25"/>
    <row r="67" spans="2:12" ht="27.75" customHeight="1" x14ac:dyDescent="0.25"/>
    <row r="68" spans="2:12" x14ac:dyDescent="0.25">
      <c r="B68" s="899"/>
      <c r="C68" s="899"/>
      <c r="D68" s="267"/>
      <c r="E68" s="267"/>
      <c r="F68" s="267"/>
      <c r="G68" s="267"/>
      <c r="H68" s="267"/>
      <c r="I68" s="267"/>
      <c r="J68" s="267"/>
      <c r="K68" s="267"/>
      <c r="L68" s="267"/>
    </row>
    <row r="69" spans="2:12" x14ac:dyDescent="0.25">
      <c r="B69" s="899"/>
      <c r="C69" s="899"/>
      <c r="D69" s="267"/>
      <c r="E69" s="267"/>
      <c r="F69" s="267"/>
      <c r="G69" s="267"/>
      <c r="H69" s="267"/>
      <c r="I69" s="267"/>
      <c r="J69" s="267"/>
      <c r="K69" s="267"/>
      <c r="L69" s="267"/>
    </row>
    <row r="70" spans="2:12" x14ac:dyDescent="0.25">
      <c r="B70" s="899"/>
      <c r="C70" s="899"/>
      <c r="D70" s="267"/>
      <c r="E70" s="267"/>
      <c r="F70" s="267"/>
      <c r="G70" s="267"/>
      <c r="H70" s="267"/>
      <c r="I70" s="267"/>
      <c r="J70" s="267"/>
      <c r="K70" s="267"/>
      <c r="L70" s="267"/>
    </row>
    <row r="71" spans="2:12" x14ac:dyDescent="0.25">
      <c r="B71" s="899"/>
      <c r="C71" s="899"/>
      <c r="D71" s="267"/>
      <c r="E71" s="267"/>
      <c r="F71" s="267"/>
      <c r="G71" s="267"/>
      <c r="H71" s="267"/>
      <c r="I71" s="267"/>
      <c r="J71" s="267"/>
      <c r="K71" s="267"/>
      <c r="L71" s="267"/>
    </row>
    <row r="72" spans="2:12" x14ac:dyDescent="0.25">
      <c r="B72" s="899"/>
      <c r="C72" s="899"/>
      <c r="D72" s="267"/>
      <c r="E72" s="267"/>
      <c r="F72" s="267"/>
      <c r="G72" s="267"/>
      <c r="H72" s="267"/>
      <c r="I72" s="267"/>
      <c r="J72" s="267"/>
      <c r="K72" s="267"/>
      <c r="L72" s="267"/>
    </row>
    <row r="73" spans="2:12" x14ac:dyDescent="0.25">
      <c r="B73" s="899"/>
      <c r="C73" s="899"/>
      <c r="D73" s="267"/>
      <c r="E73" s="267"/>
      <c r="F73" s="267"/>
      <c r="G73" s="267"/>
      <c r="H73" s="267"/>
      <c r="I73" s="267"/>
      <c r="J73" s="267"/>
      <c r="K73" s="267"/>
      <c r="L73" s="267"/>
    </row>
    <row r="74" spans="2:12" x14ac:dyDescent="0.25">
      <c r="B74" s="899"/>
      <c r="C74" s="899"/>
      <c r="D74" s="267"/>
      <c r="E74" s="267"/>
      <c r="F74" s="267"/>
      <c r="G74" s="267"/>
      <c r="H74" s="267"/>
      <c r="I74" s="267"/>
      <c r="J74" s="267"/>
      <c r="K74" s="267"/>
      <c r="L74" s="267"/>
    </row>
    <row r="75" spans="2:12" x14ac:dyDescent="0.25">
      <c r="B75" s="899"/>
      <c r="C75" s="899"/>
      <c r="D75" s="267"/>
      <c r="E75" s="267"/>
      <c r="F75" s="267"/>
      <c r="G75" s="267"/>
      <c r="H75" s="267"/>
      <c r="I75" s="267"/>
      <c r="J75" s="267"/>
      <c r="K75" s="267"/>
      <c r="L75" s="267"/>
    </row>
    <row r="76" spans="2:12" x14ac:dyDescent="0.25">
      <c r="B76" s="899"/>
      <c r="C76" s="899"/>
      <c r="D76" s="267"/>
      <c r="E76" s="267"/>
      <c r="F76" s="267"/>
      <c r="G76" s="267"/>
      <c r="H76" s="267"/>
      <c r="I76" s="267"/>
      <c r="J76" s="267"/>
      <c r="K76" s="267"/>
      <c r="L76" s="267"/>
    </row>
    <row r="77" spans="2:12" x14ac:dyDescent="0.25">
      <c r="B77" s="899"/>
      <c r="C77" s="899"/>
      <c r="D77" s="267"/>
      <c r="E77" s="267"/>
      <c r="F77" s="267"/>
      <c r="G77" s="267"/>
      <c r="H77" s="267"/>
      <c r="I77" s="267"/>
      <c r="J77" s="267"/>
      <c r="K77" s="267"/>
      <c r="L77" s="267"/>
    </row>
    <row r="78" spans="2:12" x14ac:dyDescent="0.25">
      <c r="B78" s="899"/>
      <c r="C78" s="899"/>
      <c r="D78" s="267"/>
      <c r="E78" s="267"/>
      <c r="F78" s="267"/>
      <c r="G78" s="267"/>
      <c r="H78" s="267"/>
      <c r="I78" s="267"/>
      <c r="J78" s="267"/>
      <c r="K78" s="267"/>
      <c r="L78" s="267"/>
    </row>
    <row r="79" spans="2:12" x14ac:dyDescent="0.25">
      <c r="B79" s="899"/>
      <c r="C79" s="899"/>
      <c r="D79" s="267"/>
      <c r="E79" s="267"/>
      <c r="F79" s="267"/>
      <c r="G79" s="267"/>
      <c r="H79" s="267"/>
      <c r="I79" s="267"/>
      <c r="J79" s="267"/>
      <c r="K79" s="267"/>
      <c r="L79" s="267"/>
    </row>
    <row r="80" spans="2:12" x14ac:dyDescent="0.25">
      <c r="B80" s="899"/>
      <c r="C80" s="899"/>
      <c r="D80" s="267"/>
      <c r="E80" s="267"/>
      <c r="F80" s="267"/>
      <c r="G80" s="267"/>
      <c r="H80" s="267"/>
      <c r="I80" s="267"/>
      <c r="J80" s="267"/>
      <c r="K80" s="267"/>
      <c r="L80" s="267"/>
    </row>
    <row r="81" spans="2:12" x14ac:dyDescent="0.25">
      <c r="B81" s="899"/>
      <c r="C81" s="899"/>
      <c r="D81" s="267"/>
      <c r="E81" s="267"/>
      <c r="F81" s="267"/>
      <c r="G81" s="267"/>
      <c r="H81" s="267"/>
      <c r="I81" s="267"/>
      <c r="J81" s="267"/>
      <c r="K81" s="267"/>
      <c r="L81" s="267"/>
    </row>
    <row r="82" spans="2:12" x14ac:dyDescent="0.25">
      <c r="B82" s="899"/>
      <c r="C82" s="899"/>
      <c r="D82" s="267"/>
      <c r="E82" s="267"/>
      <c r="F82" s="267"/>
      <c r="G82" s="267"/>
      <c r="H82" s="267"/>
      <c r="I82" s="267"/>
      <c r="J82" s="267"/>
      <c r="K82" s="267"/>
      <c r="L82" s="267"/>
    </row>
    <row r="83" spans="2:12" x14ac:dyDescent="0.25">
      <c r="B83" s="899"/>
      <c r="C83" s="899"/>
      <c r="D83" s="267"/>
      <c r="E83" s="267"/>
      <c r="F83" s="267"/>
      <c r="G83" s="267"/>
      <c r="H83" s="267"/>
      <c r="I83" s="267"/>
      <c r="J83" s="267"/>
      <c r="K83" s="267"/>
      <c r="L83" s="267"/>
    </row>
    <row r="84" spans="2:12" x14ac:dyDescent="0.25">
      <c r="B84" s="899"/>
      <c r="C84" s="899"/>
      <c r="D84" s="267"/>
      <c r="E84" s="267"/>
      <c r="F84" s="267"/>
      <c r="G84" s="267"/>
      <c r="H84" s="267"/>
      <c r="I84" s="267"/>
      <c r="J84" s="267"/>
      <c r="K84" s="267"/>
      <c r="L84" s="267"/>
    </row>
    <row r="85" spans="2:12" x14ac:dyDescent="0.25">
      <c r="B85" s="899"/>
      <c r="C85" s="899"/>
      <c r="D85" s="267"/>
      <c r="E85" s="267"/>
      <c r="F85" s="267"/>
      <c r="G85" s="267"/>
      <c r="H85" s="267"/>
      <c r="I85" s="267"/>
      <c r="J85" s="267"/>
      <c r="K85" s="267"/>
      <c r="L85" s="267"/>
    </row>
    <row r="86" spans="2:12" x14ac:dyDescent="0.25">
      <c r="B86" s="899"/>
      <c r="C86" s="899"/>
      <c r="D86" s="267"/>
      <c r="E86" s="267"/>
      <c r="F86" s="267"/>
      <c r="G86" s="267"/>
      <c r="H86" s="267"/>
      <c r="I86" s="267"/>
      <c r="J86" s="267"/>
      <c r="K86" s="267"/>
      <c r="L86" s="267"/>
    </row>
    <row r="87" spans="2:12" x14ac:dyDescent="0.25">
      <c r="B87" s="899"/>
      <c r="C87" s="899"/>
      <c r="D87" s="267"/>
      <c r="E87" s="267"/>
      <c r="F87" s="267"/>
      <c r="G87" s="267"/>
      <c r="H87" s="267"/>
      <c r="I87" s="267"/>
      <c r="J87" s="267"/>
      <c r="K87" s="267"/>
      <c r="L87" s="267"/>
    </row>
    <row r="88" spans="2:12" x14ac:dyDescent="0.25">
      <c r="B88" s="899"/>
      <c r="C88" s="899"/>
      <c r="D88" s="267"/>
      <c r="E88" s="267"/>
      <c r="F88" s="267"/>
      <c r="G88" s="267"/>
      <c r="H88" s="267"/>
      <c r="I88" s="267"/>
      <c r="J88" s="267"/>
      <c r="K88" s="267"/>
      <c r="L88" s="267"/>
    </row>
    <row r="89" spans="2:12" x14ac:dyDescent="0.25">
      <c r="B89" s="899"/>
      <c r="C89" s="899"/>
      <c r="D89" s="267"/>
      <c r="E89" s="267"/>
      <c r="F89" s="267"/>
      <c r="G89" s="267"/>
      <c r="H89" s="267"/>
      <c r="I89" s="267"/>
      <c r="J89" s="267"/>
      <c r="K89" s="267"/>
      <c r="L89" s="267"/>
    </row>
    <row r="90" spans="2:12" x14ac:dyDescent="0.25">
      <c r="B90" s="899"/>
      <c r="C90" s="899"/>
      <c r="D90" s="267"/>
      <c r="E90" s="267"/>
      <c r="F90" s="267"/>
      <c r="G90" s="267"/>
      <c r="H90" s="267"/>
      <c r="I90" s="267"/>
      <c r="J90" s="267"/>
      <c r="K90" s="267"/>
      <c r="L90" s="267"/>
    </row>
    <row r="91" spans="2:12" x14ac:dyDescent="0.25">
      <c r="B91" s="899"/>
      <c r="C91" s="899"/>
      <c r="D91" s="267"/>
      <c r="E91" s="267"/>
      <c r="F91" s="267"/>
      <c r="G91" s="267"/>
      <c r="H91" s="267"/>
      <c r="I91" s="267"/>
      <c r="J91" s="267"/>
      <c r="K91" s="267"/>
      <c r="L91" s="267"/>
    </row>
    <row r="92" spans="2:12" x14ac:dyDescent="0.25">
      <c r="B92" s="899"/>
      <c r="C92" s="899"/>
      <c r="D92" s="267"/>
      <c r="E92" s="267"/>
      <c r="F92" s="267"/>
      <c r="G92" s="267"/>
      <c r="H92" s="267"/>
      <c r="I92" s="267"/>
      <c r="J92" s="267"/>
      <c r="K92" s="267"/>
      <c r="L92" s="267"/>
    </row>
    <row r="93" spans="2:12" x14ac:dyDescent="0.25">
      <c r="B93" s="899"/>
      <c r="C93" s="899"/>
      <c r="D93" s="267"/>
      <c r="E93" s="267"/>
      <c r="F93" s="267"/>
      <c r="G93" s="267"/>
      <c r="H93" s="267"/>
      <c r="I93" s="267"/>
      <c r="J93" s="267"/>
      <c r="K93" s="267"/>
      <c r="L93" s="267"/>
    </row>
    <row r="94" spans="2:12" x14ac:dyDescent="0.25">
      <c r="B94" s="899"/>
      <c r="C94" s="899"/>
      <c r="D94" s="267"/>
      <c r="E94" s="267"/>
      <c r="F94" s="267"/>
      <c r="G94" s="267"/>
      <c r="H94" s="267"/>
      <c r="I94" s="267"/>
      <c r="J94" s="267"/>
      <c r="K94" s="267"/>
      <c r="L94" s="267"/>
    </row>
    <row r="95" spans="2:12" x14ac:dyDescent="0.25">
      <c r="B95" s="899"/>
      <c r="C95" s="899"/>
      <c r="D95" s="267"/>
      <c r="E95" s="267"/>
      <c r="F95" s="267"/>
      <c r="G95" s="267"/>
      <c r="H95" s="267"/>
      <c r="I95" s="267"/>
      <c r="J95" s="267"/>
      <c r="K95" s="267"/>
      <c r="L95" s="267"/>
    </row>
    <row r="96" spans="2:12" x14ac:dyDescent="0.25">
      <c r="B96" s="899"/>
      <c r="C96" s="899"/>
      <c r="D96" s="267"/>
      <c r="E96" s="267"/>
      <c r="F96" s="267"/>
      <c r="G96" s="267"/>
      <c r="H96" s="267"/>
      <c r="I96" s="267"/>
      <c r="J96" s="267"/>
      <c r="K96" s="267"/>
      <c r="L96" s="267"/>
    </row>
    <row r="97" spans="2:12" x14ac:dyDescent="0.25">
      <c r="B97" s="899"/>
      <c r="C97" s="899"/>
      <c r="D97" s="267"/>
      <c r="E97" s="267"/>
      <c r="F97" s="267"/>
      <c r="G97" s="267"/>
      <c r="H97" s="267"/>
      <c r="I97" s="267"/>
      <c r="J97" s="267"/>
      <c r="K97" s="267"/>
      <c r="L97" s="267"/>
    </row>
    <row r="98" spans="2:12" x14ac:dyDescent="0.25">
      <c r="B98" s="899"/>
      <c r="C98" s="899"/>
      <c r="D98" s="267"/>
      <c r="E98" s="267"/>
      <c r="F98" s="267"/>
      <c r="G98" s="267"/>
      <c r="H98" s="267"/>
      <c r="I98" s="267"/>
      <c r="J98" s="267"/>
      <c r="K98" s="267"/>
      <c r="L98" s="267"/>
    </row>
    <row r="99" spans="2:12" x14ac:dyDescent="0.25">
      <c r="B99" s="899"/>
      <c r="C99" s="899"/>
      <c r="D99" s="267"/>
      <c r="E99" s="267"/>
      <c r="F99" s="267"/>
      <c r="G99" s="267"/>
      <c r="H99" s="267"/>
      <c r="I99" s="267"/>
      <c r="J99" s="267"/>
      <c r="K99" s="267"/>
      <c r="L99" s="267"/>
    </row>
    <row r="100" spans="2:12" x14ac:dyDescent="0.25">
      <c r="B100" s="899"/>
      <c r="C100" s="899"/>
      <c r="D100" s="267"/>
      <c r="E100" s="267"/>
      <c r="F100" s="267"/>
      <c r="G100" s="267"/>
      <c r="H100" s="267"/>
      <c r="I100" s="267"/>
      <c r="J100" s="267"/>
      <c r="K100" s="267"/>
      <c r="L100" s="267"/>
    </row>
    <row r="101" spans="2:12" x14ac:dyDescent="0.25">
      <c r="B101" s="899"/>
      <c r="C101" s="899"/>
      <c r="D101" s="267"/>
      <c r="E101" s="267"/>
      <c r="F101" s="267"/>
      <c r="G101" s="267"/>
      <c r="H101" s="267"/>
      <c r="I101" s="267"/>
      <c r="J101" s="267"/>
      <c r="K101" s="267"/>
      <c r="L101" s="267"/>
    </row>
    <row r="102" spans="2:12" x14ac:dyDescent="0.25">
      <c r="B102" s="899"/>
      <c r="C102" s="899"/>
      <c r="D102" s="267"/>
      <c r="E102" s="267"/>
      <c r="F102" s="267"/>
      <c r="G102" s="267"/>
      <c r="H102" s="267"/>
      <c r="I102" s="267"/>
      <c r="J102" s="267"/>
      <c r="K102" s="267"/>
      <c r="L102" s="267"/>
    </row>
    <row r="103" spans="2:12" x14ac:dyDescent="0.25">
      <c r="B103" s="899"/>
      <c r="C103" s="899"/>
      <c r="D103" s="267"/>
      <c r="E103" s="267"/>
      <c r="F103" s="267"/>
      <c r="G103" s="267"/>
      <c r="H103" s="267"/>
      <c r="I103" s="267"/>
      <c r="J103" s="267"/>
      <c r="K103" s="267"/>
      <c r="L103" s="267"/>
    </row>
    <row r="104" spans="2:12" x14ac:dyDescent="0.25">
      <c r="B104" s="899"/>
      <c r="C104" s="899"/>
      <c r="D104" s="267"/>
      <c r="E104" s="267"/>
      <c r="F104" s="267"/>
      <c r="G104" s="267"/>
      <c r="H104" s="267"/>
      <c r="I104" s="267"/>
      <c r="J104" s="267"/>
      <c r="K104" s="267"/>
      <c r="L104" s="267"/>
    </row>
    <row r="105" spans="2:12" x14ac:dyDescent="0.25">
      <c r="B105" s="899"/>
      <c r="C105" s="899"/>
      <c r="D105" s="267"/>
      <c r="E105" s="267"/>
      <c r="F105" s="267"/>
      <c r="G105" s="267"/>
      <c r="H105" s="267"/>
      <c r="I105" s="267"/>
      <c r="J105" s="267"/>
      <c r="K105" s="267"/>
      <c r="L105" s="267"/>
    </row>
    <row r="106" spans="2:12" x14ac:dyDescent="0.25">
      <c r="B106" s="899"/>
      <c r="C106" s="899"/>
      <c r="D106" s="267"/>
      <c r="E106" s="267"/>
      <c r="F106" s="267"/>
      <c r="G106" s="267"/>
      <c r="H106" s="267"/>
      <c r="I106" s="267"/>
      <c r="J106" s="267"/>
      <c r="K106" s="267"/>
      <c r="L106" s="267"/>
    </row>
    <row r="107" spans="2:12" x14ac:dyDescent="0.25">
      <c r="B107" s="899"/>
      <c r="C107" s="899"/>
      <c r="D107" s="267"/>
      <c r="E107" s="267"/>
      <c r="F107" s="267"/>
      <c r="G107" s="267"/>
      <c r="H107" s="267"/>
      <c r="I107" s="267"/>
      <c r="J107" s="267"/>
      <c r="K107" s="267"/>
      <c r="L107" s="267"/>
    </row>
    <row r="108" spans="2:12" x14ac:dyDescent="0.25">
      <c r="B108" s="899"/>
      <c r="C108" s="899"/>
      <c r="D108" s="267"/>
      <c r="E108" s="267"/>
      <c r="F108" s="267"/>
      <c r="G108" s="267"/>
      <c r="H108" s="267"/>
      <c r="I108" s="267"/>
      <c r="J108" s="267"/>
      <c r="K108" s="267"/>
      <c r="L108" s="267"/>
    </row>
    <row r="109" spans="2:12" x14ac:dyDescent="0.25">
      <c r="B109" s="899"/>
      <c r="C109" s="899"/>
      <c r="D109" s="267"/>
      <c r="E109" s="267"/>
      <c r="F109" s="267"/>
      <c r="G109" s="267"/>
      <c r="H109" s="267"/>
      <c r="I109" s="267"/>
      <c r="J109" s="267"/>
      <c r="K109" s="267"/>
      <c r="L109" s="267"/>
    </row>
    <row r="110" spans="2:12" x14ac:dyDescent="0.25">
      <c r="B110" s="899"/>
      <c r="C110" s="899"/>
      <c r="D110" s="267"/>
      <c r="E110" s="267"/>
      <c r="F110" s="267"/>
      <c r="G110" s="267"/>
      <c r="H110" s="267"/>
      <c r="I110" s="267"/>
      <c r="J110" s="267"/>
      <c r="K110" s="267"/>
      <c r="L110" s="267"/>
    </row>
    <row r="111" spans="2:12" x14ac:dyDescent="0.25">
      <c r="B111" s="899"/>
      <c r="C111" s="899"/>
      <c r="D111" s="267"/>
      <c r="E111" s="267"/>
      <c r="F111" s="267"/>
      <c r="G111" s="267"/>
      <c r="H111" s="267"/>
      <c r="I111" s="267"/>
      <c r="J111" s="267"/>
      <c r="K111" s="267"/>
      <c r="L111" s="267"/>
    </row>
    <row r="112" spans="2:12" x14ac:dyDescent="0.25">
      <c r="B112" s="899"/>
      <c r="C112" s="899"/>
      <c r="D112" s="267"/>
      <c r="E112" s="267"/>
      <c r="F112" s="267"/>
      <c r="G112" s="267"/>
      <c r="H112" s="267"/>
      <c r="I112" s="267"/>
      <c r="J112" s="267"/>
      <c r="K112" s="267"/>
      <c r="L112" s="267"/>
    </row>
    <row r="113" spans="2:12" x14ac:dyDescent="0.25">
      <c r="B113" s="899"/>
      <c r="C113" s="899"/>
      <c r="D113" s="267"/>
      <c r="E113" s="267"/>
      <c r="F113" s="267"/>
      <c r="G113" s="267"/>
      <c r="H113" s="267"/>
      <c r="I113" s="267"/>
      <c r="J113" s="267"/>
      <c r="K113" s="267"/>
      <c r="L113" s="267"/>
    </row>
    <row r="114" spans="2:12" x14ac:dyDescent="0.25">
      <c r="B114" s="899"/>
      <c r="C114" s="899"/>
      <c r="D114" s="267"/>
      <c r="E114" s="267"/>
      <c r="F114" s="267"/>
      <c r="G114" s="267"/>
      <c r="H114" s="267"/>
      <c r="I114" s="267"/>
      <c r="J114" s="267"/>
      <c r="K114" s="267"/>
      <c r="L114" s="267"/>
    </row>
    <row r="115" spans="2:12" x14ac:dyDescent="0.25">
      <c r="B115" s="899"/>
      <c r="C115" s="899"/>
      <c r="D115" s="267"/>
      <c r="E115" s="267"/>
      <c r="F115" s="267"/>
      <c r="G115" s="267"/>
      <c r="H115" s="267"/>
      <c r="I115" s="267"/>
      <c r="J115" s="267"/>
      <c r="K115" s="267"/>
      <c r="L115" s="267"/>
    </row>
    <row r="116" spans="2:12" x14ac:dyDescent="0.25">
      <c r="B116" s="899"/>
      <c r="C116" s="899"/>
      <c r="D116" s="267"/>
      <c r="E116" s="267"/>
      <c r="F116" s="267"/>
      <c r="G116" s="267"/>
      <c r="H116" s="267"/>
      <c r="I116" s="267"/>
      <c r="J116" s="267"/>
      <c r="K116" s="267"/>
      <c r="L116" s="267"/>
    </row>
    <row r="117" spans="2:12" x14ac:dyDescent="0.25">
      <c r="B117" s="899"/>
      <c r="C117" s="899"/>
      <c r="D117" s="267"/>
      <c r="E117" s="267"/>
      <c r="F117" s="267"/>
      <c r="G117" s="267"/>
      <c r="H117" s="267"/>
      <c r="I117" s="267"/>
      <c r="J117" s="267"/>
      <c r="K117" s="267"/>
      <c r="L117" s="267"/>
    </row>
    <row r="118" spans="2:12" x14ac:dyDescent="0.25">
      <c r="B118" s="899"/>
      <c r="C118" s="899"/>
      <c r="D118" s="267"/>
      <c r="E118" s="267"/>
      <c r="F118" s="267"/>
      <c r="G118" s="267"/>
      <c r="H118" s="267"/>
      <c r="I118" s="267"/>
      <c r="J118" s="267"/>
      <c r="K118" s="267"/>
      <c r="L118" s="267"/>
    </row>
    <row r="119" spans="2:12" x14ac:dyDescent="0.25">
      <c r="B119" s="899"/>
      <c r="C119" s="899"/>
      <c r="D119" s="267"/>
      <c r="E119" s="267"/>
      <c r="F119" s="267"/>
      <c r="G119" s="267"/>
      <c r="H119" s="267"/>
      <c r="I119" s="267"/>
      <c r="J119" s="267"/>
      <c r="K119" s="267"/>
      <c r="L119" s="267"/>
    </row>
    <row r="120" spans="2:12" x14ac:dyDescent="0.25">
      <c r="B120" s="899"/>
      <c r="C120" s="899"/>
      <c r="D120" s="267"/>
      <c r="E120" s="267"/>
      <c r="F120" s="267"/>
      <c r="G120" s="267"/>
      <c r="H120" s="267"/>
      <c r="I120" s="267"/>
      <c r="J120" s="267"/>
      <c r="K120" s="267"/>
      <c r="L120" s="267"/>
    </row>
    <row r="121" spans="2:12" x14ac:dyDescent="0.25">
      <c r="B121" s="899"/>
      <c r="C121" s="899"/>
      <c r="D121" s="267"/>
      <c r="E121" s="267"/>
      <c r="F121" s="267"/>
      <c r="G121" s="267"/>
      <c r="H121" s="267"/>
      <c r="I121" s="267"/>
      <c r="J121" s="267"/>
      <c r="K121" s="267"/>
      <c r="L121" s="267"/>
    </row>
    <row r="122" spans="2:12" x14ac:dyDescent="0.25">
      <c r="B122" s="899"/>
      <c r="C122" s="899"/>
      <c r="D122" s="267"/>
      <c r="E122" s="267"/>
      <c r="F122" s="267"/>
      <c r="G122" s="267"/>
      <c r="H122" s="267"/>
      <c r="I122" s="267"/>
      <c r="J122" s="267"/>
      <c r="K122" s="267"/>
      <c r="L122" s="267"/>
    </row>
    <row r="123" spans="2:12" x14ac:dyDescent="0.25">
      <c r="B123" s="899"/>
      <c r="C123" s="899"/>
      <c r="D123" s="267"/>
      <c r="E123" s="267"/>
      <c r="F123" s="267"/>
      <c r="G123" s="267"/>
      <c r="H123" s="267"/>
      <c r="I123" s="267"/>
      <c r="J123" s="267"/>
      <c r="K123" s="267"/>
      <c r="L123" s="267"/>
    </row>
    <row r="124" spans="2:12" x14ac:dyDescent="0.25">
      <c r="B124" s="899"/>
      <c r="C124" s="899"/>
      <c r="D124" s="267"/>
      <c r="E124" s="267"/>
      <c r="F124" s="267"/>
      <c r="G124" s="267"/>
      <c r="H124" s="267"/>
      <c r="I124" s="267"/>
      <c r="J124" s="267"/>
      <c r="K124" s="267"/>
      <c r="L124" s="267"/>
    </row>
    <row r="125" spans="2:12" x14ac:dyDescent="0.25">
      <c r="B125" s="899"/>
      <c r="C125" s="899"/>
      <c r="D125" s="267"/>
      <c r="E125" s="267"/>
      <c r="F125" s="267"/>
      <c r="G125" s="267"/>
      <c r="H125" s="267"/>
      <c r="I125" s="267"/>
      <c r="J125" s="267"/>
      <c r="K125" s="267"/>
      <c r="L125" s="267"/>
    </row>
    <row r="126" spans="2:12" x14ac:dyDescent="0.25">
      <c r="B126" s="899"/>
      <c r="C126" s="899"/>
      <c r="D126" s="267"/>
      <c r="E126" s="267"/>
      <c r="F126" s="267"/>
      <c r="G126" s="267"/>
      <c r="H126" s="267"/>
      <c r="I126" s="267"/>
      <c r="J126" s="267"/>
      <c r="K126" s="267"/>
      <c r="L126" s="267"/>
    </row>
    <row r="127" spans="2:12" x14ac:dyDescent="0.25">
      <c r="B127" s="899"/>
      <c r="C127" s="899"/>
      <c r="D127" s="267"/>
      <c r="E127" s="267"/>
      <c r="F127" s="267"/>
      <c r="G127" s="267"/>
      <c r="H127" s="267"/>
      <c r="I127" s="267"/>
      <c r="J127" s="267"/>
      <c r="K127" s="267"/>
      <c r="L127" s="267"/>
    </row>
    <row r="128" spans="2:12" x14ac:dyDescent="0.25">
      <c r="B128" s="899"/>
      <c r="C128" s="899"/>
      <c r="D128" s="267"/>
      <c r="E128" s="267"/>
      <c r="F128" s="267"/>
      <c r="G128" s="267"/>
      <c r="H128" s="267"/>
      <c r="I128" s="267"/>
      <c r="J128" s="267"/>
      <c r="K128" s="267"/>
      <c r="L128" s="267"/>
    </row>
    <row r="129" spans="2:12" x14ac:dyDescent="0.25">
      <c r="B129" s="899"/>
      <c r="C129" s="899"/>
      <c r="D129" s="267"/>
      <c r="E129" s="267"/>
      <c r="F129" s="267"/>
      <c r="G129" s="267"/>
      <c r="H129" s="267"/>
      <c r="I129" s="267"/>
      <c r="J129" s="267"/>
      <c r="K129" s="267"/>
      <c r="L129" s="267"/>
    </row>
    <row r="130" spans="2:12" x14ac:dyDescent="0.25">
      <c r="B130" s="899"/>
      <c r="C130" s="899"/>
      <c r="D130" s="267"/>
      <c r="E130" s="267"/>
      <c r="F130" s="267"/>
      <c r="G130" s="267"/>
      <c r="H130" s="267"/>
      <c r="I130" s="267"/>
      <c r="J130" s="267"/>
      <c r="K130" s="267"/>
      <c r="L130" s="267"/>
    </row>
    <row r="131" spans="2:12" x14ac:dyDescent="0.25">
      <c r="B131" s="899"/>
      <c r="C131" s="899"/>
      <c r="D131" s="267"/>
      <c r="E131" s="267"/>
      <c r="F131" s="267"/>
      <c r="G131" s="267"/>
      <c r="H131" s="267"/>
      <c r="I131" s="267"/>
      <c r="J131" s="267"/>
      <c r="K131" s="267"/>
      <c r="L131" s="267"/>
    </row>
    <row r="132" spans="2:12" x14ac:dyDescent="0.25">
      <c r="B132" s="899"/>
      <c r="C132" s="899"/>
      <c r="D132" s="267"/>
      <c r="E132" s="267"/>
      <c r="F132" s="267"/>
      <c r="G132" s="267"/>
      <c r="H132" s="267"/>
      <c r="I132" s="267"/>
      <c r="J132" s="267"/>
      <c r="K132" s="267"/>
      <c r="L132" s="267"/>
    </row>
    <row r="133" spans="2:12" x14ac:dyDescent="0.25">
      <c r="B133" s="899"/>
      <c r="C133" s="899"/>
      <c r="D133" s="267"/>
      <c r="E133" s="267"/>
      <c r="F133" s="267"/>
      <c r="G133" s="267"/>
      <c r="H133" s="267"/>
      <c r="I133" s="267"/>
      <c r="J133" s="267"/>
      <c r="K133" s="267"/>
      <c r="L133" s="267"/>
    </row>
    <row r="134" spans="2:12" x14ac:dyDescent="0.25">
      <c r="B134" s="899"/>
      <c r="C134" s="899"/>
      <c r="D134" s="267"/>
      <c r="E134" s="267"/>
      <c r="F134" s="267"/>
      <c r="G134" s="267"/>
      <c r="H134" s="267"/>
      <c r="I134" s="267"/>
      <c r="J134" s="267"/>
      <c r="K134" s="267"/>
      <c r="L134" s="267"/>
    </row>
    <row r="135" spans="2:12" x14ac:dyDescent="0.25">
      <c r="B135" s="899"/>
      <c r="C135" s="899"/>
      <c r="D135" s="267"/>
      <c r="E135" s="267"/>
      <c r="F135" s="267"/>
      <c r="G135" s="267"/>
      <c r="H135" s="267"/>
      <c r="I135" s="267"/>
      <c r="J135" s="267"/>
      <c r="K135" s="267"/>
      <c r="L135" s="267"/>
    </row>
    <row r="136" spans="2:12" x14ac:dyDescent="0.25">
      <c r="B136" s="899"/>
      <c r="C136" s="899"/>
      <c r="D136" s="267"/>
      <c r="E136" s="267"/>
      <c r="F136" s="267"/>
      <c r="G136" s="267"/>
      <c r="H136" s="267"/>
      <c r="I136" s="267"/>
      <c r="J136" s="267"/>
      <c r="K136" s="267"/>
      <c r="L136" s="267"/>
    </row>
    <row r="137" spans="2:12" x14ac:dyDescent="0.25">
      <c r="B137" s="899"/>
      <c r="C137" s="899"/>
      <c r="D137" s="267"/>
      <c r="E137" s="267"/>
      <c r="F137" s="267"/>
      <c r="G137" s="267"/>
      <c r="H137" s="267"/>
      <c r="I137" s="267"/>
      <c r="J137" s="267"/>
      <c r="K137" s="267"/>
      <c r="L137" s="267"/>
    </row>
    <row r="138" spans="2:12" x14ac:dyDescent="0.25">
      <c r="B138" s="899"/>
      <c r="C138" s="899"/>
      <c r="D138" s="267"/>
      <c r="E138" s="267"/>
      <c r="F138" s="267"/>
      <c r="G138" s="267"/>
      <c r="H138" s="267"/>
      <c r="I138" s="267"/>
      <c r="J138" s="267"/>
      <c r="K138" s="267"/>
      <c r="L138" s="267"/>
    </row>
    <row r="139" spans="2:12" x14ac:dyDescent="0.25">
      <c r="B139" s="899"/>
      <c r="C139" s="899"/>
      <c r="D139" s="267"/>
      <c r="E139" s="267"/>
      <c r="F139" s="267"/>
      <c r="G139" s="267"/>
      <c r="H139" s="267"/>
      <c r="I139" s="267"/>
      <c r="J139" s="267"/>
      <c r="K139" s="267"/>
      <c r="L139" s="267"/>
    </row>
    <row r="140" spans="2:12" x14ac:dyDescent="0.25">
      <c r="B140" s="899"/>
      <c r="C140" s="899"/>
      <c r="D140" s="267"/>
      <c r="E140" s="267"/>
      <c r="F140" s="267"/>
      <c r="G140" s="267"/>
      <c r="H140" s="267"/>
      <c r="I140" s="267"/>
      <c r="J140" s="267"/>
      <c r="K140" s="267"/>
      <c r="L140" s="267"/>
    </row>
    <row r="141" spans="2:12" x14ac:dyDescent="0.25">
      <c r="B141" s="899"/>
      <c r="C141" s="899"/>
      <c r="D141" s="267"/>
      <c r="E141" s="267"/>
      <c r="F141" s="267"/>
      <c r="G141" s="267"/>
      <c r="H141" s="267"/>
      <c r="I141" s="267"/>
      <c r="J141" s="267"/>
      <c r="K141" s="267"/>
      <c r="L141" s="267"/>
    </row>
    <row r="142" spans="2:12" x14ac:dyDescent="0.25">
      <c r="B142" s="899"/>
      <c r="C142" s="899"/>
      <c r="D142" s="267"/>
      <c r="E142" s="267"/>
      <c r="F142" s="267"/>
      <c r="G142" s="267"/>
      <c r="H142" s="267"/>
      <c r="I142" s="267"/>
      <c r="J142" s="267"/>
      <c r="K142" s="267"/>
      <c r="L142" s="267"/>
    </row>
    <row r="143" spans="2:12" x14ac:dyDescent="0.25">
      <c r="B143" s="899"/>
      <c r="C143" s="899"/>
      <c r="D143" s="267"/>
      <c r="E143" s="267"/>
      <c r="F143" s="267"/>
      <c r="G143" s="267"/>
      <c r="H143" s="267"/>
      <c r="I143" s="267"/>
      <c r="J143" s="267"/>
      <c r="K143" s="267"/>
      <c r="L143" s="267"/>
    </row>
    <row r="144" spans="2:12" x14ac:dyDescent="0.25">
      <c r="B144" s="899"/>
      <c r="C144" s="899"/>
      <c r="D144" s="267"/>
      <c r="E144" s="267"/>
      <c r="F144" s="267"/>
      <c r="G144" s="267"/>
      <c r="H144" s="267"/>
      <c r="I144" s="267"/>
      <c r="J144" s="267"/>
      <c r="K144" s="267"/>
      <c r="L144" s="267"/>
    </row>
    <row r="145" spans="2:12" x14ac:dyDescent="0.25">
      <c r="B145" s="899"/>
      <c r="C145" s="899"/>
      <c r="D145" s="267"/>
      <c r="E145" s="267"/>
      <c r="F145" s="267"/>
      <c r="G145" s="267"/>
      <c r="H145" s="267"/>
      <c r="I145" s="267"/>
      <c r="J145" s="267"/>
      <c r="K145" s="267"/>
      <c r="L145" s="267"/>
    </row>
    <row r="146" spans="2:12" x14ac:dyDescent="0.25">
      <c r="B146" s="899"/>
      <c r="C146" s="899"/>
      <c r="D146" s="267"/>
      <c r="E146" s="267"/>
      <c r="F146" s="267"/>
      <c r="G146" s="267"/>
      <c r="H146" s="267"/>
      <c r="I146" s="267"/>
      <c r="J146" s="267"/>
      <c r="K146" s="267"/>
      <c r="L146" s="267"/>
    </row>
    <row r="147" spans="2:12" x14ac:dyDescent="0.25">
      <c r="B147" s="899"/>
      <c r="C147" s="899"/>
      <c r="D147" s="267"/>
      <c r="E147" s="267"/>
      <c r="F147" s="267"/>
      <c r="G147" s="267"/>
      <c r="H147" s="267"/>
      <c r="I147" s="267"/>
      <c r="J147" s="267"/>
      <c r="K147" s="267"/>
      <c r="L147" s="267"/>
    </row>
    <row r="148" spans="2:12" x14ac:dyDescent="0.25">
      <c r="B148" s="899"/>
      <c r="C148" s="899"/>
      <c r="D148" s="267"/>
      <c r="E148" s="267"/>
      <c r="F148" s="267"/>
      <c r="G148" s="267"/>
      <c r="H148" s="267"/>
      <c r="I148" s="267"/>
      <c r="J148" s="267"/>
      <c r="K148" s="267"/>
      <c r="L148" s="267"/>
    </row>
    <row r="149" spans="2:12" x14ac:dyDescent="0.25">
      <c r="B149" s="899"/>
      <c r="C149" s="899"/>
      <c r="D149" s="267"/>
      <c r="E149" s="267"/>
      <c r="F149" s="267"/>
      <c r="G149" s="267"/>
      <c r="H149" s="267"/>
      <c r="I149" s="267"/>
      <c r="J149" s="267"/>
      <c r="K149" s="267"/>
      <c r="L149" s="267"/>
    </row>
    <row r="150" spans="2:12" x14ac:dyDescent="0.25">
      <c r="B150" s="899"/>
      <c r="C150" s="899"/>
      <c r="D150" s="267"/>
      <c r="E150" s="267"/>
      <c r="F150" s="267"/>
      <c r="G150" s="267"/>
      <c r="H150" s="267"/>
      <c r="I150" s="267"/>
      <c r="J150" s="267"/>
      <c r="K150" s="267"/>
      <c r="L150" s="267"/>
    </row>
    <row r="151" spans="2:12" x14ac:dyDescent="0.25">
      <c r="B151" s="899"/>
      <c r="C151" s="899"/>
      <c r="D151" s="267"/>
      <c r="E151" s="267"/>
      <c r="F151" s="267"/>
      <c r="G151" s="267"/>
      <c r="H151" s="267"/>
      <c r="I151" s="267"/>
      <c r="J151" s="267"/>
      <c r="K151" s="267"/>
      <c r="L151" s="267"/>
    </row>
    <row r="152" spans="2:12" x14ac:dyDescent="0.25">
      <c r="B152" s="899"/>
      <c r="C152" s="899"/>
      <c r="D152" s="267"/>
      <c r="E152" s="267"/>
      <c r="F152" s="267"/>
      <c r="G152" s="267"/>
      <c r="H152" s="267"/>
      <c r="I152" s="267"/>
      <c r="J152" s="267"/>
      <c r="K152" s="267"/>
      <c r="L152" s="267"/>
    </row>
    <row r="153" spans="2:12" x14ac:dyDescent="0.25">
      <c r="B153" s="899"/>
      <c r="C153" s="899"/>
      <c r="D153" s="267"/>
      <c r="E153" s="267"/>
      <c r="F153" s="267"/>
      <c r="G153" s="267"/>
      <c r="H153" s="267"/>
      <c r="I153" s="267"/>
      <c r="J153" s="267"/>
      <c r="K153" s="267"/>
      <c r="L153" s="267"/>
    </row>
    <row r="154" spans="2:12" x14ac:dyDescent="0.25">
      <c r="B154" s="899"/>
      <c r="C154" s="899"/>
      <c r="D154" s="267"/>
      <c r="E154" s="267"/>
      <c r="F154" s="267"/>
      <c r="G154" s="267"/>
      <c r="H154" s="267"/>
      <c r="I154" s="267"/>
      <c r="J154" s="267"/>
      <c r="K154" s="267"/>
      <c r="L154" s="267"/>
    </row>
    <row r="155" spans="2:12" x14ac:dyDescent="0.25">
      <c r="B155" s="899"/>
      <c r="C155" s="899"/>
      <c r="D155" s="267"/>
      <c r="E155" s="267"/>
      <c r="F155" s="267"/>
      <c r="G155" s="267"/>
      <c r="H155" s="267"/>
      <c r="I155" s="267"/>
      <c r="J155" s="267"/>
      <c r="K155" s="267"/>
      <c r="L155" s="267"/>
    </row>
    <row r="156" spans="2:12" x14ac:dyDescent="0.25">
      <c r="B156" s="899"/>
      <c r="C156" s="899"/>
      <c r="D156" s="267"/>
      <c r="E156" s="267"/>
      <c r="F156" s="267"/>
      <c r="G156" s="267"/>
      <c r="H156" s="267"/>
      <c r="I156" s="267"/>
      <c r="J156" s="267"/>
      <c r="K156" s="267"/>
      <c r="L156" s="267"/>
    </row>
    <row r="157" spans="2:12" x14ac:dyDescent="0.25">
      <c r="B157" s="899"/>
      <c r="C157" s="899"/>
      <c r="D157" s="267"/>
      <c r="E157" s="267"/>
      <c r="F157" s="267"/>
      <c r="G157" s="267"/>
      <c r="H157" s="267"/>
      <c r="I157" s="267"/>
      <c r="J157" s="267"/>
      <c r="K157" s="267"/>
      <c r="L157" s="267"/>
    </row>
    <row r="158" spans="2:12" x14ac:dyDescent="0.25">
      <c r="B158" s="899"/>
      <c r="C158" s="899"/>
      <c r="D158" s="267"/>
      <c r="E158" s="267"/>
      <c r="F158" s="267"/>
      <c r="G158" s="267"/>
      <c r="H158" s="267"/>
      <c r="I158" s="267"/>
      <c r="J158" s="267"/>
      <c r="K158" s="267"/>
      <c r="L158" s="267"/>
    </row>
    <row r="159" spans="2:12" x14ac:dyDescent="0.25">
      <c r="B159" s="899"/>
      <c r="C159" s="899"/>
      <c r="D159" s="267"/>
      <c r="E159" s="267"/>
      <c r="F159" s="267"/>
      <c r="G159" s="267"/>
      <c r="H159" s="267"/>
      <c r="I159" s="267"/>
      <c r="J159" s="267"/>
      <c r="K159" s="267"/>
      <c r="L159" s="267"/>
    </row>
    <row r="160" spans="2:12" x14ac:dyDescent="0.25">
      <c r="B160" s="899"/>
      <c r="C160" s="899"/>
      <c r="D160" s="267"/>
      <c r="E160" s="267"/>
      <c r="F160" s="267"/>
      <c r="G160" s="267"/>
      <c r="H160" s="267"/>
      <c r="I160" s="267"/>
      <c r="J160" s="267"/>
      <c r="K160" s="267"/>
      <c r="L160" s="267"/>
    </row>
    <row r="161" spans="2:12" x14ac:dyDescent="0.25">
      <c r="B161" s="899"/>
      <c r="C161" s="899"/>
      <c r="D161" s="267"/>
      <c r="E161" s="267"/>
      <c r="F161" s="267"/>
      <c r="G161" s="267"/>
      <c r="H161" s="267"/>
      <c r="I161" s="267"/>
      <c r="J161" s="267"/>
      <c r="K161" s="267"/>
      <c r="L161" s="267"/>
    </row>
    <row r="162" spans="2:12" x14ac:dyDescent="0.25">
      <c r="B162" s="899"/>
      <c r="C162" s="899"/>
      <c r="D162" s="267"/>
      <c r="E162" s="267"/>
      <c r="F162" s="267"/>
      <c r="G162" s="267"/>
      <c r="H162" s="267"/>
      <c r="I162" s="267"/>
      <c r="J162" s="267"/>
      <c r="K162" s="267"/>
      <c r="L162" s="267"/>
    </row>
    <row r="163" spans="2:12" x14ac:dyDescent="0.25">
      <c r="B163" s="899"/>
      <c r="C163" s="899"/>
      <c r="D163" s="267"/>
      <c r="E163" s="267"/>
      <c r="F163" s="267"/>
      <c r="G163" s="267"/>
      <c r="H163" s="267"/>
      <c r="I163" s="267"/>
      <c r="J163" s="267"/>
      <c r="K163" s="267"/>
      <c r="L163" s="267"/>
    </row>
    <row r="164" spans="2:12" x14ac:dyDescent="0.25">
      <c r="B164" s="899"/>
      <c r="C164" s="899"/>
      <c r="D164" s="267"/>
      <c r="E164" s="267"/>
      <c r="F164" s="267"/>
      <c r="G164" s="267"/>
      <c r="H164" s="267"/>
      <c r="I164" s="267"/>
      <c r="J164" s="267"/>
      <c r="K164" s="267"/>
      <c r="L164" s="267"/>
    </row>
    <row r="165" spans="2:12" x14ac:dyDescent="0.25">
      <c r="B165" s="899"/>
      <c r="C165" s="899"/>
      <c r="D165" s="267"/>
      <c r="E165" s="267"/>
      <c r="F165" s="267"/>
      <c r="G165" s="267"/>
      <c r="H165" s="267"/>
      <c r="I165" s="267"/>
      <c r="J165" s="267"/>
      <c r="K165" s="267"/>
      <c r="L165" s="267"/>
    </row>
    <row r="166" spans="2:12" x14ac:dyDescent="0.25">
      <c r="B166" s="899"/>
      <c r="C166" s="899"/>
      <c r="D166" s="267"/>
      <c r="E166" s="267"/>
      <c r="F166" s="267"/>
      <c r="G166" s="267"/>
      <c r="H166" s="267"/>
      <c r="I166" s="267"/>
      <c r="J166" s="267"/>
      <c r="K166" s="267"/>
      <c r="L166" s="267"/>
    </row>
    <row r="167" spans="2:12" x14ac:dyDescent="0.25">
      <c r="B167" s="899"/>
      <c r="C167" s="899"/>
      <c r="D167" s="267"/>
      <c r="E167" s="267"/>
      <c r="F167" s="267"/>
      <c r="G167" s="267"/>
      <c r="H167" s="267"/>
      <c r="I167" s="267"/>
      <c r="J167" s="267"/>
      <c r="K167" s="267"/>
      <c r="L167" s="267"/>
    </row>
    <row r="168" spans="2:12" x14ac:dyDescent="0.25">
      <c r="B168" s="899"/>
      <c r="C168" s="899"/>
      <c r="D168" s="267"/>
      <c r="E168" s="267"/>
      <c r="F168" s="267"/>
      <c r="G168" s="267"/>
      <c r="H168" s="267"/>
      <c r="I168" s="267"/>
      <c r="J168" s="267"/>
      <c r="K168" s="267"/>
      <c r="L168" s="267"/>
    </row>
    <row r="169" spans="2:12" x14ac:dyDescent="0.25">
      <c r="B169" s="899"/>
      <c r="C169" s="899"/>
      <c r="D169" s="267"/>
      <c r="E169" s="267"/>
      <c r="F169" s="267"/>
      <c r="G169" s="267"/>
      <c r="H169" s="267"/>
      <c r="I169" s="267"/>
      <c r="J169" s="267"/>
      <c r="K169" s="267"/>
      <c r="L169" s="267"/>
    </row>
    <row r="170" spans="2:12" x14ac:dyDescent="0.25">
      <c r="B170" s="899"/>
      <c r="C170" s="899"/>
      <c r="D170" s="267"/>
      <c r="E170" s="267"/>
      <c r="F170" s="267"/>
      <c r="G170" s="267"/>
      <c r="H170" s="267"/>
      <c r="I170" s="267"/>
      <c r="J170" s="267"/>
      <c r="K170" s="267"/>
      <c r="L170" s="267"/>
    </row>
    <row r="171" spans="2:12" x14ac:dyDescent="0.25">
      <c r="B171" s="899"/>
      <c r="C171" s="899"/>
      <c r="D171" s="267"/>
      <c r="E171" s="267"/>
      <c r="F171" s="267"/>
      <c r="G171" s="267"/>
      <c r="H171" s="267"/>
      <c r="I171" s="267"/>
      <c r="J171" s="267"/>
      <c r="K171" s="267"/>
      <c r="L171" s="267"/>
    </row>
    <row r="172" spans="2:12" x14ac:dyDescent="0.25">
      <c r="B172" s="899"/>
      <c r="C172" s="899"/>
      <c r="D172" s="267"/>
      <c r="E172" s="267"/>
      <c r="F172" s="267"/>
      <c r="G172" s="267"/>
      <c r="H172" s="267"/>
      <c r="I172" s="267"/>
      <c r="J172" s="267"/>
      <c r="K172" s="267"/>
      <c r="L172" s="267"/>
    </row>
    <row r="173" spans="2:12" x14ac:dyDescent="0.25">
      <c r="B173" s="899"/>
      <c r="C173" s="899"/>
      <c r="D173" s="267"/>
      <c r="E173" s="267"/>
      <c r="F173" s="267"/>
      <c r="G173" s="267"/>
      <c r="H173" s="267"/>
      <c r="I173" s="267"/>
      <c r="J173" s="267"/>
      <c r="K173" s="267"/>
      <c r="L173" s="267"/>
    </row>
    <row r="174" spans="2:12" x14ac:dyDescent="0.25">
      <c r="B174" s="899"/>
      <c r="C174" s="899"/>
      <c r="D174" s="267"/>
      <c r="E174" s="267"/>
      <c r="F174" s="267"/>
      <c r="G174" s="267"/>
      <c r="H174" s="267"/>
      <c r="I174" s="267"/>
      <c r="J174" s="267"/>
      <c r="K174" s="267"/>
      <c r="L174" s="267"/>
    </row>
    <row r="175" spans="2:12" x14ac:dyDescent="0.25">
      <c r="B175" s="899"/>
      <c r="C175" s="899"/>
      <c r="D175" s="267"/>
      <c r="E175" s="267"/>
      <c r="F175" s="267"/>
      <c r="G175" s="267"/>
      <c r="H175" s="267"/>
      <c r="I175" s="267"/>
      <c r="J175" s="267"/>
      <c r="K175" s="267"/>
      <c r="L175" s="267"/>
    </row>
    <row r="176" spans="2:12" x14ac:dyDescent="0.25">
      <c r="B176" s="899"/>
      <c r="C176" s="899"/>
      <c r="D176" s="267"/>
      <c r="E176" s="267"/>
      <c r="F176" s="267"/>
      <c r="G176" s="267"/>
      <c r="H176" s="267"/>
      <c r="I176" s="267"/>
      <c r="J176" s="267"/>
      <c r="K176" s="267"/>
      <c r="L176" s="267"/>
    </row>
    <row r="177" spans="2:12" x14ac:dyDescent="0.25">
      <c r="B177" s="899"/>
      <c r="C177" s="899"/>
      <c r="D177" s="267"/>
      <c r="E177" s="267"/>
      <c r="F177" s="267"/>
      <c r="G177" s="267"/>
      <c r="H177" s="267"/>
      <c r="I177" s="267"/>
      <c r="J177" s="267"/>
      <c r="K177" s="267"/>
      <c r="L177" s="267"/>
    </row>
    <row r="178" spans="2:12" x14ac:dyDescent="0.25">
      <c r="B178" s="899"/>
      <c r="C178" s="899"/>
      <c r="D178" s="267"/>
      <c r="E178" s="267"/>
      <c r="F178" s="267"/>
      <c r="G178" s="267"/>
      <c r="H178" s="267"/>
      <c r="I178" s="267"/>
      <c r="J178" s="267"/>
      <c r="K178" s="267"/>
      <c r="L178" s="267"/>
    </row>
    <row r="179" spans="2:12" x14ac:dyDescent="0.25">
      <c r="B179" s="899"/>
      <c r="C179" s="899"/>
      <c r="D179" s="267"/>
      <c r="E179" s="267"/>
      <c r="F179" s="267"/>
      <c r="G179" s="267"/>
      <c r="H179" s="267"/>
      <c r="I179" s="267"/>
      <c r="J179" s="267"/>
      <c r="K179" s="267"/>
      <c r="L179" s="267"/>
    </row>
    <row r="180" spans="2:12" x14ac:dyDescent="0.25">
      <c r="B180" s="899"/>
      <c r="C180" s="899"/>
      <c r="D180" s="267"/>
      <c r="E180" s="267"/>
      <c r="F180" s="267"/>
      <c r="G180" s="267"/>
      <c r="H180" s="267"/>
      <c r="I180" s="267"/>
      <c r="J180" s="267"/>
      <c r="K180" s="267"/>
      <c r="L180" s="267"/>
    </row>
    <row r="181" spans="2:12" x14ac:dyDescent="0.25">
      <c r="B181" s="899"/>
      <c r="C181" s="899"/>
      <c r="D181" s="267"/>
      <c r="E181" s="267"/>
      <c r="F181" s="267"/>
      <c r="G181" s="267"/>
      <c r="H181" s="267"/>
      <c r="I181" s="267"/>
      <c r="J181" s="267"/>
      <c r="K181" s="267"/>
      <c r="L181" s="267"/>
    </row>
    <row r="182" spans="2:12" x14ac:dyDescent="0.25">
      <c r="B182" s="899"/>
      <c r="C182" s="899"/>
      <c r="D182" s="267"/>
      <c r="E182" s="267"/>
      <c r="F182" s="267"/>
      <c r="G182" s="267"/>
      <c r="H182" s="267"/>
      <c r="I182" s="267"/>
      <c r="J182" s="267"/>
      <c r="K182" s="267"/>
      <c r="L182" s="267"/>
    </row>
    <row r="183" spans="2:12" x14ac:dyDescent="0.25">
      <c r="B183" s="899"/>
      <c r="C183" s="899"/>
      <c r="D183" s="267"/>
      <c r="E183" s="267"/>
      <c r="F183" s="267"/>
      <c r="G183" s="267"/>
      <c r="H183" s="267"/>
      <c r="I183" s="267"/>
      <c r="J183" s="267"/>
      <c r="K183" s="267"/>
      <c r="L183" s="267"/>
    </row>
    <row r="184" spans="2:12" x14ac:dyDescent="0.25">
      <c r="B184" s="899"/>
      <c r="C184" s="899"/>
      <c r="D184" s="267"/>
      <c r="E184" s="267"/>
      <c r="F184" s="267"/>
      <c r="G184" s="267"/>
      <c r="H184" s="267"/>
      <c r="I184" s="267"/>
      <c r="J184" s="267"/>
      <c r="K184" s="267"/>
      <c r="L184" s="267"/>
    </row>
    <row r="185" spans="2:12" x14ac:dyDescent="0.25">
      <c r="B185" s="899"/>
      <c r="C185" s="899"/>
      <c r="D185" s="267"/>
      <c r="E185" s="267"/>
      <c r="F185" s="267"/>
      <c r="G185" s="267"/>
      <c r="H185" s="267"/>
      <c r="I185" s="267"/>
      <c r="J185" s="267"/>
      <c r="K185" s="267"/>
      <c r="L185" s="267"/>
    </row>
    <row r="186" spans="2:12" x14ac:dyDescent="0.25">
      <c r="B186" s="899"/>
      <c r="C186" s="899"/>
      <c r="D186" s="267"/>
      <c r="E186" s="267"/>
      <c r="F186" s="267"/>
      <c r="G186" s="267"/>
      <c r="H186" s="267"/>
      <c r="I186" s="267"/>
      <c r="J186" s="267"/>
      <c r="K186" s="267"/>
      <c r="L186" s="267"/>
    </row>
    <row r="187" spans="2:12" x14ac:dyDescent="0.25">
      <c r="B187" s="899"/>
      <c r="C187" s="899"/>
      <c r="D187" s="267"/>
      <c r="E187" s="267"/>
      <c r="F187" s="267"/>
      <c r="G187" s="267"/>
      <c r="H187" s="267"/>
      <c r="I187" s="267"/>
      <c r="J187" s="267"/>
      <c r="K187" s="267"/>
      <c r="L187" s="267"/>
    </row>
    <row r="188" spans="2:12" x14ac:dyDescent="0.25">
      <c r="B188" s="899"/>
      <c r="C188" s="899"/>
      <c r="D188" s="267"/>
      <c r="E188" s="267"/>
      <c r="F188" s="267"/>
      <c r="G188" s="267"/>
      <c r="H188" s="267"/>
      <c r="I188" s="267"/>
      <c r="J188" s="267"/>
      <c r="K188" s="267"/>
      <c r="L188" s="267"/>
    </row>
    <row r="189" spans="2:12" x14ac:dyDescent="0.25">
      <c r="B189" s="899"/>
      <c r="C189" s="899"/>
      <c r="D189" s="267"/>
      <c r="E189" s="267"/>
      <c r="F189" s="267"/>
      <c r="G189" s="267"/>
      <c r="H189" s="267"/>
      <c r="I189" s="267"/>
      <c r="J189" s="267"/>
      <c r="K189" s="267"/>
      <c r="L189" s="267"/>
    </row>
    <row r="190" spans="2:12" x14ac:dyDescent="0.25">
      <c r="B190" s="899"/>
      <c r="C190" s="899"/>
      <c r="D190" s="267"/>
      <c r="E190" s="267"/>
      <c r="F190" s="267"/>
      <c r="G190" s="267"/>
      <c r="H190" s="267"/>
      <c r="I190" s="267"/>
      <c r="J190" s="267"/>
      <c r="K190" s="267"/>
      <c r="L190" s="267"/>
    </row>
    <row r="191" spans="2:12" x14ac:dyDescent="0.25">
      <c r="B191" s="899"/>
      <c r="C191" s="899"/>
      <c r="D191" s="267"/>
      <c r="E191" s="267"/>
      <c r="F191" s="267"/>
      <c r="G191" s="267"/>
      <c r="H191" s="267"/>
      <c r="I191" s="267"/>
      <c r="J191" s="267"/>
      <c r="K191" s="267"/>
      <c r="L191" s="267"/>
    </row>
    <row r="192" spans="2:12" x14ac:dyDescent="0.25">
      <c r="B192" s="899"/>
      <c r="C192" s="899"/>
      <c r="D192" s="267"/>
      <c r="E192" s="267"/>
      <c r="F192" s="267"/>
      <c r="G192" s="267"/>
      <c r="H192" s="267"/>
      <c r="I192" s="267"/>
      <c r="J192" s="267"/>
      <c r="K192" s="267"/>
      <c r="L192" s="267"/>
    </row>
    <row r="193" spans="2:12" x14ac:dyDescent="0.25">
      <c r="B193" s="899"/>
      <c r="C193" s="899"/>
      <c r="D193" s="267"/>
      <c r="E193" s="267"/>
      <c r="F193" s="267"/>
      <c r="G193" s="267"/>
      <c r="H193" s="267"/>
      <c r="I193" s="267"/>
      <c r="J193" s="267"/>
      <c r="K193" s="267"/>
      <c r="L193" s="267"/>
    </row>
    <row r="194" spans="2:12" x14ac:dyDescent="0.25">
      <c r="B194" s="899"/>
      <c r="C194" s="899"/>
      <c r="D194" s="267"/>
      <c r="E194" s="267"/>
      <c r="F194" s="267"/>
      <c r="G194" s="267"/>
      <c r="H194" s="267"/>
      <c r="I194" s="267"/>
      <c r="J194" s="267"/>
      <c r="K194" s="267"/>
      <c r="L194" s="267"/>
    </row>
    <row r="195" spans="2:12" x14ac:dyDescent="0.25">
      <c r="B195" s="899"/>
      <c r="C195" s="899"/>
      <c r="D195" s="267"/>
      <c r="E195" s="267"/>
      <c r="F195" s="267"/>
      <c r="G195" s="267"/>
      <c r="H195" s="267"/>
      <c r="I195" s="267"/>
      <c r="J195" s="267"/>
      <c r="K195" s="267"/>
      <c r="L195" s="267"/>
    </row>
    <row r="196" spans="2:12" x14ac:dyDescent="0.25">
      <c r="B196" s="899"/>
      <c r="C196" s="899"/>
      <c r="D196" s="267"/>
      <c r="E196" s="267"/>
      <c r="F196" s="267"/>
      <c r="G196" s="267"/>
      <c r="H196" s="267"/>
      <c r="I196" s="267"/>
      <c r="J196" s="267"/>
      <c r="K196" s="267"/>
      <c r="L196" s="267"/>
    </row>
    <row r="197" spans="2:12" x14ac:dyDescent="0.25">
      <c r="B197" s="899"/>
      <c r="C197" s="899"/>
      <c r="D197" s="267"/>
      <c r="E197" s="267"/>
      <c r="F197" s="267"/>
      <c r="G197" s="267"/>
      <c r="H197" s="267"/>
      <c r="I197" s="267"/>
      <c r="J197" s="267"/>
      <c r="K197" s="267"/>
      <c r="L197" s="267"/>
    </row>
    <row r="198" spans="2:12" x14ac:dyDescent="0.25">
      <c r="B198" s="899"/>
      <c r="C198" s="899"/>
      <c r="D198" s="267"/>
      <c r="E198" s="267"/>
      <c r="F198" s="267"/>
      <c r="G198" s="267"/>
      <c r="H198" s="267"/>
      <c r="I198" s="267"/>
      <c r="J198" s="267"/>
      <c r="K198" s="267"/>
      <c r="L198" s="267"/>
    </row>
    <row r="199" spans="2:12" x14ac:dyDescent="0.25">
      <c r="B199" s="899"/>
      <c r="C199" s="899"/>
      <c r="D199" s="267"/>
      <c r="E199" s="267"/>
      <c r="F199" s="267"/>
      <c r="G199" s="267"/>
      <c r="H199" s="267"/>
      <c r="I199" s="267"/>
      <c r="J199" s="267"/>
      <c r="K199" s="267"/>
      <c r="L199" s="267"/>
    </row>
    <row r="200" spans="2:12" x14ac:dyDescent="0.25">
      <c r="B200" s="899"/>
      <c r="C200" s="899"/>
      <c r="D200" s="267"/>
      <c r="E200" s="267"/>
      <c r="F200" s="267"/>
      <c r="G200" s="267"/>
      <c r="H200" s="267"/>
      <c r="I200" s="267"/>
      <c r="J200" s="267"/>
      <c r="K200" s="267"/>
      <c r="L200" s="267"/>
    </row>
    <row r="201" spans="2:12" x14ac:dyDescent="0.25">
      <c r="B201" s="899"/>
      <c r="C201" s="899"/>
      <c r="D201" s="267"/>
      <c r="E201" s="267"/>
      <c r="F201" s="267"/>
      <c r="G201" s="267"/>
      <c r="H201" s="267"/>
      <c r="I201" s="267"/>
      <c r="J201" s="267"/>
      <c r="K201" s="267"/>
      <c r="L201" s="267"/>
    </row>
    <row r="202" spans="2:12" x14ac:dyDescent="0.25">
      <c r="B202" s="899"/>
      <c r="C202" s="899"/>
      <c r="D202" s="267"/>
      <c r="E202" s="267"/>
      <c r="F202" s="267"/>
      <c r="G202" s="267"/>
      <c r="H202" s="267"/>
      <c r="I202" s="267"/>
      <c r="J202" s="267"/>
      <c r="K202" s="267"/>
      <c r="L202" s="267"/>
    </row>
    <row r="203" spans="2:12" x14ac:dyDescent="0.25">
      <c r="B203" s="899"/>
      <c r="C203" s="899"/>
      <c r="D203" s="267"/>
      <c r="E203" s="267"/>
      <c r="F203" s="267"/>
      <c r="G203" s="267"/>
      <c r="H203" s="267"/>
      <c r="I203" s="267"/>
      <c r="J203" s="267"/>
      <c r="K203" s="267"/>
      <c r="L203" s="267"/>
    </row>
    <row r="204" spans="2:12" x14ac:dyDescent="0.25">
      <c r="B204" s="899"/>
      <c r="C204" s="899"/>
      <c r="D204" s="267"/>
      <c r="E204" s="267"/>
      <c r="F204" s="267"/>
      <c r="G204" s="267"/>
      <c r="H204" s="267"/>
      <c r="I204" s="267"/>
      <c r="J204" s="267"/>
      <c r="K204" s="267"/>
      <c r="L204" s="267"/>
    </row>
    <row r="205" spans="2:12" x14ac:dyDescent="0.25">
      <c r="B205" s="899"/>
      <c r="C205" s="899"/>
      <c r="D205" s="267"/>
      <c r="E205" s="267"/>
      <c r="F205" s="267"/>
      <c r="G205" s="267"/>
      <c r="H205" s="267"/>
      <c r="I205" s="267"/>
      <c r="J205" s="267"/>
      <c r="K205" s="267"/>
      <c r="L205" s="267"/>
    </row>
    <row r="206" spans="2:12" x14ac:dyDescent="0.25">
      <c r="B206" s="899"/>
      <c r="C206" s="899"/>
      <c r="D206" s="267"/>
      <c r="E206" s="267"/>
      <c r="F206" s="267"/>
      <c r="G206" s="267"/>
      <c r="H206" s="267"/>
      <c r="I206" s="267"/>
      <c r="J206" s="267"/>
      <c r="K206" s="267"/>
      <c r="L206" s="267"/>
    </row>
    <row r="207" spans="2:12" x14ac:dyDescent="0.25">
      <c r="B207" s="899"/>
      <c r="C207" s="899"/>
      <c r="D207" s="267"/>
      <c r="E207" s="267"/>
      <c r="F207" s="267"/>
      <c r="G207" s="267"/>
      <c r="H207" s="267"/>
      <c r="I207" s="267"/>
      <c r="J207" s="267"/>
      <c r="K207" s="267"/>
      <c r="L207" s="267"/>
    </row>
    <row r="208" spans="2:12" x14ac:dyDescent="0.25">
      <c r="B208" s="899"/>
      <c r="C208" s="899"/>
      <c r="D208" s="267"/>
      <c r="E208" s="267"/>
      <c r="F208" s="267"/>
      <c r="G208" s="267"/>
      <c r="H208" s="267"/>
      <c r="I208" s="267"/>
      <c r="J208" s="267"/>
      <c r="K208" s="267"/>
      <c r="L208" s="267"/>
    </row>
    <row r="209" spans="2:12" x14ac:dyDescent="0.25">
      <c r="B209" s="899"/>
      <c r="C209" s="899"/>
      <c r="D209" s="267"/>
      <c r="E209" s="267"/>
      <c r="F209" s="267"/>
      <c r="G209" s="267"/>
      <c r="H209" s="267"/>
      <c r="I209" s="267"/>
      <c r="J209" s="267"/>
      <c r="K209" s="267"/>
      <c r="L209" s="267"/>
    </row>
    <row r="210" spans="2:12" x14ac:dyDescent="0.25">
      <c r="B210" s="899"/>
      <c r="C210" s="899"/>
      <c r="D210" s="267"/>
      <c r="E210" s="267"/>
      <c r="F210" s="267"/>
      <c r="G210" s="267"/>
      <c r="H210" s="267"/>
      <c r="I210" s="267"/>
      <c r="J210" s="267"/>
      <c r="K210" s="267"/>
      <c r="L210" s="267"/>
    </row>
    <row r="211" spans="2:12" x14ac:dyDescent="0.25">
      <c r="B211" s="899"/>
      <c r="C211" s="899"/>
      <c r="D211" s="267"/>
      <c r="E211" s="267"/>
      <c r="F211" s="267"/>
      <c r="G211" s="267"/>
      <c r="H211" s="267"/>
      <c r="I211" s="267"/>
      <c r="J211" s="267"/>
      <c r="K211" s="267"/>
      <c r="L211" s="267"/>
    </row>
    <row r="212" spans="2:12" x14ac:dyDescent="0.25">
      <c r="B212" s="899"/>
      <c r="C212" s="899"/>
      <c r="D212" s="267"/>
      <c r="E212" s="267"/>
      <c r="F212" s="267"/>
      <c r="G212" s="267"/>
      <c r="H212" s="267"/>
      <c r="I212" s="267"/>
      <c r="J212" s="267"/>
      <c r="K212" s="267"/>
      <c r="L212" s="267"/>
    </row>
    <row r="213" spans="2:12" x14ac:dyDescent="0.25">
      <c r="B213" s="899"/>
      <c r="C213" s="899"/>
      <c r="D213" s="267"/>
      <c r="E213" s="267"/>
      <c r="F213" s="267"/>
      <c r="G213" s="267"/>
      <c r="H213" s="267"/>
      <c r="I213" s="267"/>
      <c r="J213" s="267"/>
      <c r="K213" s="267"/>
      <c r="L213" s="267"/>
    </row>
    <row r="214" spans="2:12" x14ac:dyDescent="0.25">
      <c r="B214" s="899"/>
      <c r="C214" s="899"/>
      <c r="D214" s="267"/>
      <c r="E214" s="267"/>
      <c r="F214" s="267"/>
      <c r="G214" s="267"/>
      <c r="H214" s="267"/>
      <c r="I214" s="267"/>
      <c r="J214" s="267"/>
      <c r="K214" s="267"/>
      <c r="L214" s="267"/>
    </row>
    <row r="215" spans="2:12" x14ac:dyDescent="0.25">
      <c r="B215" s="899"/>
      <c r="C215" s="899"/>
      <c r="D215" s="267"/>
      <c r="E215" s="267"/>
      <c r="F215" s="267"/>
      <c r="G215" s="267"/>
      <c r="H215" s="267"/>
      <c r="I215" s="267"/>
      <c r="J215" s="267"/>
      <c r="K215" s="267"/>
      <c r="L215" s="267"/>
    </row>
    <row r="216" spans="2:12" x14ac:dyDescent="0.25">
      <c r="B216" s="899"/>
      <c r="C216" s="899"/>
      <c r="D216" s="267"/>
      <c r="E216" s="267"/>
      <c r="F216" s="267"/>
      <c r="G216" s="267"/>
      <c r="H216" s="267"/>
      <c r="I216" s="267"/>
      <c r="J216" s="267"/>
      <c r="K216" s="267"/>
      <c r="L216" s="267"/>
    </row>
    <row r="217" spans="2:12" x14ac:dyDescent="0.25">
      <c r="B217" s="899"/>
      <c r="C217" s="899"/>
      <c r="D217" s="267"/>
      <c r="E217" s="267"/>
      <c r="F217" s="267"/>
      <c r="G217" s="267"/>
      <c r="H217" s="267"/>
      <c r="I217" s="267"/>
      <c r="J217" s="267"/>
      <c r="K217" s="267"/>
      <c r="L217" s="267"/>
    </row>
    <row r="218" spans="2:12" x14ac:dyDescent="0.25">
      <c r="B218" s="899"/>
      <c r="C218" s="899"/>
      <c r="D218" s="267"/>
      <c r="E218" s="267"/>
      <c r="F218" s="267"/>
      <c r="G218" s="267"/>
      <c r="H218" s="267"/>
      <c r="I218" s="267"/>
      <c r="J218" s="267"/>
      <c r="K218" s="267"/>
      <c r="L218" s="267"/>
    </row>
    <row r="219" spans="2:12" x14ac:dyDescent="0.25">
      <c r="B219" s="899"/>
      <c r="C219" s="899"/>
      <c r="D219" s="267"/>
      <c r="E219" s="267"/>
      <c r="F219" s="267"/>
      <c r="G219" s="267"/>
      <c r="H219" s="267"/>
      <c r="I219" s="267"/>
      <c r="J219" s="267"/>
      <c r="K219" s="267"/>
      <c r="L219" s="267"/>
    </row>
    <row r="220" spans="2:12" x14ac:dyDescent="0.25">
      <c r="B220" s="899"/>
      <c r="C220" s="899"/>
      <c r="D220" s="267"/>
      <c r="E220" s="267"/>
      <c r="F220" s="267"/>
      <c r="G220" s="267"/>
      <c r="H220" s="267"/>
      <c r="I220" s="267"/>
      <c r="J220" s="267"/>
      <c r="K220" s="267"/>
      <c r="L220" s="267"/>
    </row>
    <row r="221" spans="2:12" x14ac:dyDescent="0.25">
      <c r="B221" s="899"/>
      <c r="C221" s="899"/>
      <c r="D221" s="267"/>
      <c r="E221" s="267"/>
      <c r="F221" s="267"/>
      <c r="G221" s="267"/>
      <c r="H221" s="267"/>
      <c r="I221" s="267"/>
      <c r="J221" s="267"/>
      <c r="K221" s="267"/>
      <c r="L221" s="267"/>
    </row>
    <row r="222" spans="2:12" x14ac:dyDescent="0.25">
      <c r="B222" s="899"/>
      <c r="C222" s="899"/>
      <c r="D222" s="267"/>
      <c r="E222" s="267"/>
      <c r="F222" s="267"/>
      <c r="G222" s="267"/>
      <c r="H222" s="267"/>
      <c r="I222" s="267"/>
      <c r="J222" s="267"/>
      <c r="K222" s="267"/>
      <c r="L222" s="267"/>
    </row>
    <row r="223" spans="2:12" x14ac:dyDescent="0.25">
      <c r="B223" s="899"/>
      <c r="C223" s="899"/>
      <c r="D223" s="267"/>
      <c r="E223" s="267"/>
      <c r="F223" s="267"/>
      <c r="G223" s="267"/>
      <c r="H223" s="267"/>
      <c r="I223" s="267"/>
      <c r="J223" s="267"/>
      <c r="K223" s="267"/>
      <c r="L223" s="267"/>
    </row>
    <row r="224" spans="2:12" x14ac:dyDescent="0.25">
      <c r="B224" s="899"/>
      <c r="C224" s="899"/>
      <c r="D224" s="267"/>
      <c r="E224" s="267"/>
      <c r="F224" s="267"/>
      <c r="G224" s="267"/>
      <c r="H224" s="267"/>
      <c r="I224" s="267"/>
      <c r="J224" s="267"/>
      <c r="K224" s="267"/>
      <c r="L224" s="267"/>
    </row>
    <row r="225" spans="1:12" x14ac:dyDescent="0.25">
      <c r="B225" s="899"/>
      <c r="C225" s="899"/>
      <c r="D225" s="267"/>
      <c r="E225" s="267"/>
      <c r="F225" s="267"/>
      <c r="G225" s="267"/>
      <c r="H225" s="267"/>
      <c r="I225" s="267"/>
      <c r="J225" s="267"/>
      <c r="K225" s="267"/>
      <c r="L225" s="267"/>
    </row>
    <row r="226" spans="1:12" x14ac:dyDescent="0.25">
      <c r="B226" s="899"/>
      <c r="C226" s="899"/>
      <c r="D226" s="267"/>
      <c r="E226" s="267"/>
      <c r="F226" s="267"/>
      <c r="G226" s="267"/>
      <c r="H226" s="267"/>
      <c r="I226" s="267"/>
      <c r="J226" s="267"/>
      <c r="K226" s="267"/>
      <c r="L226" s="267"/>
    </row>
    <row r="227" spans="1:12" x14ac:dyDescent="0.25">
      <c r="B227" s="899"/>
      <c r="C227" s="899"/>
      <c r="D227" s="267"/>
      <c r="E227" s="267"/>
      <c r="F227" s="267"/>
      <c r="G227" s="267"/>
      <c r="H227" s="267"/>
      <c r="I227" s="267"/>
      <c r="J227" s="267"/>
      <c r="K227" s="267"/>
      <c r="L227" s="267"/>
    </row>
    <row r="228" spans="1:12" x14ac:dyDescent="0.25">
      <c r="B228" s="899"/>
      <c r="C228" s="899"/>
      <c r="D228" s="267"/>
      <c r="E228" s="267"/>
      <c r="F228" s="267"/>
      <c r="G228" s="267"/>
      <c r="H228" s="267"/>
      <c r="I228" s="267"/>
      <c r="J228" s="267"/>
      <c r="K228" s="267"/>
    </row>
    <row r="229" spans="1:12" x14ac:dyDescent="0.25">
      <c r="B229" s="899"/>
      <c r="C229" s="899"/>
      <c r="D229" s="267"/>
      <c r="E229" s="267"/>
      <c r="F229" s="267"/>
      <c r="G229" s="267"/>
      <c r="H229" s="267"/>
      <c r="I229" s="267"/>
      <c r="J229" s="267"/>
      <c r="K229" s="267"/>
    </row>
    <row r="230" spans="1:12" x14ac:dyDescent="0.25">
      <c r="B230" s="899"/>
      <c r="C230" s="899"/>
      <c r="D230" s="267"/>
      <c r="E230" s="267"/>
      <c r="F230" s="267"/>
      <c r="G230" s="267"/>
      <c r="H230" s="267"/>
      <c r="I230" s="267"/>
      <c r="J230" s="267"/>
      <c r="K230" s="267"/>
    </row>
    <row r="231" spans="1:12" x14ac:dyDescent="0.25">
      <c r="B231" s="899"/>
      <c r="C231" s="899"/>
      <c r="D231" s="267"/>
      <c r="E231" s="267"/>
      <c r="F231" s="267"/>
      <c r="G231" s="267"/>
      <c r="H231" s="267"/>
      <c r="I231" s="267"/>
      <c r="J231" s="267"/>
      <c r="K231" s="267"/>
    </row>
    <row r="232" spans="1:12" x14ac:dyDescent="0.25">
      <c r="B232" s="899"/>
      <c r="C232" s="899"/>
      <c r="D232" s="267"/>
      <c r="E232" s="267"/>
      <c r="F232" s="267"/>
      <c r="G232" s="267"/>
      <c r="H232" s="267"/>
      <c r="I232" s="267"/>
      <c r="J232" s="267"/>
      <c r="K232" s="267"/>
    </row>
    <row r="233" spans="1:12" x14ac:dyDescent="0.25">
      <c r="B233" s="899"/>
      <c r="C233" s="899"/>
      <c r="D233" s="267"/>
      <c r="E233" s="267"/>
      <c r="F233" s="267"/>
      <c r="G233" s="267"/>
      <c r="H233" s="267"/>
      <c r="I233" s="267"/>
      <c r="J233" s="267"/>
      <c r="K233" s="267"/>
      <c r="L233" s="267"/>
    </row>
    <row r="234" spans="1:12" s="2421" customFormat="1" x14ac:dyDescent="0.2">
      <c r="A234" s="2355"/>
      <c r="B234" s="2420"/>
      <c r="C234" s="2420"/>
      <c r="L234" s="2422"/>
    </row>
    <row r="235" spans="1:12" s="2421" customFormat="1" x14ac:dyDescent="0.2">
      <c r="A235" s="2355"/>
      <c r="B235" s="2420"/>
      <c r="C235" s="2420"/>
      <c r="L235" s="2422"/>
    </row>
    <row r="236" spans="1:12" s="2421" customFormat="1" x14ac:dyDescent="0.2">
      <c r="A236" s="2355"/>
      <c r="B236" s="2420"/>
      <c r="C236" s="2420"/>
      <c r="L236" s="2422"/>
    </row>
    <row r="237" spans="1:12" s="2421" customFormat="1" x14ac:dyDescent="0.2">
      <c r="A237" s="2355"/>
      <c r="B237" s="2420"/>
      <c r="C237" s="2420"/>
      <c r="L237" s="2422"/>
    </row>
    <row r="238" spans="1:12" s="2421" customFormat="1" x14ac:dyDescent="0.2">
      <c r="A238" s="2355"/>
      <c r="B238" s="2420"/>
      <c r="C238" s="2420"/>
      <c r="L238" s="2422"/>
    </row>
    <row r="239" spans="1:12" s="2421" customFormat="1" x14ac:dyDescent="0.25">
      <c r="A239" s="2355"/>
      <c r="B239" s="2420"/>
      <c r="C239" s="2420"/>
      <c r="L239" s="2423"/>
    </row>
    <row r="240" spans="1:12" s="2421" customFormat="1" x14ac:dyDescent="0.25">
      <c r="A240" s="2355"/>
      <c r="B240" s="2420"/>
      <c r="C240" s="2420"/>
      <c r="L240" s="2423"/>
    </row>
    <row r="241" spans="1:21" s="2421" customFormat="1" x14ac:dyDescent="0.2">
      <c r="A241" s="2355"/>
      <c r="B241" s="729"/>
      <c r="C241" s="729"/>
      <c r="D241" s="2424"/>
      <c r="E241" s="2425"/>
      <c r="F241" s="2425"/>
      <c r="G241" s="2425"/>
      <c r="H241" s="2426"/>
      <c r="I241" s="2426"/>
      <c r="J241" s="2424"/>
      <c r="K241" s="2424"/>
      <c r="L241" s="2427"/>
    </row>
    <row r="242" spans="1:21" s="2421" customFormat="1" x14ac:dyDescent="0.2">
      <c r="A242" s="2355"/>
      <c r="B242" s="2428"/>
      <c r="C242" s="2428"/>
      <c r="D242" s="2428"/>
      <c r="E242" s="2428"/>
      <c r="F242" s="2428"/>
      <c r="G242" s="2428"/>
      <c r="H242" s="2428"/>
      <c r="I242" s="2428"/>
      <c r="J242" s="2428"/>
      <c r="K242" s="2428"/>
      <c r="L242" s="2428"/>
    </row>
    <row r="243" spans="1:21" s="2421" customFormat="1" x14ac:dyDescent="0.2">
      <c r="A243" s="2355"/>
      <c r="B243" s="2428"/>
      <c r="C243" s="2428"/>
      <c r="D243" s="2428"/>
      <c r="E243" s="2428"/>
      <c r="F243" s="2428"/>
      <c r="G243" s="2428"/>
      <c r="H243" s="2428"/>
      <c r="I243" s="2428"/>
      <c r="J243" s="2428"/>
      <c r="K243" s="2428"/>
      <c r="L243" s="2428"/>
    </row>
    <row r="244" spans="1:21" s="2421" customFormat="1" x14ac:dyDescent="0.2">
      <c r="A244" s="2355"/>
      <c r="B244" s="2428"/>
      <c r="C244" s="2428"/>
      <c r="D244" s="2428"/>
      <c r="E244" s="2428"/>
      <c r="F244" s="2428"/>
      <c r="G244" s="2428"/>
      <c r="H244" s="2428"/>
      <c r="I244" s="2428"/>
      <c r="J244" s="2428"/>
      <c r="K244" s="2428"/>
      <c r="L244" s="2428"/>
    </row>
    <row r="245" spans="1:21" s="2421" customFormat="1" x14ac:dyDescent="0.2">
      <c r="A245" s="2355"/>
      <c r="B245" s="2428"/>
      <c r="C245" s="2428"/>
      <c r="D245" s="2428"/>
      <c r="E245" s="2428"/>
      <c r="F245" s="2428"/>
      <c r="G245" s="2428"/>
      <c r="H245" s="2428"/>
      <c r="I245" s="2428"/>
      <c r="J245" s="2428"/>
      <c r="K245" s="2428"/>
      <c r="L245" s="2428"/>
    </row>
    <row r="246" spans="1:21" s="2421" customFormat="1" x14ac:dyDescent="0.25">
      <c r="A246" s="2355"/>
      <c r="B246" s="2428"/>
      <c r="C246" s="2428"/>
      <c r="D246" s="2428"/>
      <c r="E246" s="2428"/>
      <c r="F246" s="2428"/>
      <c r="G246" s="2428"/>
      <c r="H246" s="2428"/>
      <c r="I246" s="2428"/>
      <c r="J246" s="2428"/>
      <c r="K246" s="2428"/>
      <c r="L246" s="2428"/>
      <c r="N246" s="2429"/>
      <c r="O246" s="2429"/>
      <c r="Q246" s="2430"/>
      <c r="R246" s="2429"/>
      <c r="S246" s="2429"/>
      <c r="U246" s="2429"/>
    </row>
    <row r="247" spans="1:21" s="2421" customFormat="1" x14ac:dyDescent="0.2">
      <c r="A247" s="2355"/>
      <c r="B247" s="2428"/>
      <c r="C247" s="2428"/>
      <c r="D247" s="2428"/>
      <c r="E247" s="2428"/>
      <c r="F247" s="2428"/>
      <c r="G247" s="2428"/>
      <c r="H247" s="2428"/>
      <c r="I247" s="2428"/>
      <c r="J247" s="2428"/>
      <c r="K247" s="2428"/>
      <c r="L247" s="2428"/>
    </row>
    <row r="248" spans="1:21" x14ac:dyDescent="0.25">
      <c r="B248" s="899"/>
      <c r="C248" s="899"/>
      <c r="D248" s="267"/>
      <c r="E248" s="267"/>
      <c r="F248" s="267"/>
      <c r="G248" s="267"/>
      <c r="H248" s="267"/>
      <c r="I248" s="267"/>
      <c r="J248" s="267"/>
      <c r="K248" s="267"/>
      <c r="L248" s="267"/>
    </row>
    <row r="249" spans="1:21" x14ac:dyDescent="0.25">
      <c r="B249" s="899"/>
      <c r="C249" s="899"/>
      <c r="D249" s="267"/>
      <c r="E249" s="267"/>
      <c r="F249" s="267"/>
      <c r="G249" s="267"/>
      <c r="H249" s="267"/>
      <c r="I249" s="267"/>
      <c r="J249" s="267"/>
      <c r="K249" s="267"/>
      <c r="L249" s="267"/>
    </row>
    <row r="250" spans="1:21" x14ac:dyDescent="0.25">
      <c r="B250" s="899"/>
      <c r="C250" s="899"/>
      <c r="D250" s="267"/>
      <c r="E250" s="267"/>
      <c r="F250" s="267"/>
      <c r="G250" s="267"/>
      <c r="H250" s="267"/>
      <c r="I250" s="267"/>
      <c r="J250" s="267"/>
      <c r="K250" s="267"/>
      <c r="L250" s="267"/>
    </row>
    <row r="251" spans="1:21" x14ac:dyDescent="0.25">
      <c r="B251" s="899"/>
      <c r="C251" s="899"/>
      <c r="D251" s="267"/>
      <c r="E251" s="267"/>
      <c r="F251" s="267"/>
      <c r="G251" s="267"/>
      <c r="H251" s="267"/>
      <c r="I251" s="267"/>
      <c r="J251" s="267"/>
      <c r="K251" s="267"/>
      <c r="L251" s="267"/>
    </row>
    <row r="252" spans="1:21" x14ac:dyDescent="0.25">
      <c r="C252" s="899"/>
      <c r="E252" s="267"/>
      <c r="F252" s="267"/>
      <c r="G252" s="267"/>
      <c r="H252" s="267"/>
      <c r="I252" s="267"/>
      <c r="J252" s="267"/>
      <c r="K252" s="267"/>
      <c r="L252" s="267"/>
    </row>
    <row r="253" spans="1:21" x14ac:dyDescent="0.25">
      <c r="C253" s="899"/>
      <c r="D253" s="999"/>
      <c r="E253" s="267"/>
      <c r="F253" s="267"/>
      <c r="G253" s="267"/>
      <c r="H253" s="267"/>
      <c r="I253" s="267"/>
      <c r="J253" s="267"/>
      <c r="K253" s="267"/>
      <c r="L253" s="267"/>
    </row>
    <row r="254" spans="1:21" x14ac:dyDescent="0.25">
      <c r="C254" s="899"/>
      <c r="D254" s="899"/>
      <c r="E254" s="267"/>
      <c r="F254" s="267"/>
      <c r="G254" s="267"/>
      <c r="H254" s="267"/>
      <c r="I254" s="267"/>
      <c r="J254" s="267"/>
      <c r="K254" s="267"/>
      <c r="L254" s="267"/>
    </row>
    <row r="255" spans="1:21" x14ac:dyDescent="0.25">
      <c r="B255" s="899"/>
      <c r="C255" s="899"/>
      <c r="D255" s="267"/>
      <c r="E255" s="267"/>
      <c r="F255" s="267"/>
      <c r="G255" s="267"/>
      <c r="H255" s="267"/>
      <c r="I255" s="267"/>
      <c r="J255" s="267"/>
      <c r="K255" s="267"/>
      <c r="L255" s="267"/>
    </row>
    <row r="256" spans="1:21" x14ac:dyDescent="0.25">
      <c r="B256" s="899"/>
      <c r="C256" s="899"/>
      <c r="D256" s="267"/>
      <c r="E256" s="267"/>
      <c r="F256" s="267"/>
      <c r="G256" s="267"/>
      <c r="H256" s="267"/>
      <c r="I256" s="267"/>
      <c r="J256" s="267"/>
      <c r="K256" s="267"/>
      <c r="L256" s="267"/>
    </row>
    <row r="257" spans="2:12" x14ac:dyDescent="0.25">
      <c r="B257" s="899"/>
      <c r="C257" s="899"/>
      <c r="D257" s="267"/>
      <c r="E257" s="267"/>
      <c r="F257" s="267"/>
      <c r="G257" s="267"/>
      <c r="H257" s="267"/>
      <c r="I257" s="267"/>
      <c r="J257" s="267"/>
      <c r="K257" s="267"/>
      <c r="L257" s="267"/>
    </row>
    <row r="258" spans="2:12" x14ac:dyDescent="0.25">
      <c r="B258" s="899"/>
      <c r="C258" s="899"/>
      <c r="D258" s="267"/>
      <c r="E258" s="267"/>
      <c r="F258" s="267"/>
      <c r="G258" s="267"/>
      <c r="H258" s="267"/>
      <c r="I258" s="267"/>
      <c r="J258" s="267"/>
      <c r="K258" s="267"/>
      <c r="L258" s="267"/>
    </row>
    <row r="259" spans="2:12" x14ac:dyDescent="0.25">
      <c r="B259" s="899"/>
      <c r="C259" s="899"/>
      <c r="D259" s="267"/>
      <c r="E259" s="267"/>
      <c r="F259" s="267"/>
      <c r="G259" s="267"/>
      <c r="H259" s="267"/>
      <c r="I259" s="267"/>
      <c r="J259" s="267"/>
      <c r="K259" s="267"/>
      <c r="L259" s="267"/>
    </row>
    <row r="260" spans="2:12" x14ac:dyDescent="0.25">
      <c r="B260" s="1391"/>
      <c r="C260" s="1391"/>
      <c r="D260" s="903"/>
      <c r="E260" s="267"/>
      <c r="F260" s="267"/>
      <c r="G260" s="267"/>
      <c r="H260" s="267"/>
      <c r="I260" s="267"/>
      <c r="J260" s="267"/>
      <c r="K260" s="267"/>
      <c r="L260" s="267"/>
    </row>
    <row r="261" spans="2:12" x14ac:dyDescent="0.25">
      <c r="B261" s="1391"/>
      <c r="C261" s="1391"/>
      <c r="D261" s="903"/>
      <c r="E261" s="267"/>
      <c r="F261" s="267"/>
      <c r="G261" s="267"/>
      <c r="H261" s="267"/>
      <c r="I261" s="267"/>
      <c r="J261" s="267"/>
      <c r="K261" s="267"/>
      <c r="L261" s="267"/>
    </row>
    <row r="262" spans="2:12" x14ac:dyDescent="0.25">
      <c r="B262" s="1391"/>
      <c r="C262" s="1391"/>
      <c r="D262" s="903"/>
      <c r="E262" s="267"/>
      <c r="F262" s="267"/>
      <c r="G262" s="267"/>
      <c r="H262" s="267"/>
      <c r="I262" s="267"/>
      <c r="J262" s="267"/>
      <c r="K262" s="267"/>
      <c r="L262" s="267"/>
    </row>
    <row r="263" spans="2:12" x14ac:dyDescent="0.25">
      <c r="B263" s="1391"/>
      <c r="C263" s="1391"/>
      <c r="D263" s="2431"/>
      <c r="E263" s="267"/>
      <c r="F263" s="267"/>
      <c r="G263" s="267"/>
      <c r="H263" s="267"/>
      <c r="I263" s="267"/>
      <c r="J263" s="267"/>
      <c r="K263" s="267"/>
      <c r="L263" s="267"/>
    </row>
    <row r="264" spans="2:12" x14ac:dyDescent="0.25">
      <c r="B264" s="1391"/>
      <c r="C264" s="1391"/>
      <c r="D264" s="17"/>
      <c r="E264" s="267"/>
      <c r="F264" s="267"/>
      <c r="G264" s="267"/>
      <c r="H264" s="267"/>
      <c r="I264" s="267"/>
      <c r="J264" s="267"/>
      <c r="K264" s="267"/>
      <c r="L264" s="267"/>
    </row>
    <row r="265" spans="2:12" x14ac:dyDescent="0.25">
      <c r="B265" s="1391"/>
      <c r="C265" s="1391"/>
      <c r="D265" s="17"/>
      <c r="E265" s="267"/>
      <c r="F265" s="267"/>
      <c r="G265" s="267"/>
      <c r="H265" s="267"/>
      <c r="I265" s="267"/>
      <c r="J265" s="267"/>
      <c r="K265" s="267"/>
      <c r="L265" s="267"/>
    </row>
    <row r="266" spans="2:12" x14ac:dyDescent="0.25">
      <c r="B266" s="1391"/>
      <c r="C266" s="1391"/>
      <c r="D266" s="17"/>
      <c r="E266" s="267"/>
      <c r="F266" s="267"/>
      <c r="G266" s="267"/>
      <c r="H266" s="267"/>
      <c r="I266" s="267"/>
      <c r="J266" s="267"/>
      <c r="K266" s="267"/>
      <c r="L266" s="267"/>
    </row>
    <row r="267" spans="2:12" x14ac:dyDescent="0.25">
      <c r="B267" s="1391"/>
      <c r="C267" s="1391"/>
      <c r="D267" s="17"/>
      <c r="E267" s="267"/>
      <c r="F267" s="267"/>
      <c r="G267" s="267"/>
      <c r="H267" s="267"/>
      <c r="I267" s="267"/>
      <c r="J267" s="267"/>
      <c r="K267" s="267"/>
      <c r="L267" s="267"/>
    </row>
    <row r="268" spans="2:12" x14ac:dyDescent="0.25">
      <c r="B268" s="1391"/>
      <c r="C268" s="1391"/>
      <c r="D268" s="17"/>
      <c r="E268" s="267"/>
      <c r="F268" s="267"/>
      <c r="G268" s="267"/>
      <c r="H268" s="267"/>
      <c r="I268" s="267"/>
      <c r="J268" s="267"/>
      <c r="K268" s="267"/>
      <c r="L268" s="267"/>
    </row>
    <row r="269" spans="2:12" x14ac:dyDescent="0.25">
      <c r="B269" s="1391"/>
      <c r="C269" s="1391"/>
      <c r="D269" s="903"/>
      <c r="E269" s="267"/>
      <c r="F269" s="267"/>
      <c r="G269" s="267"/>
      <c r="H269" s="267"/>
      <c r="I269" s="267"/>
      <c r="J269" s="267"/>
      <c r="K269" s="267"/>
      <c r="L269" s="267"/>
    </row>
    <row r="270" spans="2:12" x14ac:dyDescent="0.25">
      <c r="B270" s="1391"/>
      <c r="C270" s="1391"/>
      <c r="D270" s="2431"/>
      <c r="E270" s="267"/>
      <c r="F270" s="267"/>
      <c r="G270" s="267"/>
      <c r="H270" s="267"/>
      <c r="I270" s="267"/>
      <c r="J270" s="267"/>
      <c r="K270" s="267"/>
      <c r="L270" s="267"/>
    </row>
    <row r="271" spans="2:12" x14ac:dyDescent="0.25">
      <c r="B271" s="1391"/>
      <c r="C271" s="1391"/>
      <c r="D271" s="903"/>
      <c r="E271" s="267"/>
      <c r="F271" s="267"/>
      <c r="G271" s="267"/>
      <c r="H271" s="267"/>
      <c r="I271" s="267"/>
      <c r="J271" s="267"/>
      <c r="K271" s="267"/>
      <c r="L271" s="267"/>
    </row>
    <row r="272" spans="2:12" x14ac:dyDescent="0.25">
      <c r="B272" s="1391"/>
      <c r="C272" s="1391"/>
      <c r="D272" s="903"/>
      <c r="E272" s="267"/>
      <c r="F272" s="267"/>
      <c r="G272" s="267"/>
      <c r="H272" s="267"/>
      <c r="I272" s="267"/>
      <c r="J272" s="267"/>
      <c r="K272" s="267"/>
      <c r="L272" s="267"/>
    </row>
    <row r="273" spans="2:12" x14ac:dyDescent="0.25">
      <c r="B273" s="1391"/>
      <c r="C273" s="1391"/>
      <c r="D273" s="903"/>
      <c r="E273" s="267"/>
      <c r="F273" s="267"/>
      <c r="G273" s="267"/>
      <c r="H273" s="267"/>
      <c r="I273" s="267"/>
      <c r="J273" s="267"/>
      <c r="K273" s="267"/>
      <c r="L273" s="267"/>
    </row>
    <row r="274" spans="2:12" x14ac:dyDescent="0.25">
      <c r="D274" s="2432"/>
    </row>
    <row r="279" spans="2:12" x14ac:dyDescent="0.25">
      <c r="D279" s="764"/>
    </row>
  </sheetData>
  <mergeCells count="12">
    <mergeCell ref="D59:T59"/>
    <mergeCell ref="D60:T60"/>
    <mergeCell ref="F15:H15"/>
    <mergeCell ref="I15:K15"/>
    <mergeCell ref="L15:N15"/>
    <mergeCell ref="D2:T2"/>
    <mergeCell ref="D3:T3"/>
    <mergeCell ref="D4:T4"/>
    <mergeCell ref="D57:T57"/>
    <mergeCell ref="D58:T58"/>
    <mergeCell ref="O15:Q15"/>
    <mergeCell ref="R15:U15"/>
  </mergeCells>
  <pageMargins left="0.74803149606299213" right="0.74803149606299213" top="0.98425196850393704" bottom="0.98425196850393704" header="0.51181102362204722" footer="0.51181102362204722"/>
  <pageSetup paperSize="9" scale="72" fitToHeight="0" orientation="landscape" r:id="rId1"/>
  <headerFooter alignWithMargins="0">
    <oddHeader>&amp;C&amp;"-,Bold"DEVELOPMENT INDICATORS 2014</oddHeader>
    <oddFooter>&amp;LDepartment of Planning, Monitoring and Evaluation (DPME). &amp;CPage &amp;P of &amp;N&amp;R&amp;D</oddFooter>
  </headerFooter>
  <rowBreaks count="2" manualBreakCount="2">
    <brk id="42" max="20" man="1"/>
    <brk id="60" max="15"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B480"/>
  <sheetViews>
    <sheetView showGridLines="0" view="pageBreakPreview" zoomScaleNormal="100" zoomScaleSheetLayoutView="100" workbookViewId="0">
      <selection activeCell="L5" sqref="L5"/>
    </sheetView>
  </sheetViews>
  <sheetFormatPr defaultColWidth="9.140625" defaultRowHeight="15" x14ac:dyDescent="0.25"/>
  <cols>
    <col min="1" max="1" width="3.7109375" style="2355" customWidth="1"/>
    <col min="2" max="2" width="13.7109375" style="2355" customWidth="1"/>
    <col min="3" max="3" width="3.42578125" style="2355" customWidth="1"/>
    <col min="4" max="4" width="23.28515625" style="2357" customWidth="1"/>
    <col min="5" max="5" width="8.7109375" style="2357" customWidth="1"/>
    <col min="6" max="6" width="7" style="2357" customWidth="1"/>
    <col min="7" max="7" width="6.42578125" style="2357" customWidth="1"/>
    <col min="8" max="8" width="7.42578125" style="2357" customWidth="1"/>
    <col min="9" max="12" width="7" style="2357" bestFit="1" customWidth="1"/>
    <col min="13" max="13" width="6.42578125" style="2357" customWidth="1"/>
    <col min="14" max="14" width="6.5703125" style="2357" customWidth="1"/>
    <col min="15" max="15" width="6.7109375" style="2357" customWidth="1"/>
    <col min="16" max="16" width="6.5703125" style="2357" customWidth="1"/>
    <col min="17" max="17" width="6.85546875" style="2357" customWidth="1"/>
    <col min="18" max="18" width="6.5703125" style="2357" customWidth="1"/>
    <col min="19" max="19" width="6.85546875" style="2357" customWidth="1"/>
    <col min="20" max="20" width="6.42578125" style="2357" customWidth="1"/>
    <col min="21" max="21" width="7" style="2357" customWidth="1"/>
    <col min="22" max="22" width="6.5703125" style="2357" customWidth="1"/>
    <col min="23" max="23" width="7" style="2357" customWidth="1"/>
    <col min="24" max="24" width="6.140625" style="2357" customWidth="1"/>
    <col min="25" max="25" width="7.140625" style="2357" customWidth="1"/>
    <col min="26" max="26" width="7.42578125" style="2357" customWidth="1"/>
    <col min="27" max="27" width="6.28515625" style="2357" customWidth="1"/>
    <col min="28" max="28" width="6.42578125" style="2357" customWidth="1"/>
    <col min="29" max="257" width="9.140625" style="2357"/>
    <col min="258" max="258" width="3.7109375" style="2357" customWidth="1"/>
    <col min="259" max="259" width="13.7109375" style="2357" customWidth="1"/>
    <col min="260" max="260" width="3.42578125" style="2357" customWidth="1"/>
    <col min="261" max="261" width="18" style="2357" customWidth="1"/>
    <col min="262" max="262" width="8.7109375" style="2357" customWidth="1"/>
    <col min="263" max="263" width="10.140625" style="2357" customWidth="1"/>
    <col min="264" max="275" width="8.7109375" style="2357" customWidth="1"/>
    <col min="276" max="276" width="8.42578125" style="2357" customWidth="1"/>
    <col min="277" max="278" width="8.85546875" style="2357" customWidth="1"/>
    <col min="279" max="513" width="9.140625" style="2357"/>
    <col min="514" max="514" width="3.7109375" style="2357" customWidth="1"/>
    <col min="515" max="515" width="13.7109375" style="2357" customWidth="1"/>
    <col min="516" max="516" width="3.42578125" style="2357" customWidth="1"/>
    <col min="517" max="517" width="18" style="2357" customWidth="1"/>
    <col min="518" max="518" width="8.7109375" style="2357" customWidth="1"/>
    <col min="519" max="519" width="10.140625" style="2357" customWidth="1"/>
    <col min="520" max="531" width="8.7109375" style="2357" customWidth="1"/>
    <col min="532" max="532" width="8.42578125" style="2357" customWidth="1"/>
    <col min="533" max="534" width="8.85546875" style="2357" customWidth="1"/>
    <col min="535" max="769" width="9.140625" style="2357"/>
    <col min="770" max="770" width="3.7109375" style="2357" customWidth="1"/>
    <col min="771" max="771" width="13.7109375" style="2357" customWidth="1"/>
    <col min="772" max="772" width="3.42578125" style="2357" customWidth="1"/>
    <col min="773" max="773" width="18" style="2357" customWidth="1"/>
    <col min="774" max="774" width="8.7109375" style="2357" customWidth="1"/>
    <col min="775" max="775" width="10.140625" style="2357" customWidth="1"/>
    <col min="776" max="787" width="8.7109375" style="2357" customWidth="1"/>
    <col min="788" max="788" width="8.42578125" style="2357" customWidth="1"/>
    <col min="789" max="790" width="8.85546875" style="2357" customWidth="1"/>
    <col min="791" max="1025" width="9.140625" style="2357"/>
    <col min="1026" max="1026" width="3.7109375" style="2357" customWidth="1"/>
    <col min="1027" max="1027" width="13.7109375" style="2357" customWidth="1"/>
    <col min="1028" max="1028" width="3.42578125" style="2357" customWidth="1"/>
    <col min="1029" max="1029" width="18" style="2357" customWidth="1"/>
    <col min="1030" max="1030" width="8.7109375" style="2357" customWidth="1"/>
    <col min="1031" max="1031" width="10.140625" style="2357" customWidth="1"/>
    <col min="1032" max="1043" width="8.7109375" style="2357" customWidth="1"/>
    <col min="1044" max="1044" width="8.42578125" style="2357" customWidth="1"/>
    <col min="1045" max="1046" width="8.85546875" style="2357" customWidth="1"/>
    <col min="1047" max="1281" width="9.140625" style="2357"/>
    <col min="1282" max="1282" width="3.7109375" style="2357" customWidth="1"/>
    <col min="1283" max="1283" width="13.7109375" style="2357" customWidth="1"/>
    <col min="1284" max="1284" width="3.42578125" style="2357" customWidth="1"/>
    <col min="1285" max="1285" width="18" style="2357" customWidth="1"/>
    <col min="1286" max="1286" width="8.7109375" style="2357" customWidth="1"/>
    <col min="1287" max="1287" width="10.140625" style="2357" customWidth="1"/>
    <col min="1288" max="1299" width="8.7109375" style="2357" customWidth="1"/>
    <col min="1300" max="1300" width="8.42578125" style="2357" customWidth="1"/>
    <col min="1301" max="1302" width="8.85546875" style="2357" customWidth="1"/>
    <col min="1303" max="1537" width="9.140625" style="2357"/>
    <col min="1538" max="1538" width="3.7109375" style="2357" customWidth="1"/>
    <col min="1539" max="1539" width="13.7109375" style="2357" customWidth="1"/>
    <col min="1540" max="1540" width="3.42578125" style="2357" customWidth="1"/>
    <col min="1541" max="1541" width="18" style="2357" customWidth="1"/>
    <col min="1542" max="1542" width="8.7109375" style="2357" customWidth="1"/>
    <col min="1543" max="1543" width="10.140625" style="2357" customWidth="1"/>
    <col min="1544" max="1555" width="8.7109375" style="2357" customWidth="1"/>
    <col min="1556" max="1556" width="8.42578125" style="2357" customWidth="1"/>
    <col min="1557" max="1558" width="8.85546875" style="2357" customWidth="1"/>
    <col min="1559" max="1793" width="9.140625" style="2357"/>
    <col min="1794" max="1794" width="3.7109375" style="2357" customWidth="1"/>
    <col min="1795" max="1795" width="13.7109375" style="2357" customWidth="1"/>
    <col min="1796" max="1796" width="3.42578125" style="2357" customWidth="1"/>
    <col min="1797" max="1797" width="18" style="2357" customWidth="1"/>
    <col min="1798" max="1798" width="8.7109375" style="2357" customWidth="1"/>
    <col min="1799" max="1799" width="10.140625" style="2357" customWidth="1"/>
    <col min="1800" max="1811" width="8.7109375" style="2357" customWidth="1"/>
    <col min="1812" max="1812" width="8.42578125" style="2357" customWidth="1"/>
    <col min="1813" max="1814" width="8.85546875" style="2357" customWidth="1"/>
    <col min="1815" max="2049" width="9.140625" style="2357"/>
    <col min="2050" max="2050" width="3.7109375" style="2357" customWidth="1"/>
    <col min="2051" max="2051" width="13.7109375" style="2357" customWidth="1"/>
    <col min="2052" max="2052" width="3.42578125" style="2357" customWidth="1"/>
    <col min="2053" max="2053" width="18" style="2357" customWidth="1"/>
    <col min="2054" max="2054" width="8.7109375" style="2357" customWidth="1"/>
    <col min="2055" max="2055" width="10.140625" style="2357" customWidth="1"/>
    <col min="2056" max="2067" width="8.7109375" style="2357" customWidth="1"/>
    <col min="2068" max="2068" width="8.42578125" style="2357" customWidth="1"/>
    <col min="2069" max="2070" width="8.85546875" style="2357" customWidth="1"/>
    <col min="2071" max="2305" width="9.140625" style="2357"/>
    <col min="2306" max="2306" width="3.7109375" style="2357" customWidth="1"/>
    <col min="2307" max="2307" width="13.7109375" style="2357" customWidth="1"/>
    <col min="2308" max="2308" width="3.42578125" style="2357" customWidth="1"/>
    <col min="2309" max="2309" width="18" style="2357" customWidth="1"/>
    <col min="2310" max="2310" width="8.7109375" style="2357" customWidth="1"/>
    <col min="2311" max="2311" width="10.140625" style="2357" customWidth="1"/>
    <col min="2312" max="2323" width="8.7109375" style="2357" customWidth="1"/>
    <col min="2324" max="2324" width="8.42578125" style="2357" customWidth="1"/>
    <col min="2325" max="2326" width="8.85546875" style="2357" customWidth="1"/>
    <col min="2327" max="2561" width="9.140625" style="2357"/>
    <col min="2562" max="2562" width="3.7109375" style="2357" customWidth="1"/>
    <col min="2563" max="2563" width="13.7109375" style="2357" customWidth="1"/>
    <col min="2564" max="2564" width="3.42578125" style="2357" customWidth="1"/>
    <col min="2565" max="2565" width="18" style="2357" customWidth="1"/>
    <col min="2566" max="2566" width="8.7109375" style="2357" customWidth="1"/>
    <col min="2567" max="2567" width="10.140625" style="2357" customWidth="1"/>
    <col min="2568" max="2579" width="8.7109375" style="2357" customWidth="1"/>
    <col min="2580" max="2580" width="8.42578125" style="2357" customWidth="1"/>
    <col min="2581" max="2582" width="8.85546875" style="2357" customWidth="1"/>
    <col min="2583" max="2817" width="9.140625" style="2357"/>
    <col min="2818" max="2818" width="3.7109375" style="2357" customWidth="1"/>
    <col min="2819" max="2819" width="13.7109375" style="2357" customWidth="1"/>
    <col min="2820" max="2820" width="3.42578125" style="2357" customWidth="1"/>
    <col min="2821" max="2821" width="18" style="2357" customWidth="1"/>
    <col min="2822" max="2822" width="8.7109375" style="2357" customWidth="1"/>
    <col min="2823" max="2823" width="10.140625" style="2357" customWidth="1"/>
    <col min="2824" max="2835" width="8.7109375" style="2357" customWidth="1"/>
    <col min="2836" max="2836" width="8.42578125" style="2357" customWidth="1"/>
    <col min="2837" max="2838" width="8.85546875" style="2357" customWidth="1"/>
    <col min="2839" max="3073" width="9.140625" style="2357"/>
    <col min="3074" max="3074" width="3.7109375" style="2357" customWidth="1"/>
    <col min="3075" max="3075" width="13.7109375" style="2357" customWidth="1"/>
    <col min="3076" max="3076" width="3.42578125" style="2357" customWidth="1"/>
    <col min="3077" max="3077" width="18" style="2357" customWidth="1"/>
    <col min="3078" max="3078" width="8.7109375" style="2357" customWidth="1"/>
    <col min="3079" max="3079" width="10.140625" style="2357" customWidth="1"/>
    <col min="3080" max="3091" width="8.7109375" style="2357" customWidth="1"/>
    <col min="3092" max="3092" width="8.42578125" style="2357" customWidth="1"/>
    <col min="3093" max="3094" width="8.85546875" style="2357" customWidth="1"/>
    <col min="3095" max="3329" width="9.140625" style="2357"/>
    <col min="3330" max="3330" width="3.7109375" style="2357" customWidth="1"/>
    <col min="3331" max="3331" width="13.7109375" style="2357" customWidth="1"/>
    <col min="3332" max="3332" width="3.42578125" style="2357" customWidth="1"/>
    <col min="3333" max="3333" width="18" style="2357" customWidth="1"/>
    <col min="3334" max="3334" width="8.7109375" style="2357" customWidth="1"/>
    <col min="3335" max="3335" width="10.140625" style="2357" customWidth="1"/>
    <col min="3336" max="3347" width="8.7109375" style="2357" customWidth="1"/>
    <col min="3348" max="3348" width="8.42578125" style="2357" customWidth="1"/>
    <col min="3349" max="3350" width="8.85546875" style="2357" customWidth="1"/>
    <col min="3351" max="3585" width="9.140625" style="2357"/>
    <col min="3586" max="3586" width="3.7109375" style="2357" customWidth="1"/>
    <col min="3587" max="3587" width="13.7109375" style="2357" customWidth="1"/>
    <col min="3588" max="3588" width="3.42578125" style="2357" customWidth="1"/>
    <col min="3589" max="3589" width="18" style="2357" customWidth="1"/>
    <col min="3590" max="3590" width="8.7109375" style="2357" customWidth="1"/>
    <col min="3591" max="3591" width="10.140625" style="2357" customWidth="1"/>
    <col min="3592" max="3603" width="8.7109375" style="2357" customWidth="1"/>
    <col min="3604" max="3604" width="8.42578125" style="2357" customWidth="1"/>
    <col min="3605" max="3606" width="8.85546875" style="2357" customWidth="1"/>
    <col min="3607" max="3841" width="9.140625" style="2357"/>
    <col min="3842" max="3842" width="3.7109375" style="2357" customWidth="1"/>
    <col min="3843" max="3843" width="13.7109375" style="2357" customWidth="1"/>
    <col min="3844" max="3844" width="3.42578125" style="2357" customWidth="1"/>
    <col min="3845" max="3845" width="18" style="2357" customWidth="1"/>
    <col min="3846" max="3846" width="8.7109375" style="2357" customWidth="1"/>
    <col min="3847" max="3847" width="10.140625" style="2357" customWidth="1"/>
    <col min="3848" max="3859" width="8.7109375" style="2357" customWidth="1"/>
    <col min="3860" max="3860" width="8.42578125" style="2357" customWidth="1"/>
    <col min="3861" max="3862" width="8.85546875" style="2357" customWidth="1"/>
    <col min="3863" max="4097" width="9.140625" style="2357"/>
    <col min="4098" max="4098" width="3.7109375" style="2357" customWidth="1"/>
    <col min="4099" max="4099" width="13.7109375" style="2357" customWidth="1"/>
    <col min="4100" max="4100" width="3.42578125" style="2357" customWidth="1"/>
    <col min="4101" max="4101" width="18" style="2357" customWidth="1"/>
    <col min="4102" max="4102" width="8.7109375" style="2357" customWidth="1"/>
    <col min="4103" max="4103" width="10.140625" style="2357" customWidth="1"/>
    <col min="4104" max="4115" width="8.7109375" style="2357" customWidth="1"/>
    <col min="4116" max="4116" width="8.42578125" style="2357" customWidth="1"/>
    <col min="4117" max="4118" width="8.85546875" style="2357" customWidth="1"/>
    <col min="4119" max="4353" width="9.140625" style="2357"/>
    <col min="4354" max="4354" width="3.7109375" style="2357" customWidth="1"/>
    <col min="4355" max="4355" width="13.7109375" style="2357" customWidth="1"/>
    <col min="4356" max="4356" width="3.42578125" style="2357" customWidth="1"/>
    <col min="4357" max="4357" width="18" style="2357" customWidth="1"/>
    <col min="4358" max="4358" width="8.7109375" style="2357" customWidth="1"/>
    <col min="4359" max="4359" width="10.140625" style="2357" customWidth="1"/>
    <col min="4360" max="4371" width="8.7109375" style="2357" customWidth="1"/>
    <col min="4372" max="4372" width="8.42578125" style="2357" customWidth="1"/>
    <col min="4373" max="4374" width="8.85546875" style="2357" customWidth="1"/>
    <col min="4375" max="4609" width="9.140625" style="2357"/>
    <col min="4610" max="4610" width="3.7109375" style="2357" customWidth="1"/>
    <col min="4611" max="4611" width="13.7109375" style="2357" customWidth="1"/>
    <col min="4612" max="4612" width="3.42578125" style="2357" customWidth="1"/>
    <col min="4613" max="4613" width="18" style="2357" customWidth="1"/>
    <col min="4614" max="4614" width="8.7109375" style="2357" customWidth="1"/>
    <col min="4615" max="4615" width="10.140625" style="2357" customWidth="1"/>
    <col min="4616" max="4627" width="8.7109375" style="2357" customWidth="1"/>
    <col min="4628" max="4628" width="8.42578125" style="2357" customWidth="1"/>
    <col min="4629" max="4630" width="8.85546875" style="2357" customWidth="1"/>
    <col min="4631" max="4865" width="9.140625" style="2357"/>
    <col min="4866" max="4866" width="3.7109375" style="2357" customWidth="1"/>
    <col min="4867" max="4867" width="13.7109375" style="2357" customWidth="1"/>
    <col min="4868" max="4868" width="3.42578125" style="2357" customWidth="1"/>
    <col min="4869" max="4869" width="18" style="2357" customWidth="1"/>
    <col min="4870" max="4870" width="8.7109375" style="2357" customWidth="1"/>
    <col min="4871" max="4871" width="10.140625" style="2357" customWidth="1"/>
    <col min="4872" max="4883" width="8.7109375" style="2357" customWidth="1"/>
    <col min="4884" max="4884" width="8.42578125" style="2357" customWidth="1"/>
    <col min="4885" max="4886" width="8.85546875" style="2357" customWidth="1"/>
    <col min="4887" max="5121" width="9.140625" style="2357"/>
    <col min="5122" max="5122" width="3.7109375" style="2357" customWidth="1"/>
    <col min="5123" max="5123" width="13.7109375" style="2357" customWidth="1"/>
    <col min="5124" max="5124" width="3.42578125" style="2357" customWidth="1"/>
    <col min="5125" max="5125" width="18" style="2357" customWidth="1"/>
    <col min="5126" max="5126" width="8.7109375" style="2357" customWidth="1"/>
    <col min="5127" max="5127" width="10.140625" style="2357" customWidth="1"/>
    <col min="5128" max="5139" width="8.7109375" style="2357" customWidth="1"/>
    <col min="5140" max="5140" width="8.42578125" style="2357" customWidth="1"/>
    <col min="5141" max="5142" width="8.85546875" style="2357" customWidth="1"/>
    <col min="5143" max="5377" width="9.140625" style="2357"/>
    <col min="5378" max="5378" width="3.7109375" style="2357" customWidth="1"/>
    <col min="5379" max="5379" width="13.7109375" style="2357" customWidth="1"/>
    <col min="5380" max="5380" width="3.42578125" style="2357" customWidth="1"/>
    <col min="5381" max="5381" width="18" style="2357" customWidth="1"/>
    <col min="5382" max="5382" width="8.7109375" style="2357" customWidth="1"/>
    <col min="5383" max="5383" width="10.140625" style="2357" customWidth="1"/>
    <col min="5384" max="5395" width="8.7109375" style="2357" customWidth="1"/>
    <col min="5396" max="5396" width="8.42578125" style="2357" customWidth="1"/>
    <col min="5397" max="5398" width="8.85546875" style="2357" customWidth="1"/>
    <col min="5399" max="5633" width="9.140625" style="2357"/>
    <col min="5634" max="5634" width="3.7109375" style="2357" customWidth="1"/>
    <col min="5635" max="5635" width="13.7109375" style="2357" customWidth="1"/>
    <col min="5636" max="5636" width="3.42578125" style="2357" customWidth="1"/>
    <col min="5637" max="5637" width="18" style="2357" customWidth="1"/>
    <col min="5638" max="5638" width="8.7109375" style="2357" customWidth="1"/>
    <col min="5639" max="5639" width="10.140625" style="2357" customWidth="1"/>
    <col min="5640" max="5651" width="8.7109375" style="2357" customWidth="1"/>
    <col min="5652" max="5652" width="8.42578125" style="2357" customWidth="1"/>
    <col min="5653" max="5654" width="8.85546875" style="2357" customWidth="1"/>
    <col min="5655" max="5889" width="9.140625" style="2357"/>
    <col min="5890" max="5890" width="3.7109375" style="2357" customWidth="1"/>
    <col min="5891" max="5891" width="13.7109375" style="2357" customWidth="1"/>
    <col min="5892" max="5892" width="3.42578125" style="2357" customWidth="1"/>
    <col min="5893" max="5893" width="18" style="2357" customWidth="1"/>
    <col min="5894" max="5894" width="8.7109375" style="2357" customWidth="1"/>
    <col min="5895" max="5895" width="10.140625" style="2357" customWidth="1"/>
    <col min="5896" max="5907" width="8.7109375" style="2357" customWidth="1"/>
    <col min="5908" max="5908" width="8.42578125" style="2357" customWidth="1"/>
    <col min="5909" max="5910" width="8.85546875" style="2357" customWidth="1"/>
    <col min="5911" max="6145" width="9.140625" style="2357"/>
    <col min="6146" max="6146" width="3.7109375" style="2357" customWidth="1"/>
    <col min="6147" max="6147" width="13.7109375" style="2357" customWidth="1"/>
    <col min="6148" max="6148" width="3.42578125" style="2357" customWidth="1"/>
    <col min="6149" max="6149" width="18" style="2357" customWidth="1"/>
    <col min="6150" max="6150" width="8.7109375" style="2357" customWidth="1"/>
    <col min="6151" max="6151" width="10.140625" style="2357" customWidth="1"/>
    <col min="6152" max="6163" width="8.7109375" style="2357" customWidth="1"/>
    <col min="6164" max="6164" width="8.42578125" style="2357" customWidth="1"/>
    <col min="6165" max="6166" width="8.85546875" style="2357" customWidth="1"/>
    <col min="6167" max="6401" width="9.140625" style="2357"/>
    <col min="6402" max="6402" width="3.7109375" style="2357" customWidth="1"/>
    <col min="6403" max="6403" width="13.7109375" style="2357" customWidth="1"/>
    <col min="6404" max="6404" width="3.42578125" style="2357" customWidth="1"/>
    <col min="6405" max="6405" width="18" style="2357" customWidth="1"/>
    <col min="6406" max="6406" width="8.7109375" style="2357" customWidth="1"/>
    <col min="6407" max="6407" width="10.140625" style="2357" customWidth="1"/>
    <col min="6408" max="6419" width="8.7109375" style="2357" customWidth="1"/>
    <col min="6420" max="6420" width="8.42578125" style="2357" customWidth="1"/>
    <col min="6421" max="6422" width="8.85546875" style="2357" customWidth="1"/>
    <col min="6423" max="6657" width="9.140625" style="2357"/>
    <col min="6658" max="6658" width="3.7109375" style="2357" customWidth="1"/>
    <col min="6659" max="6659" width="13.7109375" style="2357" customWidth="1"/>
    <col min="6660" max="6660" width="3.42578125" style="2357" customWidth="1"/>
    <col min="6661" max="6661" width="18" style="2357" customWidth="1"/>
    <col min="6662" max="6662" width="8.7109375" style="2357" customWidth="1"/>
    <col min="6663" max="6663" width="10.140625" style="2357" customWidth="1"/>
    <col min="6664" max="6675" width="8.7109375" style="2357" customWidth="1"/>
    <col min="6676" max="6676" width="8.42578125" style="2357" customWidth="1"/>
    <col min="6677" max="6678" width="8.85546875" style="2357" customWidth="1"/>
    <col min="6679" max="6913" width="9.140625" style="2357"/>
    <col min="6914" max="6914" width="3.7109375" style="2357" customWidth="1"/>
    <col min="6915" max="6915" width="13.7109375" style="2357" customWidth="1"/>
    <col min="6916" max="6916" width="3.42578125" style="2357" customWidth="1"/>
    <col min="6917" max="6917" width="18" style="2357" customWidth="1"/>
    <col min="6918" max="6918" width="8.7109375" style="2357" customWidth="1"/>
    <col min="6919" max="6919" width="10.140625" style="2357" customWidth="1"/>
    <col min="6920" max="6931" width="8.7109375" style="2357" customWidth="1"/>
    <col min="6932" max="6932" width="8.42578125" style="2357" customWidth="1"/>
    <col min="6933" max="6934" width="8.85546875" style="2357" customWidth="1"/>
    <col min="6935" max="7169" width="9.140625" style="2357"/>
    <col min="7170" max="7170" width="3.7109375" style="2357" customWidth="1"/>
    <col min="7171" max="7171" width="13.7109375" style="2357" customWidth="1"/>
    <col min="7172" max="7172" width="3.42578125" style="2357" customWidth="1"/>
    <col min="7173" max="7173" width="18" style="2357" customWidth="1"/>
    <col min="7174" max="7174" width="8.7109375" style="2357" customWidth="1"/>
    <col min="7175" max="7175" width="10.140625" style="2357" customWidth="1"/>
    <col min="7176" max="7187" width="8.7109375" style="2357" customWidth="1"/>
    <col min="7188" max="7188" width="8.42578125" style="2357" customWidth="1"/>
    <col min="7189" max="7190" width="8.85546875" style="2357" customWidth="1"/>
    <col min="7191" max="7425" width="9.140625" style="2357"/>
    <col min="7426" max="7426" width="3.7109375" style="2357" customWidth="1"/>
    <col min="7427" max="7427" width="13.7109375" style="2357" customWidth="1"/>
    <col min="7428" max="7428" width="3.42578125" style="2357" customWidth="1"/>
    <col min="7429" max="7429" width="18" style="2357" customWidth="1"/>
    <col min="7430" max="7430" width="8.7109375" style="2357" customWidth="1"/>
    <col min="7431" max="7431" width="10.140625" style="2357" customWidth="1"/>
    <col min="7432" max="7443" width="8.7109375" style="2357" customWidth="1"/>
    <col min="7444" max="7444" width="8.42578125" style="2357" customWidth="1"/>
    <col min="7445" max="7446" width="8.85546875" style="2357" customWidth="1"/>
    <col min="7447" max="7681" width="9.140625" style="2357"/>
    <col min="7682" max="7682" width="3.7109375" style="2357" customWidth="1"/>
    <col min="7683" max="7683" width="13.7109375" style="2357" customWidth="1"/>
    <col min="7684" max="7684" width="3.42578125" style="2357" customWidth="1"/>
    <col min="7685" max="7685" width="18" style="2357" customWidth="1"/>
    <col min="7686" max="7686" width="8.7109375" style="2357" customWidth="1"/>
    <col min="7687" max="7687" width="10.140625" style="2357" customWidth="1"/>
    <col min="7688" max="7699" width="8.7109375" style="2357" customWidth="1"/>
    <col min="7700" max="7700" width="8.42578125" style="2357" customWidth="1"/>
    <col min="7701" max="7702" width="8.85546875" style="2357" customWidth="1"/>
    <col min="7703" max="7937" width="9.140625" style="2357"/>
    <col min="7938" max="7938" width="3.7109375" style="2357" customWidth="1"/>
    <col min="7939" max="7939" width="13.7109375" style="2357" customWidth="1"/>
    <col min="7940" max="7940" width="3.42578125" style="2357" customWidth="1"/>
    <col min="7941" max="7941" width="18" style="2357" customWidth="1"/>
    <col min="7942" max="7942" width="8.7109375" style="2357" customWidth="1"/>
    <col min="7943" max="7943" width="10.140625" style="2357" customWidth="1"/>
    <col min="7944" max="7955" width="8.7109375" style="2357" customWidth="1"/>
    <col min="7956" max="7956" width="8.42578125" style="2357" customWidth="1"/>
    <col min="7957" max="7958" width="8.85546875" style="2357" customWidth="1"/>
    <col min="7959" max="8193" width="9.140625" style="2357"/>
    <col min="8194" max="8194" width="3.7109375" style="2357" customWidth="1"/>
    <col min="8195" max="8195" width="13.7109375" style="2357" customWidth="1"/>
    <col min="8196" max="8196" width="3.42578125" style="2357" customWidth="1"/>
    <col min="8197" max="8197" width="18" style="2357" customWidth="1"/>
    <col min="8198" max="8198" width="8.7109375" style="2357" customWidth="1"/>
    <col min="8199" max="8199" width="10.140625" style="2357" customWidth="1"/>
    <col min="8200" max="8211" width="8.7109375" style="2357" customWidth="1"/>
    <col min="8212" max="8212" width="8.42578125" style="2357" customWidth="1"/>
    <col min="8213" max="8214" width="8.85546875" style="2357" customWidth="1"/>
    <col min="8215" max="8449" width="9.140625" style="2357"/>
    <col min="8450" max="8450" width="3.7109375" style="2357" customWidth="1"/>
    <col min="8451" max="8451" width="13.7109375" style="2357" customWidth="1"/>
    <col min="8452" max="8452" width="3.42578125" style="2357" customWidth="1"/>
    <col min="8453" max="8453" width="18" style="2357" customWidth="1"/>
    <col min="8454" max="8454" width="8.7109375" style="2357" customWidth="1"/>
    <col min="8455" max="8455" width="10.140625" style="2357" customWidth="1"/>
    <col min="8456" max="8467" width="8.7109375" style="2357" customWidth="1"/>
    <col min="8468" max="8468" width="8.42578125" style="2357" customWidth="1"/>
    <col min="8469" max="8470" width="8.85546875" style="2357" customWidth="1"/>
    <col min="8471" max="8705" width="9.140625" style="2357"/>
    <col min="8706" max="8706" width="3.7109375" style="2357" customWidth="1"/>
    <col min="8707" max="8707" width="13.7109375" style="2357" customWidth="1"/>
    <col min="8708" max="8708" width="3.42578125" style="2357" customWidth="1"/>
    <col min="8709" max="8709" width="18" style="2357" customWidth="1"/>
    <col min="8710" max="8710" width="8.7109375" style="2357" customWidth="1"/>
    <col min="8711" max="8711" width="10.140625" style="2357" customWidth="1"/>
    <col min="8712" max="8723" width="8.7109375" style="2357" customWidth="1"/>
    <col min="8724" max="8724" width="8.42578125" style="2357" customWidth="1"/>
    <col min="8725" max="8726" width="8.85546875" style="2357" customWidth="1"/>
    <col min="8727" max="8961" width="9.140625" style="2357"/>
    <col min="8962" max="8962" width="3.7109375" style="2357" customWidth="1"/>
    <col min="8963" max="8963" width="13.7109375" style="2357" customWidth="1"/>
    <col min="8964" max="8964" width="3.42578125" style="2357" customWidth="1"/>
    <col min="8965" max="8965" width="18" style="2357" customWidth="1"/>
    <col min="8966" max="8966" width="8.7109375" style="2357" customWidth="1"/>
    <col min="8967" max="8967" width="10.140625" style="2357" customWidth="1"/>
    <col min="8968" max="8979" width="8.7109375" style="2357" customWidth="1"/>
    <col min="8980" max="8980" width="8.42578125" style="2357" customWidth="1"/>
    <col min="8981" max="8982" width="8.85546875" style="2357" customWidth="1"/>
    <col min="8983" max="9217" width="9.140625" style="2357"/>
    <col min="9218" max="9218" width="3.7109375" style="2357" customWidth="1"/>
    <col min="9219" max="9219" width="13.7109375" style="2357" customWidth="1"/>
    <col min="9220" max="9220" width="3.42578125" style="2357" customWidth="1"/>
    <col min="9221" max="9221" width="18" style="2357" customWidth="1"/>
    <col min="9222" max="9222" width="8.7109375" style="2357" customWidth="1"/>
    <col min="9223" max="9223" width="10.140625" style="2357" customWidth="1"/>
    <col min="9224" max="9235" width="8.7109375" style="2357" customWidth="1"/>
    <col min="9236" max="9236" width="8.42578125" style="2357" customWidth="1"/>
    <col min="9237" max="9238" width="8.85546875" style="2357" customWidth="1"/>
    <col min="9239" max="9473" width="9.140625" style="2357"/>
    <col min="9474" max="9474" width="3.7109375" style="2357" customWidth="1"/>
    <col min="9475" max="9475" width="13.7109375" style="2357" customWidth="1"/>
    <col min="9476" max="9476" width="3.42578125" style="2357" customWidth="1"/>
    <col min="9477" max="9477" width="18" style="2357" customWidth="1"/>
    <col min="9478" max="9478" width="8.7109375" style="2357" customWidth="1"/>
    <col min="9479" max="9479" width="10.140625" style="2357" customWidth="1"/>
    <col min="9480" max="9491" width="8.7109375" style="2357" customWidth="1"/>
    <col min="9492" max="9492" width="8.42578125" style="2357" customWidth="1"/>
    <col min="9493" max="9494" width="8.85546875" style="2357" customWidth="1"/>
    <col min="9495" max="9729" width="9.140625" style="2357"/>
    <col min="9730" max="9730" width="3.7109375" style="2357" customWidth="1"/>
    <col min="9731" max="9731" width="13.7109375" style="2357" customWidth="1"/>
    <col min="9732" max="9732" width="3.42578125" style="2357" customWidth="1"/>
    <col min="9733" max="9733" width="18" style="2357" customWidth="1"/>
    <col min="9734" max="9734" width="8.7109375" style="2357" customWidth="1"/>
    <col min="9735" max="9735" width="10.140625" style="2357" customWidth="1"/>
    <col min="9736" max="9747" width="8.7109375" style="2357" customWidth="1"/>
    <col min="9748" max="9748" width="8.42578125" style="2357" customWidth="1"/>
    <col min="9749" max="9750" width="8.85546875" style="2357" customWidth="1"/>
    <col min="9751" max="9985" width="9.140625" style="2357"/>
    <col min="9986" max="9986" width="3.7109375" style="2357" customWidth="1"/>
    <col min="9987" max="9987" width="13.7109375" style="2357" customWidth="1"/>
    <col min="9988" max="9988" width="3.42578125" style="2357" customWidth="1"/>
    <col min="9989" max="9989" width="18" style="2357" customWidth="1"/>
    <col min="9990" max="9990" width="8.7109375" style="2357" customWidth="1"/>
    <col min="9991" max="9991" width="10.140625" style="2357" customWidth="1"/>
    <col min="9992" max="10003" width="8.7109375" style="2357" customWidth="1"/>
    <col min="10004" max="10004" width="8.42578125" style="2357" customWidth="1"/>
    <col min="10005" max="10006" width="8.85546875" style="2357" customWidth="1"/>
    <col min="10007" max="10241" width="9.140625" style="2357"/>
    <col min="10242" max="10242" width="3.7109375" style="2357" customWidth="1"/>
    <col min="10243" max="10243" width="13.7109375" style="2357" customWidth="1"/>
    <col min="10244" max="10244" width="3.42578125" style="2357" customWidth="1"/>
    <col min="10245" max="10245" width="18" style="2357" customWidth="1"/>
    <col min="10246" max="10246" width="8.7109375" style="2357" customWidth="1"/>
    <col min="10247" max="10247" width="10.140625" style="2357" customWidth="1"/>
    <col min="10248" max="10259" width="8.7109375" style="2357" customWidth="1"/>
    <col min="10260" max="10260" width="8.42578125" style="2357" customWidth="1"/>
    <col min="10261" max="10262" width="8.85546875" style="2357" customWidth="1"/>
    <col min="10263" max="10497" width="9.140625" style="2357"/>
    <col min="10498" max="10498" width="3.7109375" style="2357" customWidth="1"/>
    <col min="10499" max="10499" width="13.7109375" style="2357" customWidth="1"/>
    <col min="10500" max="10500" width="3.42578125" style="2357" customWidth="1"/>
    <col min="10501" max="10501" width="18" style="2357" customWidth="1"/>
    <col min="10502" max="10502" width="8.7109375" style="2357" customWidth="1"/>
    <col min="10503" max="10503" width="10.140625" style="2357" customWidth="1"/>
    <col min="10504" max="10515" width="8.7109375" style="2357" customWidth="1"/>
    <col min="10516" max="10516" width="8.42578125" style="2357" customWidth="1"/>
    <col min="10517" max="10518" width="8.85546875" style="2357" customWidth="1"/>
    <col min="10519" max="10753" width="9.140625" style="2357"/>
    <col min="10754" max="10754" width="3.7109375" style="2357" customWidth="1"/>
    <col min="10755" max="10755" width="13.7109375" style="2357" customWidth="1"/>
    <col min="10756" max="10756" width="3.42578125" style="2357" customWidth="1"/>
    <col min="10757" max="10757" width="18" style="2357" customWidth="1"/>
    <col min="10758" max="10758" width="8.7109375" style="2357" customWidth="1"/>
    <col min="10759" max="10759" width="10.140625" style="2357" customWidth="1"/>
    <col min="10760" max="10771" width="8.7109375" style="2357" customWidth="1"/>
    <col min="10772" max="10772" width="8.42578125" style="2357" customWidth="1"/>
    <col min="10773" max="10774" width="8.85546875" style="2357" customWidth="1"/>
    <col min="10775" max="11009" width="9.140625" style="2357"/>
    <col min="11010" max="11010" width="3.7109375" style="2357" customWidth="1"/>
    <col min="11011" max="11011" width="13.7109375" style="2357" customWidth="1"/>
    <col min="11012" max="11012" width="3.42578125" style="2357" customWidth="1"/>
    <col min="11013" max="11013" width="18" style="2357" customWidth="1"/>
    <col min="11014" max="11014" width="8.7109375" style="2357" customWidth="1"/>
    <col min="11015" max="11015" width="10.140625" style="2357" customWidth="1"/>
    <col min="11016" max="11027" width="8.7109375" style="2357" customWidth="1"/>
    <col min="11028" max="11028" width="8.42578125" style="2357" customWidth="1"/>
    <col min="11029" max="11030" width="8.85546875" style="2357" customWidth="1"/>
    <col min="11031" max="11265" width="9.140625" style="2357"/>
    <col min="11266" max="11266" width="3.7109375" style="2357" customWidth="1"/>
    <col min="11267" max="11267" width="13.7109375" style="2357" customWidth="1"/>
    <col min="11268" max="11268" width="3.42578125" style="2357" customWidth="1"/>
    <col min="11269" max="11269" width="18" style="2357" customWidth="1"/>
    <col min="11270" max="11270" width="8.7109375" style="2357" customWidth="1"/>
    <col min="11271" max="11271" width="10.140625" style="2357" customWidth="1"/>
    <col min="11272" max="11283" width="8.7109375" style="2357" customWidth="1"/>
    <col min="11284" max="11284" width="8.42578125" style="2357" customWidth="1"/>
    <col min="11285" max="11286" width="8.85546875" style="2357" customWidth="1"/>
    <col min="11287" max="11521" width="9.140625" style="2357"/>
    <col min="11522" max="11522" width="3.7109375" style="2357" customWidth="1"/>
    <col min="11523" max="11523" width="13.7109375" style="2357" customWidth="1"/>
    <col min="11524" max="11524" width="3.42578125" style="2357" customWidth="1"/>
    <col min="11525" max="11525" width="18" style="2357" customWidth="1"/>
    <col min="11526" max="11526" width="8.7109375" style="2357" customWidth="1"/>
    <col min="11527" max="11527" width="10.140625" style="2357" customWidth="1"/>
    <col min="11528" max="11539" width="8.7109375" style="2357" customWidth="1"/>
    <col min="11540" max="11540" width="8.42578125" style="2357" customWidth="1"/>
    <col min="11541" max="11542" width="8.85546875" style="2357" customWidth="1"/>
    <col min="11543" max="11777" width="9.140625" style="2357"/>
    <col min="11778" max="11778" width="3.7109375" style="2357" customWidth="1"/>
    <col min="11779" max="11779" width="13.7109375" style="2357" customWidth="1"/>
    <col min="11780" max="11780" width="3.42578125" style="2357" customWidth="1"/>
    <col min="11781" max="11781" width="18" style="2357" customWidth="1"/>
    <col min="11782" max="11782" width="8.7109375" style="2357" customWidth="1"/>
    <col min="11783" max="11783" width="10.140625" style="2357" customWidth="1"/>
    <col min="11784" max="11795" width="8.7109375" style="2357" customWidth="1"/>
    <col min="11796" max="11796" width="8.42578125" style="2357" customWidth="1"/>
    <col min="11797" max="11798" width="8.85546875" style="2357" customWidth="1"/>
    <col min="11799" max="12033" width="9.140625" style="2357"/>
    <col min="12034" max="12034" width="3.7109375" style="2357" customWidth="1"/>
    <col min="12035" max="12035" width="13.7109375" style="2357" customWidth="1"/>
    <col min="12036" max="12036" width="3.42578125" style="2357" customWidth="1"/>
    <col min="12037" max="12037" width="18" style="2357" customWidth="1"/>
    <col min="12038" max="12038" width="8.7109375" style="2357" customWidth="1"/>
    <col min="12039" max="12039" width="10.140625" style="2357" customWidth="1"/>
    <col min="12040" max="12051" width="8.7109375" style="2357" customWidth="1"/>
    <col min="12052" max="12052" width="8.42578125" style="2357" customWidth="1"/>
    <col min="12053" max="12054" width="8.85546875" style="2357" customWidth="1"/>
    <col min="12055" max="12289" width="9.140625" style="2357"/>
    <col min="12290" max="12290" width="3.7109375" style="2357" customWidth="1"/>
    <col min="12291" max="12291" width="13.7109375" style="2357" customWidth="1"/>
    <col min="12292" max="12292" width="3.42578125" style="2357" customWidth="1"/>
    <col min="12293" max="12293" width="18" style="2357" customWidth="1"/>
    <col min="12294" max="12294" width="8.7109375" style="2357" customWidth="1"/>
    <col min="12295" max="12295" width="10.140625" style="2357" customWidth="1"/>
    <col min="12296" max="12307" width="8.7109375" style="2357" customWidth="1"/>
    <col min="12308" max="12308" width="8.42578125" style="2357" customWidth="1"/>
    <col min="12309" max="12310" width="8.85546875" style="2357" customWidth="1"/>
    <col min="12311" max="12545" width="9.140625" style="2357"/>
    <col min="12546" max="12546" width="3.7109375" style="2357" customWidth="1"/>
    <col min="12547" max="12547" width="13.7109375" style="2357" customWidth="1"/>
    <col min="12548" max="12548" width="3.42578125" style="2357" customWidth="1"/>
    <col min="12549" max="12549" width="18" style="2357" customWidth="1"/>
    <col min="12550" max="12550" width="8.7109375" style="2357" customWidth="1"/>
    <col min="12551" max="12551" width="10.140625" style="2357" customWidth="1"/>
    <col min="12552" max="12563" width="8.7109375" style="2357" customWidth="1"/>
    <col min="12564" max="12564" width="8.42578125" style="2357" customWidth="1"/>
    <col min="12565" max="12566" width="8.85546875" style="2357" customWidth="1"/>
    <col min="12567" max="12801" width="9.140625" style="2357"/>
    <col min="12802" max="12802" width="3.7109375" style="2357" customWidth="1"/>
    <col min="12803" max="12803" width="13.7109375" style="2357" customWidth="1"/>
    <col min="12804" max="12804" width="3.42578125" style="2357" customWidth="1"/>
    <col min="12805" max="12805" width="18" style="2357" customWidth="1"/>
    <col min="12806" max="12806" width="8.7109375" style="2357" customWidth="1"/>
    <col min="12807" max="12807" width="10.140625" style="2357" customWidth="1"/>
    <col min="12808" max="12819" width="8.7109375" style="2357" customWidth="1"/>
    <col min="12820" max="12820" width="8.42578125" style="2357" customWidth="1"/>
    <col min="12821" max="12822" width="8.85546875" style="2357" customWidth="1"/>
    <col min="12823" max="13057" width="9.140625" style="2357"/>
    <col min="13058" max="13058" width="3.7109375" style="2357" customWidth="1"/>
    <col min="13059" max="13059" width="13.7109375" style="2357" customWidth="1"/>
    <col min="13060" max="13060" width="3.42578125" style="2357" customWidth="1"/>
    <col min="13061" max="13061" width="18" style="2357" customWidth="1"/>
    <col min="13062" max="13062" width="8.7109375" style="2357" customWidth="1"/>
    <col min="13063" max="13063" width="10.140625" style="2357" customWidth="1"/>
    <col min="13064" max="13075" width="8.7109375" style="2357" customWidth="1"/>
    <col min="13076" max="13076" width="8.42578125" style="2357" customWidth="1"/>
    <col min="13077" max="13078" width="8.85546875" style="2357" customWidth="1"/>
    <col min="13079" max="13313" width="9.140625" style="2357"/>
    <col min="13314" max="13314" width="3.7109375" style="2357" customWidth="1"/>
    <col min="13315" max="13315" width="13.7109375" style="2357" customWidth="1"/>
    <col min="13316" max="13316" width="3.42578125" style="2357" customWidth="1"/>
    <col min="13317" max="13317" width="18" style="2357" customWidth="1"/>
    <col min="13318" max="13318" width="8.7109375" style="2357" customWidth="1"/>
    <col min="13319" max="13319" width="10.140625" style="2357" customWidth="1"/>
    <col min="13320" max="13331" width="8.7109375" style="2357" customWidth="1"/>
    <col min="13332" max="13332" width="8.42578125" style="2357" customWidth="1"/>
    <col min="13333" max="13334" width="8.85546875" style="2357" customWidth="1"/>
    <col min="13335" max="13569" width="9.140625" style="2357"/>
    <col min="13570" max="13570" width="3.7109375" style="2357" customWidth="1"/>
    <col min="13571" max="13571" width="13.7109375" style="2357" customWidth="1"/>
    <col min="13572" max="13572" width="3.42578125" style="2357" customWidth="1"/>
    <col min="13573" max="13573" width="18" style="2357" customWidth="1"/>
    <col min="13574" max="13574" width="8.7109375" style="2357" customWidth="1"/>
    <col min="13575" max="13575" width="10.140625" style="2357" customWidth="1"/>
    <col min="13576" max="13587" width="8.7109375" style="2357" customWidth="1"/>
    <col min="13588" max="13588" width="8.42578125" style="2357" customWidth="1"/>
    <col min="13589" max="13590" width="8.85546875" style="2357" customWidth="1"/>
    <col min="13591" max="13825" width="9.140625" style="2357"/>
    <col min="13826" max="13826" width="3.7109375" style="2357" customWidth="1"/>
    <col min="13827" max="13827" width="13.7109375" style="2357" customWidth="1"/>
    <col min="13828" max="13828" width="3.42578125" style="2357" customWidth="1"/>
    <col min="13829" max="13829" width="18" style="2357" customWidth="1"/>
    <col min="13830" max="13830" width="8.7109375" style="2357" customWidth="1"/>
    <col min="13831" max="13831" width="10.140625" style="2357" customWidth="1"/>
    <col min="13832" max="13843" width="8.7109375" style="2357" customWidth="1"/>
    <col min="13844" max="13844" width="8.42578125" style="2357" customWidth="1"/>
    <col min="13845" max="13846" width="8.85546875" style="2357" customWidth="1"/>
    <col min="13847" max="14081" width="9.140625" style="2357"/>
    <col min="14082" max="14082" width="3.7109375" style="2357" customWidth="1"/>
    <col min="14083" max="14083" width="13.7109375" style="2357" customWidth="1"/>
    <col min="14084" max="14084" width="3.42578125" style="2357" customWidth="1"/>
    <col min="14085" max="14085" width="18" style="2357" customWidth="1"/>
    <col min="14086" max="14086" width="8.7109375" style="2357" customWidth="1"/>
    <col min="14087" max="14087" width="10.140625" style="2357" customWidth="1"/>
    <col min="14088" max="14099" width="8.7109375" style="2357" customWidth="1"/>
    <col min="14100" max="14100" width="8.42578125" style="2357" customWidth="1"/>
    <col min="14101" max="14102" width="8.85546875" style="2357" customWidth="1"/>
    <col min="14103" max="14337" width="9.140625" style="2357"/>
    <col min="14338" max="14338" width="3.7109375" style="2357" customWidth="1"/>
    <col min="14339" max="14339" width="13.7109375" style="2357" customWidth="1"/>
    <col min="14340" max="14340" width="3.42578125" style="2357" customWidth="1"/>
    <col min="14341" max="14341" width="18" style="2357" customWidth="1"/>
    <col min="14342" max="14342" width="8.7109375" style="2357" customWidth="1"/>
    <col min="14343" max="14343" width="10.140625" style="2357" customWidth="1"/>
    <col min="14344" max="14355" width="8.7109375" style="2357" customWidth="1"/>
    <col min="14356" max="14356" width="8.42578125" style="2357" customWidth="1"/>
    <col min="14357" max="14358" width="8.85546875" style="2357" customWidth="1"/>
    <col min="14359" max="14593" width="9.140625" style="2357"/>
    <col min="14594" max="14594" width="3.7109375" style="2357" customWidth="1"/>
    <col min="14595" max="14595" width="13.7109375" style="2357" customWidth="1"/>
    <col min="14596" max="14596" width="3.42578125" style="2357" customWidth="1"/>
    <col min="14597" max="14597" width="18" style="2357" customWidth="1"/>
    <col min="14598" max="14598" width="8.7109375" style="2357" customWidth="1"/>
    <col min="14599" max="14599" width="10.140625" style="2357" customWidth="1"/>
    <col min="14600" max="14611" width="8.7109375" style="2357" customWidth="1"/>
    <col min="14612" max="14612" width="8.42578125" style="2357" customWidth="1"/>
    <col min="14613" max="14614" width="8.85546875" style="2357" customWidth="1"/>
    <col min="14615" max="14849" width="9.140625" style="2357"/>
    <col min="14850" max="14850" width="3.7109375" style="2357" customWidth="1"/>
    <col min="14851" max="14851" width="13.7109375" style="2357" customWidth="1"/>
    <col min="14852" max="14852" width="3.42578125" style="2357" customWidth="1"/>
    <col min="14853" max="14853" width="18" style="2357" customWidth="1"/>
    <col min="14854" max="14854" width="8.7109375" style="2357" customWidth="1"/>
    <col min="14855" max="14855" width="10.140625" style="2357" customWidth="1"/>
    <col min="14856" max="14867" width="8.7109375" style="2357" customWidth="1"/>
    <col min="14868" max="14868" width="8.42578125" style="2357" customWidth="1"/>
    <col min="14869" max="14870" width="8.85546875" style="2357" customWidth="1"/>
    <col min="14871" max="15105" width="9.140625" style="2357"/>
    <col min="15106" max="15106" width="3.7109375" style="2357" customWidth="1"/>
    <col min="15107" max="15107" width="13.7109375" style="2357" customWidth="1"/>
    <col min="15108" max="15108" width="3.42578125" style="2357" customWidth="1"/>
    <col min="15109" max="15109" width="18" style="2357" customWidth="1"/>
    <col min="15110" max="15110" width="8.7109375" style="2357" customWidth="1"/>
    <col min="15111" max="15111" width="10.140625" style="2357" customWidth="1"/>
    <col min="15112" max="15123" width="8.7109375" style="2357" customWidth="1"/>
    <col min="15124" max="15124" width="8.42578125" style="2357" customWidth="1"/>
    <col min="15125" max="15126" width="8.85546875" style="2357" customWidth="1"/>
    <col min="15127" max="15361" width="9.140625" style="2357"/>
    <col min="15362" max="15362" width="3.7109375" style="2357" customWidth="1"/>
    <col min="15363" max="15363" width="13.7109375" style="2357" customWidth="1"/>
    <col min="15364" max="15364" width="3.42578125" style="2357" customWidth="1"/>
    <col min="15365" max="15365" width="18" style="2357" customWidth="1"/>
    <col min="15366" max="15366" width="8.7109375" style="2357" customWidth="1"/>
    <col min="15367" max="15367" width="10.140625" style="2357" customWidth="1"/>
    <col min="15368" max="15379" width="8.7109375" style="2357" customWidth="1"/>
    <col min="15380" max="15380" width="8.42578125" style="2357" customWidth="1"/>
    <col min="15381" max="15382" width="8.85546875" style="2357" customWidth="1"/>
    <col min="15383" max="15617" width="9.140625" style="2357"/>
    <col min="15618" max="15618" width="3.7109375" style="2357" customWidth="1"/>
    <col min="15619" max="15619" width="13.7109375" style="2357" customWidth="1"/>
    <col min="15620" max="15620" width="3.42578125" style="2357" customWidth="1"/>
    <col min="15621" max="15621" width="18" style="2357" customWidth="1"/>
    <col min="15622" max="15622" width="8.7109375" style="2357" customWidth="1"/>
    <col min="15623" max="15623" width="10.140625" style="2357" customWidth="1"/>
    <col min="15624" max="15635" width="8.7109375" style="2357" customWidth="1"/>
    <col min="15636" max="15636" width="8.42578125" style="2357" customWidth="1"/>
    <col min="15637" max="15638" width="8.85546875" style="2357" customWidth="1"/>
    <col min="15639" max="15873" width="9.140625" style="2357"/>
    <col min="15874" max="15874" width="3.7109375" style="2357" customWidth="1"/>
    <col min="15875" max="15875" width="13.7109375" style="2357" customWidth="1"/>
    <col min="15876" max="15876" width="3.42578125" style="2357" customWidth="1"/>
    <col min="15877" max="15877" width="18" style="2357" customWidth="1"/>
    <col min="15878" max="15878" width="8.7109375" style="2357" customWidth="1"/>
    <col min="15879" max="15879" width="10.140625" style="2357" customWidth="1"/>
    <col min="15880" max="15891" width="8.7109375" style="2357" customWidth="1"/>
    <col min="15892" max="15892" width="8.42578125" style="2357" customWidth="1"/>
    <col min="15893" max="15894" width="8.85546875" style="2357" customWidth="1"/>
    <col min="15895" max="16129" width="9.140625" style="2357"/>
    <col min="16130" max="16130" width="3.7109375" style="2357" customWidth="1"/>
    <col min="16131" max="16131" width="13.7109375" style="2357" customWidth="1"/>
    <col min="16132" max="16132" width="3.42578125" style="2357" customWidth="1"/>
    <col min="16133" max="16133" width="18" style="2357" customWidth="1"/>
    <col min="16134" max="16134" width="8.7109375" style="2357" customWidth="1"/>
    <col min="16135" max="16135" width="10.140625" style="2357" customWidth="1"/>
    <col min="16136" max="16147" width="8.7109375" style="2357" customWidth="1"/>
    <col min="16148" max="16148" width="8.42578125" style="2357" customWidth="1"/>
    <col min="16149" max="16150" width="8.85546875" style="2357" customWidth="1"/>
    <col min="16151" max="16384" width="9.140625" style="2357"/>
  </cols>
  <sheetData>
    <row r="1" spans="1:28" x14ac:dyDescent="0.25">
      <c r="D1" s="2356"/>
      <c r="E1" s="2356"/>
      <c r="F1" s="2356"/>
      <c r="G1" s="2356"/>
      <c r="H1" s="2356"/>
      <c r="I1" s="2356"/>
      <c r="J1" s="2356"/>
      <c r="K1" s="2356"/>
      <c r="L1" s="2356"/>
      <c r="M1" s="2356"/>
      <c r="N1" s="2356"/>
      <c r="O1" s="2356"/>
      <c r="P1" s="2356"/>
      <c r="Q1" s="2356"/>
      <c r="R1" s="2356"/>
      <c r="S1" s="2356"/>
    </row>
    <row r="2" spans="1:28" ht="15" customHeight="1" x14ac:dyDescent="0.25">
      <c r="A2" s="782">
        <v>1</v>
      </c>
      <c r="B2" s="2358" t="s">
        <v>0</v>
      </c>
      <c r="C2" s="2358">
        <f>1+'Crime Victims '!C2</f>
        <v>61</v>
      </c>
      <c r="D2" s="4063" t="s">
        <v>1050</v>
      </c>
      <c r="E2" s="4064"/>
      <c r="F2" s="4064"/>
      <c r="G2" s="4064"/>
      <c r="H2" s="4064"/>
      <c r="I2" s="4064"/>
      <c r="J2" s="4064"/>
      <c r="K2" s="4064"/>
      <c r="L2" s="4064"/>
      <c r="M2" s="4064"/>
      <c r="N2" s="4064"/>
      <c r="O2" s="4064"/>
      <c r="P2" s="4064"/>
      <c r="Q2" s="4064"/>
      <c r="R2" s="4064"/>
      <c r="S2" s="4064"/>
      <c r="T2" s="4064"/>
      <c r="U2" s="4064"/>
      <c r="V2" s="4064"/>
      <c r="W2" s="4064"/>
      <c r="X2" s="4064"/>
      <c r="Y2" s="4064"/>
      <c r="Z2" s="4064"/>
      <c r="AA2" s="4064"/>
      <c r="AB2" s="4065"/>
    </row>
    <row r="3" spans="1:28" ht="15" customHeight="1" x14ac:dyDescent="0.25">
      <c r="A3" s="782">
        <v>2</v>
      </c>
      <c r="B3" s="2358" t="s">
        <v>2</v>
      </c>
      <c r="C3" s="2358"/>
      <c r="D3" s="4063" t="s">
        <v>1032</v>
      </c>
      <c r="E3" s="4064"/>
      <c r="F3" s="4064"/>
      <c r="G3" s="4064"/>
      <c r="H3" s="4064"/>
      <c r="I3" s="4064"/>
      <c r="J3" s="4064"/>
      <c r="K3" s="4064"/>
      <c r="L3" s="4064"/>
      <c r="M3" s="4064"/>
      <c r="N3" s="4064"/>
      <c r="O3" s="4064"/>
      <c r="P3" s="4064"/>
      <c r="Q3" s="4064"/>
      <c r="R3" s="4064"/>
      <c r="S3" s="4064"/>
      <c r="T3" s="4064"/>
      <c r="U3" s="4064"/>
      <c r="V3" s="4064"/>
      <c r="W3" s="4064"/>
      <c r="X3" s="4064"/>
      <c r="Y3" s="4064"/>
      <c r="Z3" s="4064"/>
      <c r="AA3" s="4064"/>
      <c r="AB3" s="4065"/>
    </row>
    <row r="4" spans="1:28" ht="12.75" customHeight="1" x14ac:dyDescent="0.25">
      <c r="A4" s="782">
        <v>3</v>
      </c>
      <c r="B4" s="2358" t="s">
        <v>4</v>
      </c>
      <c r="C4" s="2433"/>
      <c r="D4" s="4063" t="s">
        <v>1051</v>
      </c>
      <c r="E4" s="4064"/>
      <c r="F4" s="4064"/>
      <c r="G4" s="4064"/>
      <c r="H4" s="4064"/>
      <c r="I4" s="4064"/>
      <c r="J4" s="4064"/>
      <c r="K4" s="4064"/>
      <c r="L4" s="4064"/>
      <c r="M4" s="4064"/>
      <c r="N4" s="4064"/>
      <c r="O4" s="4064"/>
      <c r="P4" s="4064"/>
      <c r="Q4" s="4064"/>
      <c r="R4" s="4064"/>
      <c r="S4" s="4064"/>
      <c r="T4" s="4064"/>
      <c r="U4" s="4064"/>
      <c r="V4" s="4064"/>
      <c r="W4" s="4064"/>
      <c r="X4" s="4064"/>
      <c r="Y4" s="4064"/>
      <c r="Z4" s="4064"/>
      <c r="AA4" s="4064"/>
      <c r="AB4" s="4065"/>
    </row>
    <row r="5" spans="1:28" ht="12.75" customHeight="1" x14ac:dyDescent="0.25">
      <c r="A5" s="782"/>
      <c r="B5" s="1076"/>
      <c r="C5" s="1076"/>
      <c r="D5" s="2361"/>
      <c r="E5" s="48"/>
      <c r="F5" s="48"/>
      <c r="G5" s="48"/>
      <c r="H5" s="48"/>
      <c r="I5" s="48"/>
      <c r="J5" s="48"/>
      <c r="K5" s="48"/>
      <c r="L5" s="48"/>
      <c r="M5" s="48"/>
      <c r="N5" s="48"/>
      <c r="O5" s="48"/>
      <c r="P5" s="48"/>
      <c r="Q5" s="48"/>
      <c r="R5" s="48"/>
    </row>
    <row r="6" spans="1:28" x14ac:dyDescent="0.25">
      <c r="A6" s="1083">
        <v>4</v>
      </c>
      <c r="B6" s="902" t="s">
        <v>5</v>
      </c>
      <c r="D6" s="122" t="s">
        <v>112</v>
      </c>
      <c r="E6" s="122" t="s">
        <v>1052</v>
      </c>
      <c r="F6" s="122"/>
      <c r="G6" s="122"/>
      <c r="H6" s="122"/>
      <c r="I6" s="122"/>
      <c r="J6" s="122"/>
      <c r="K6" s="122"/>
      <c r="L6" s="122"/>
      <c r="M6" s="139"/>
      <c r="N6" s="139"/>
      <c r="O6" s="139"/>
      <c r="P6" s="139"/>
      <c r="Q6" s="139"/>
      <c r="R6" s="139"/>
      <c r="W6" s="2434"/>
    </row>
    <row r="7" spans="1:28" x14ac:dyDescent="0.25">
      <c r="A7" s="1083"/>
      <c r="D7" s="3693"/>
      <c r="E7" s="3694" t="s">
        <v>131</v>
      </c>
      <c r="F7" s="3694" t="s">
        <v>132</v>
      </c>
      <c r="G7" s="3694" t="s">
        <v>133</v>
      </c>
      <c r="H7" s="3694" t="s">
        <v>134</v>
      </c>
      <c r="I7" s="3694" t="s">
        <v>135</v>
      </c>
      <c r="J7" s="3695" t="s">
        <v>136</v>
      </c>
      <c r="K7" s="3695" t="s">
        <v>137</v>
      </c>
      <c r="L7" s="3694" t="s">
        <v>138</v>
      </c>
      <c r="M7" s="3696" t="s">
        <v>139</v>
      </c>
      <c r="N7" s="3695" t="s">
        <v>140</v>
      </c>
      <c r="O7" s="3695" t="s">
        <v>141</v>
      </c>
      <c r="P7" s="3695" t="s">
        <v>1053</v>
      </c>
      <c r="Q7" s="3695" t="s">
        <v>143</v>
      </c>
      <c r="R7" s="3695" t="s">
        <v>144</v>
      </c>
      <c r="S7" s="3695" t="s">
        <v>145</v>
      </c>
      <c r="T7" s="3695" t="s">
        <v>8</v>
      </c>
      <c r="U7" s="3695" t="s">
        <v>9</v>
      </c>
      <c r="V7" s="3695" t="s">
        <v>10</v>
      </c>
      <c r="W7" s="3695" t="s">
        <v>11</v>
      </c>
      <c r="X7" s="3695" t="s">
        <v>12</v>
      </c>
      <c r="Y7" s="3695" t="s">
        <v>13</v>
      </c>
      <c r="Z7" s="3695" t="s">
        <v>14</v>
      </c>
      <c r="AA7" s="3695" t="s">
        <v>15</v>
      </c>
      <c r="AB7" s="3695" t="s">
        <v>333</v>
      </c>
    </row>
    <row r="8" spans="1:28" ht="18.75" customHeight="1" x14ac:dyDescent="0.25">
      <c r="A8" s="1083"/>
      <c r="D8" s="2439" t="s">
        <v>1054</v>
      </c>
      <c r="E8" s="2440">
        <v>1689.1</v>
      </c>
      <c r="F8" s="2440">
        <v>1693.4</v>
      </c>
      <c r="G8" s="2440">
        <v>1591.3</v>
      </c>
      <c r="H8" s="2440">
        <v>1615.9</v>
      </c>
      <c r="I8" s="2440">
        <v>1684.8</v>
      </c>
      <c r="J8" s="2440">
        <v>1679</v>
      </c>
      <c r="K8" s="2440">
        <v>1686.4</v>
      </c>
      <c r="L8" s="2440">
        <v>1623.3</v>
      </c>
      <c r="M8" s="2440">
        <v>1605.4</v>
      </c>
      <c r="N8" s="2440">
        <v>1434.3</v>
      </c>
      <c r="O8" s="2440">
        <v>1281.9999999999998</v>
      </c>
      <c r="P8" s="2440">
        <v>1217.1000000000001</v>
      </c>
      <c r="Q8" s="2440">
        <v>1154.6999999999998</v>
      </c>
      <c r="R8" s="2440">
        <v>1090</v>
      </c>
      <c r="S8" s="2440">
        <v>1093</v>
      </c>
      <c r="T8" s="2440">
        <v>1122</v>
      </c>
      <c r="U8" s="2440">
        <v>1069</v>
      </c>
      <c r="V8" s="2440">
        <v>1059.8</v>
      </c>
      <c r="W8" s="2440">
        <v>1078.4000000000001</v>
      </c>
      <c r="X8" s="2440">
        <v>1062.1010045753094</v>
      </c>
      <c r="Y8" s="2440">
        <v>1024.93885847705</v>
      </c>
      <c r="Z8" s="2440">
        <v>989.00047127840173</v>
      </c>
      <c r="AA8" s="2440">
        <f>(540653/55910000)*100000</f>
        <v>967.00590234305128</v>
      </c>
      <c r="AB8" s="2440">
        <f>(507975/56753327)*100000</f>
        <v>895.05765891046349</v>
      </c>
    </row>
    <row r="9" spans="1:28" x14ac:dyDescent="0.25">
      <c r="A9" s="1076"/>
      <c r="D9" s="2439" t="s">
        <v>1055</v>
      </c>
      <c r="E9" s="2440">
        <v>1625.8</v>
      </c>
      <c r="F9" s="2440">
        <v>1656.3</v>
      </c>
      <c r="G9" s="2440">
        <v>1618.5</v>
      </c>
      <c r="H9" s="2440">
        <v>1624.4</v>
      </c>
      <c r="I9" s="2440">
        <v>1675.1</v>
      </c>
      <c r="J9" s="2440">
        <v>1790.7</v>
      </c>
      <c r="K9" s="2440">
        <v>1901.9</v>
      </c>
      <c r="L9" s="2440">
        <v>1873.9</v>
      </c>
      <c r="M9" s="2440">
        <v>1951.7</v>
      </c>
      <c r="N9" s="2440">
        <v>1910.5</v>
      </c>
      <c r="O9" s="2440">
        <v>1818.8</v>
      </c>
      <c r="P9" s="2440">
        <v>1612.6000000000001</v>
      </c>
      <c r="Q9" s="2440">
        <v>1541.1</v>
      </c>
      <c r="R9" s="2440">
        <v>1447.3999999999999</v>
      </c>
      <c r="S9" s="2440">
        <v>1405.3</v>
      </c>
      <c r="T9" s="2440">
        <v>1371.3999999999999</v>
      </c>
      <c r="U9" s="2440">
        <v>1277.2</v>
      </c>
      <c r="V9" s="2440">
        <v>1232.5</v>
      </c>
      <c r="W9" s="2440">
        <v>1180.8000000000002</v>
      </c>
      <c r="X9" s="2440">
        <v>1170.9000000000001</v>
      </c>
      <c r="Y9" s="2440">
        <v>1142.5012734376101</v>
      </c>
      <c r="Z9" s="2440">
        <v>1134.0213876692462</v>
      </c>
      <c r="AA9" s="2440">
        <v>1088</v>
      </c>
      <c r="AB9" s="2440">
        <f>(601366/56753327)*100000</f>
        <v>1059.6136504913625</v>
      </c>
    </row>
    <row r="10" spans="1:28" x14ac:dyDescent="0.25">
      <c r="A10" s="782"/>
      <c r="D10" s="2439" t="s">
        <v>1056</v>
      </c>
      <c r="E10" s="2440">
        <v>1328.9</v>
      </c>
      <c r="F10" s="2440">
        <v>1293.4000000000001</v>
      </c>
      <c r="G10" s="2440">
        <v>1229.9000000000001</v>
      </c>
      <c r="H10" s="2440">
        <v>1277.3</v>
      </c>
      <c r="I10" s="2440">
        <v>1356.1</v>
      </c>
      <c r="J10" s="2440">
        <v>1463.9</v>
      </c>
      <c r="K10" s="2440">
        <v>1588.4</v>
      </c>
      <c r="L10" s="2440">
        <v>1569.7</v>
      </c>
      <c r="M10" s="2440">
        <v>1640.1</v>
      </c>
      <c r="N10" s="2440">
        <v>1582.8</v>
      </c>
      <c r="O10" s="2440">
        <v>1409.7</v>
      </c>
      <c r="P10" s="2440">
        <v>1175.8</v>
      </c>
      <c r="Q10" s="2440">
        <v>1144.4000000000001</v>
      </c>
      <c r="R10" s="2440">
        <v>1102.5</v>
      </c>
      <c r="S10" s="2440">
        <v>1134.5</v>
      </c>
      <c r="T10" s="2440">
        <v>1096.7</v>
      </c>
      <c r="U10" s="2440">
        <v>1069.9000000000001</v>
      </c>
      <c r="V10" s="2440">
        <v>1062.2</v>
      </c>
      <c r="W10" s="2440">
        <v>1005.7</v>
      </c>
      <c r="X10" s="2440">
        <v>978.19999999999993</v>
      </c>
      <c r="Y10" s="2440">
        <v>925.33320000000003</v>
      </c>
      <c r="Z10" s="2440">
        <v>871.72857275428566</v>
      </c>
      <c r="AA10" s="2440">
        <f>(469276/55910000)*100000</f>
        <v>839.34179932033624</v>
      </c>
      <c r="AB10" s="2440">
        <f>(438113/56753327)*100000</f>
        <v>771.96002976177942</v>
      </c>
    </row>
    <row r="11" spans="1:28" x14ac:dyDescent="0.25">
      <c r="A11" s="1076"/>
      <c r="D11" s="2439" t="s">
        <v>1057</v>
      </c>
      <c r="E11" s="2440">
        <v>346</v>
      </c>
      <c r="F11" s="2440">
        <v>352</v>
      </c>
      <c r="G11" s="2440">
        <v>344.7</v>
      </c>
      <c r="H11" s="2440">
        <v>331.4</v>
      </c>
      <c r="I11" s="2440">
        <v>331.5</v>
      </c>
      <c r="J11" s="2440">
        <v>334.3</v>
      </c>
      <c r="K11" s="2440">
        <v>339.7</v>
      </c>
      <c r="L11" s="2440">
        <v>344</v>
      </c>
      <c r="M11" s="2440">
        <v>365.8</v>
      </c>
      <c r="N11" s="2440">
        <v>360.2</v>
      </c>
      <c r="O11" s="2440">
        <v>341.3</v>
      </c>
      <c r="P11" s="2440">
        <v>324</v>
      </c>
      <c r="Q11" s="2440">
        <v>319.10000000000002</v>
      </c>
      <c r="R11" s="2440">
        <v>301.7</v>
      </c>
      <c r="S11" s="2441">
        <v>289.89999999999998</v>
      </c>
      <c r="T11" s="2441">
        <v>281.5</v>
      </c>
      <c r="U11" s="614">
        <v>263.8</v>
      </c>
      <c r="V11" s="614">
        <v>254.29999999999998</v>
      </c>
      <c r="W11" s="614">
        <v>243.29999999999998</v>
      </c>
      <c r="X11" s="614">
        <v>237</v>
      </c>
      <c r="Y11" s="621">
        <v>232.934168406792</v>
      </c>
      <c r="Z11" s="621">
        <v>227.09432300584641</v>
      </c>
      <c r="AA11" s="2440">
        <f>(120730/55910000)*100000</f>
        <v>215.93632623859776</v>
      </c>
      <c r="AB11" s="2440">
        <f>(115361/56753327)*100000</f>
        <v>203.26737849218952</v>
      </c>
    </row>
    <row r="12" spans="1:28" x14ac:dyDescent="0.25">
      <c r="A12" s="1076"/>
      <c r="D12" s="2442" t="s">
        <v>1058</v>
      </c>
      <c r="E12" s="2443">
        <v>4989.7999999999993</v>
      </c>
      <c r="F12" s="2443">
        <v>4995.1000000000004</v>
      </c>
      <c r="G12" s="2443">
        <v>4784.4000000000005</v>
      </c>
      <c r="H12" s="2443">
        <v>4849</v>
      </c>
      <c r="I12" s="2443">
        <v>5047.5</v>
      </c>
      <c r="J12" s="2443">
        <v>5267.9000000000005</v>
      </c>
      <c r="K12" s="2443">
        <v>5516.4000000000005</v>
      </c>
      <c r="L12" s="2443">
        <v>5410.9</v>
      </c>
      <c r="M12" s="2443">
        <v>5563.0000000000009</v>
      </c>
      <c r="N12" s="2443">
        <v>5287.8</v>
      </c>
      <c r="O12" s="2443">
        <v>4851.8</v>
      </c>
      <c r="P12" s="2443">
        <v>4329.5</v>
      </c>
      <c r="Q12" s="2443">
        <v>4159.3</v>
      </c>
      <c r="R12" s="2443">
        <v>3941.5999999999995</v>
      </c>
      <c r="S12" s="2443">
        <v>3922.7000000000003</v>
      </c>
      <c r="T12" s="2443">
        <v>3871.5999999999995</v>
      </c>
      <c r="U12" s="2443">
        <v>3679.9</v>
      </c>
      <c r="V12" s="2443">
        <v>3608.8</v>
      </c>
      <c r="W12" s="2443">
        <v>3508.2000000000007</v>
      </c>
      <c r="X12" s="2443">
        <v>3448.2010045753095</v>
      </c>
      <c r="Y12" s="2443">
        <f>SUM(Y8:Y11)</f>
        <v>3325.7075003214522</v>
      </c>
      <c r="Z12" s="2443">
        <f>SUM(Z8:Z11)</f>
        <v>3221.8447547077803</v>
      </c>
      <c r="AA12" s="2443">
        <f>SUM(AA8:AA11)</f>
        <v>3110.2840279019852</v>
      </c>
      <c r="AB12" s="2443">
        <f>SUM(AB8:AB11)</f>
        <v>2929.8987176557948</v>
      </c>
    </row>
    <row r="13" spans="1:28" s="2416" customFormat="1" hidden="1" x14ac:dyDescent="0.25">
      <c r="A13" s="1076"/>
      <c r="B13" s="2412"/>
      <c r="C13" s="2412"/>
      <c r="D13" s="2414"/>
      <c r="E13" s="2414"/>
      <c r="F13" s="2414"/>
      <c r="G13" s="2414"/>
      <c r="H13" s="2414"/>
      <c r="I13" s="2414"/>
      <c r="J13" s="2414"/>
      <c r="K13" s="2444"/>
      <c r="L13" s="2414"/>
      <c r="M13" s="2414"/>
      <c r="N13" s="2414"/>
      <c r="O13" s="2414"/>
      <c r="P13" s="2414"/>
      <c r="Q13" s="2414"/>
      <c r="R13" s="2414"/>
      <c r="S13" s="2357"/>
    </row>
    <row r="14" spans="1:28" hidden="1" x14ac:dyDescent="0.25">
      <c r="A14" s="1076"/>
      <c r="B14" s="2417"/>
      <c r="C14" s="902"/>
      <c r="D14" s="945"/>
      <c r="E14" s="2445"/>
      <c r="F14" s="2445"/>
      <c r="G14" s="2445"/>
      <c r="H14" s="2445"/>
      <c r="I14" s="139"/>
      <c r="J14" s="139"/>
      <c r="K14" s="139"/>
      <c r="L14" s="139"/>
      <c r="M14" s="139"/>
      <c r="N14" s="139"/>
      <c r="O14" s="120"/>
      <c r="P14" s="120"/>
      <c r="Q14" s="120"/>
      <c r="R14" s="120"/>
      <c r="S14" s="320"/>
      <c r="T14" s="2419"/>
      <c r="U14" s="2419"/>
      <c r="V14" s="2419"/>
      <c r="W14" s="2419"/>
      <c r="X14" s="2419"/>
    </row>
    <row r="15" spans="1:28" x14ac:dyDescent="0.25">
      <c r="A15" s="1076">
        <v>5</v>
      </c>
      <c r="B15" s="902" t="s">
        <v>90</v>
      </c>
      <c r="C15" s="899"/>
      <c r="D15" s="900"/>
      <c r="E15" s="120"/>
      <c r="F15" s="120"/>
      <c r="G15" s="120"/>
      <c r="H15" s="120"/>
      <c r="I15" s="120"/>
      <c r="J15" s="120"/>
      <c r="K15" s="120"/>
      <c r="L15" s="120"/>
      <c r="M15" s="120"/>
      <c r="N15" s="120"/>
      <c r="O15" s="120"/>
      <c r="P15" s="120"/>
      <c r="Q15" s="120"/>
      <c r="R15" s="120"/>
      <c r="S15" s="320"/>
      <c r="T15" s="2419"/>
      <c r="U15" s="2419"/>
      <c r="V15" s="2419"/>
      <c r="W15" s="2419"/>
      <c r="X15" s="2419"/>
    </row>
    <row r="16" spans="1:28" x14ac:dyDescent="0.25">
      <c r="A16" s="1076"/>
      <c r="B16" s="899"/>
      <c r="C16" s="899"/>
      <c r="D16" s="900"/>
      <c r="E16" s="120"/>
      <c r="F16" s="120"/>
      <c r="G16" s="120"/>
      <c r="H16" s="120"/>
      <c r="I16" s="120"/>
      <c r="J16" s="120"/>
      <c r="K16" s="120"/>
      <c r="L16" s="120"/>
      <c r="M16" s="120"/>
      <c r="N16" s="120"/>
      <c r="O16" s="120"/>
      <c r="P16" s="120"/>
      <c r="Q16" s="120"/>
      <c r="R16" s="120"/>
      <c r="S16" s="320"/>
      <c r="T16" s="2419"/>
      <c r="U16" s="2419"/>
      <c r="V16" s="2419"/>
      <c r="W16" s="2419"/>
      <c r="X16" s="2419"/>
    </row>
    <row r="17" spans="1:24" x14ac:dyDescent="0.25">
      <c r="A17" s="1076"/>
      <c r="B17" s="899"/>
      <c r="C17" s="899"/>
      <c r="D17" s="900"/>
      <c r="E17" s="120"/>
      <c r="F17" s="120"/>
      <c r="G17" s="120"/>
      <c r="H17" s="120"/>
      <c r="I17" s="120"/>
      <c r="J17" s="120"/>
      <c r="K17" s="120"/>
      <c r="L17" s="120"/>
      <c r="M17" s="120"/>
      <c r="N17" s="120"/>
      <c r="O17" s="120"/>
      <c r="P17" s="120"/>
      <c r="Q17" s="120"/>
      <c r="R17" s="120"/>
      <c r="S17" s="320"/>
      <c r="T17" s="2419"/>
      <c r="U17" s="2419"/>
      <c r="V17" s="2419"/>
      <c r="W17" s="2419"/>
      <c r="X17" s="2419"/>
    </row>
    <row r="18" spans="1:24" x14ac:dyDescent="0.25">
      <c r="A18" s="1076"/>
      <c r="B18" s="899"/>
      <c r="C18" s="899"/>
      <c r="D18" s="900"/>
      <c r="E18" s="120"/>
      <c r="F18" s="120"/>
      <c r="G18" s="120"/>
      <c r="H18" s="120"/>
      <c r="I18" s="120"/>
      <c r="J18" s="120"/>
      <c r="K18" s="120"/>
      <c r="L18" s="120"/>
      <c r="M18" s="120"/>
      <c r="N18" s="120"/>
      <c r="O18" s="120"/>
      <c r="P18" s="120"/>
      <c r="Q18" s="120"/>
      <c r="R18" s="120"/>
      <c r="S18" s="320"/>
    </row>
    <row r="19" spans="1:24" x14ac:dyDescent="0.25">
      <c r="A19" s="1076"/>
      <c r="B19" s="2446"/>
      <c r="C19" s="2446"/>
      <c r="D19" s="900"/>
      <c r="E19" s="120"/>
      <c r="F19" s="120"/>
      <c r="G19" s="120"/>
      <c r="H19" s="120"/>
      <c r="I19" s="120"/>
      <c r="J19" s="2445"/>
      <c r="K19" s="120"/>
      <c r="L19" s="120"/>
      <c r="M19" s="120"/>
      <c r="N19" s="120"/>
      <c r="O19" s="120"/>
      <c r="P19" s="120"/>
      <c r="Q19" s="120"/>
      <c r="R19" s="120"/>
      <c r="S19" s="320"/>
    </row>
    <row r="20" spans="1:24" x14ac:dyDescent="0.25">
      <c r="A20" s="1076"/>
      <c r="B20" s="899"/>
      <c r="C20" s="899"/>
      <c r="D20" s="900"/>
      <c r="E20" s="120"/>
      <c r="F20" s="120"/>
      <c r="G20" s="120"/>
      <c r="H20" s="120"/>
      <c r="I20" s="120"/>
      <c r="J20" s="120"/>
      <c r="K20" s="120"/>
      <c r="L20" s="120"/>
      <c r="M20" s="120"/>
      <c r="N20" s="120"/>
      <c r="O20" s="120"/>
      <c r="P20" s="120"/>
      <c r="Q20" s="120"/>
      <c r="R20" s="120"/>
      <c r="S20" s="320"/>
    </row>
    <row r="21" spans="1:24" x14ac:dyDescent="0.25">
      <c r="A21" s="1076"/>
      <c r="B21" s="899"/>
      <c r="C21" s="899"/>
      <c r="D21" s="900"/>
      <c r="E21" s="120"/>
      <c r="F21" s="120"/>
      <c r="G21" s="120"/>
      <c r="H21" s="120"/>
      <c r="I21" s="120"/>
      <c r="J21" s="120"/>
      <c r="K21" s="120"/>
      <c r="L21" s="120"/>
      <c r="M21" s="120"/>
      <c r="N21" s="120"/>
      <c r="O21" s="120"/>
      <c r="P21" s="120"/>
      <c r="Q21" s="120"/>
      <c r="R21" s="120"/>
      <c r="S21" s="320"/>
    </row>
    <row r="22" spans="1:24" x14ac:dyDescent="0.25">
      <c r="A22" s="1076"/>
      <c r="B22" s="899"/>
      <c r="C22" s="899"/>
      <c r="D22" s="900"/>
      <c r="E22" s="120"/>
      <c r="F22" s="120"/>
      <c r="G22" s="120"/>
      <c r="H22" s="120"/>
      <c r="I22" s="120"/>
      <c r="J22" s="120"/>
      <c r="K22" s="120"/>
      <c r="L22" s="120"/>
      <c r="M22" s="120"/>
      <c r="N22" s="120"/>
      <c r="O22" s="120"/>
      <c r="P22" s="120"/>
      <c r="Q22" s="120"/>
      <c r="R22" s="120"/>
      <c r="S22" s="320"/>
    </row>
    <row r="23" spans="1:24" x14ac:dyDescent="0.25">
      <c r="A23" s="1076"/>
      <c r="B23" s="899"/>
      <c r="C23" s="899"/>
      <c r="D23" s="900"/>
      <c r="E23" s="120"/>
      <c r="F23" s="120"/>
      <c r="G23" s="120"/>
      <c r="H23" s="120"/>
      <c r="I23" s="120"/>
      <c r="J23" s="120"/>
      <c r="K23" s="120"/>
      <c r="L23" s="120"/>
      <c r="M23" s="120"/>
      <c r="N23" s="120"/>
      <c r="O23" s="120"/>
      <c r="P23" s="120"/>
      <c r="Q23" s="120"/>
      <c r="R23" s="120"/>
      <c r="S23" s="320"/>
    </row>
    <row r="24" spans="1:24" x14ac:dyDescent="0.25">
      <c r="A24" s="1076"/>
      <c r="B24" s="899"/>
      <c r="C24" s="899"/>
      <c r="D24" s="900"/>
      <c r="E24" s="900"/>
      <c r="F24" s="900"/>
      <c r="G24" s="900"/>
      <c r="H24" s="900"/>
      <c r="I24" s="900"/>
      <c r="J24" s="900"/>
      <c r="K24" s="900"/>
      <c r="L24" s="900"/>
      <c r="M24" s="900"/>
      <c r="N24" s="900"/>
      <c r="O24" s="900"/>
      <c r="P24" s="900"/>
      <c r="Q24" s="900"/>
      <c r="R24" s="900"/>
      <c r="S24" s="2356"/>
    </row>
    <row r="25" spans="1:24" x14ac:dyDescent="0.25">
      <c r="A25" s="1076"/>
      <c r="B25" s="899"/>
      <c r="C25" s="899"/>
      <c r="D25" s="900"/>
      <c r="E25" s="900"/>
      <c r="F25" s="900"/>
      <c r="G25" s="900"/>
      <c r="H25" s="900"/>
      <c r="I25" s="900"/>
      <c r="J25" s="900"/>
      <c r="K25" s="900"/>
      <c r="L25" s="900"/>
      <c r="M25" s="900"/>
      <c r="N25" s="900"/>
      <c r="O25" s="900"/>
      <c r="P25" s="900"/>
      <c r="Q25" s="900"/>
      <c r="R25" s="900"/>
      <c r="S25" s="2356"/>
    </row>
    <row r="26" spans="1:24" x14ac:dyDescent="0.25">
      <c r="B26" s="899"/>
      <c r="C26" s="899"/>
      <c r="D26" s="900"/>
      <c r="E26" s="900"/>
      <c r="F26" s="900"/>
      <c r="G26" s="900"/>
      <c r="H26" s="900"/>
      <c r="I26" s="900"/>
      <c r="J26" s="900"/>
      <c r="K26" s="900"/>
      <c r="L26" s="900"/>
      <c r="M26" s="900"/>
      <c r="N26" s="900"/>
      <c r="O26" s="900"/>
      <c r="P26" s="900"/>
      <c r="Q26" s="900"/>
      <c r="R26" s="900"/>
      <c r="S26" s="2356"/>
    </row>
    <row r="27" spans="1:24" x14ac:dyDescent="0.25">
      <c r="A27" s="782"/>
      <c r="B27" s="899"/>
      <c r="C27" s="899"/>
      <c r="D27" s="900"/>
      <c r="E27" s="900"/>
      <c r="F27" s="900"/>
      <c r="G27" s="900"/>
      <c r="H27" s="900"/>
      <c r="I27" s="900"/>
      <c r="J27" s="900"/>
      <c r="K27" s="900"/>
      <c r="L27" s="900"/>
      <c r="M27" s="900"/>
      <c r="N27" s="900"/>
      <c r="O27" s="900"/>
      <c r="P27" s="900"/>
      <c r="Q27" s="900"/>
      <c r="R27" s="900"/>
      <c r="S27" s="2356"/>
    </row>
    <row r="28" spans="1:24" x14ac:dyDescent="0.25">
      <c r="A28" s="818"/>
      <c r="B28" s="899"/>
      <c r="C28" s="899"/>
      <c r="D28" s="900"/>
      <c r="E28" s="900"/>
      <c r="F28" s="900"/>
      <c r="G28" s="900"/>
      <c r="H28" s="900"/>
      <c r="I28" s="900"/>
      <c r="J28" s="900"/>
      <c r="K28" s="900"/>
      <c r="L28" s="900"/>
      <c r="M28" s="900"/>
      <c r="N28" s="900"/>
      <c r="O28" s="900"/>
      <c r="P28" s="900"/>
      <c r="Q28" s="900"/>
      <c r="R28" s="900"/>
      <c r="S28" s="2356"/>
    </row>
    <row r="29" spans="1:24" x14ac:dyDescent="0.25">
      <c r="A29" s="782"/>
      <c r="B29" s="2446"/>
      <c r="C29" s="2446"/>
      <c r="D29" s="900"/>
      <c r="E29" s="900"/>
      <c r="F29" s="900"/>
      <c r="G29" s="900"/>
      <c r="H29" s="900"/>
      <c r="I29" s="900"/>
      <c r="J29" s="900"/>
      <c r="K29" s="900"/>
      <c r="L29" s="900"/>
      <c r="M29" s="900"/>
      <c r="N29" s="900"/>
      <c r="O29" s="900"/>
      <c r="P29" s="900"/>
      <c r="Q29" s="900"/>
      <c r="R29" s="900"/>
      <c r="S29" s="2356"/>
    </row>
    <row r="30" spans="1:24" x14ac:dyDescent="0.25">
      <c r="B30" s="899"/>
      <c r="C30" s="899"/>
      <c r="D30" s="900"/>
      <c r="E30" s="900"/>
      <c r="F30" s="900"/>
      <c r="G30" s="900"/>
      <c r="H30" s="900"/>
      <c r="I30" s="900"/>
      <c r="J30" s="900"/>
      <c r="K30" s="900"/>
      <c r="L30" s="900"/>
      <c r="M30" s="900"/>
      <c r="N30" s="900"/>
      <c r="O30" s="900"/>
      <c r="P30" s="900"/>
      <c r="Q30" s="900"/>
      <c r="R30" s="900"/>
      <c r="S30" s="2356"/>
    </row>
    <row r="31" spans="1:24" x14ac:dyDescent="0.25">
      <c r="B31" s="899"/>
      <c r="C31" s="899"/>
      <c r="D31" s="900"/>
      <c r="E31" s="900"/>
      <c r="F31" s="900"/>
      <c r="G31" s="900"/>
      <c r="H31" s="900"/>
      <c r="I31" s="900"/>
      <c r="J31" s="900"/>
      <c r="K31" s="900"/>
      <c r="L31" s="900"/>
      <c r="M31" s="900"/>
      <c r="N31" s="900"/>
      <c r="O31" s="900"/>
      <c r="P31" s="900"/>
      <c r="Q31" s="900"/>
      <c r="R31" s="900"/>
      <c r="S31" s="2356"/>
    </row>
    <row r="32" spans="1:24" ht="13.5" customHeight="1" x14ac:dyDescent="0.25">
      <c r="B32" s="899"/>
      <c r="C32" s="899"/>
      <c r="D32" s="900"/>
      <c r="E32" s="900"/>
      <c r="F32" s="900"/>
      <c r="G32" s="900"/>
      <c r="H32" s="900"/>
      <c r="I32" s="900"/>
      <c r="J32" s="900"/>
      <c r="K32" s="900"/>
      <c r="L32" s="900"/>
      <c r="M32" s="900"/>
      <c r="N32" s="900"/>
      <c r="O32" s="900"/>
      <c r="P32" s="900"/>
      <c r="Q32" s="900"/>
      <c r="R32" s="900"/>
      <c r="S32" s="2356"/>
    </row>
    <row r="33" spans="1:28" ht="9.75" customHeight="1" x14ac:dyDescent="0.25">
      <c r="B33" s="899"/>
      <c r="C33" s="899"/>
      <c r="D33" s="900"/>
      <c r="E33" s="900"/>
      <c r="F33" s="900"/>
      <c r="G33" s="900"/>
      <c r="H33" s="900"/>
      <c r="I33" s="900"/>
      <c r="J33" s="900"/>
      <c r="K33" s="900"/>
      <c r="L33" s="900"/>
      <c r="M33" s="900"/>
      <c r="N33" s="900"/>
      <c r="O33" s="900"/>
      <c r="P33" s="900"/>
      <c r="Q33" s="900"/>
      <c r="R33" s="900"/>
      <c r="S33" s="2356"/>
    </row>
    <row r="34" spans="1:28" ht="13.5" customHeight="1" x14ac:dyDescent="0.25">
      <c r="A34" s="1076">
        <v>7</v>
      </c>
      <c r="B34" s="782" t="s">
        <v>29</v>
      </c>
      <c r="C34" s="782"/>
      <c r="D34" s="4066" t="s">
        <v>1059</v>
      </c>
      <c r="E34" s="4382"/>
      <c r="F34" s="4382"/>
      <c r="G34" s="4382"/>
      <c r="H34" s="4382"/>
      <c r="I34" s="4382"/>
      <c r="J34" s="4382"/>
      <c r="K34" s="4382"/>
      <c r="L34" s="4382"/>
      <c r="M34" s="4382"/>
      <c r="N34" s="4382"/>
      <c r="O34" s="4382"/>
      <c r="P34" s="4382"/>
      <c r="Q34" s="4382"/>
      <c r="R34" s="4382"/>
      <c r="S34" s="4383"/>
    </row>
    <row r="35" spans="1:28" ht="43.5" customHeight="1" x14ac:dyDescent="0.25">
      <c r="A35" s="1076">
        <v>8</v>
      </c>
      <c r="B35" s="818" t="s">
        <v>32</v>
      </c>
      <c r="C35" s="818"/>
      <c r="D35" s="4132" t="s">
        <v>1060</v>
      </c>
      <c r="E35" s="4384"/>
      <c r="F35" s="4384"/>
      <c r="G35" s="4384"/>
      <c r="H35" s="4384"/>
      <c r="I35" s="4384"/>
      <c r="J35" s="4384"/>
      <c r="K35" s="4384"/>
      <c r="L35" s="4384"/>
      <c r="M35" s="4384"/>
      <c r="N35" s="4384"/>
      <c r="O35" s="4384"/>
      <c r="P35" s="4384"/>
      <c r="Q35" s="4384"/>
      <c r="R35" s="4384"/>
      <c r="S35" s="4385"/>
    </row>
    <row r="36" spans="1:28" ht="12.75" customHeight="1" x14ac:dyDescent="0.25">
      <c r="A36" s="1076">
        <v>9</v>
      </c>
      <c r="B36" s="782" t="s">
        <v>31</v>
      </c>
      <c r="C36" s="782"/>
      <c r="D36" s="4066" t="s">
        <v>1061</v>
      </c>
      <c r="E36" s="4382"/>
      <c r="F36" s="4382"/>
      <c r="G36" s="4382"/>
      <c r="H36" s="4382"/>
      <c r="I36" s="4382"/>
      <c r="J36" s="4382"/>
      <c r="K36" s="4382"/>
      <c r="L36" s="4382"/>
      <c r="M36" s="4382"/>
      <c r="N36" s="4382"/>
      <c r="O36" s="4382"/>
      <c r="P36" s="4382"/>
      <c r="Q36" s="4382"/>
      <c r="R36" s="4382"/>
      <c r="S36" s="4383"/>
    </row>
    <row r="37" spans="1:28" ht="27.75" customHeight="1" x14ac:dyDescent="0.25">
      <c r="A37" s="1076">
        <v>10</v>
      </c>
      <c r="B37" s="782" t="s">
        <v>157</v>
      </c>
      <c r="C37" s="782"/>
      <c r="D37" s="4066" t="s">
        <v>1062</v>
      </c>
      <c r="E37" s="4382"/>
      <c r="F37" s="4382"/>
      <c r="G37" s="4382"/>
      <c r="H37" s="4382"/>
      <c r="I37" s="4382"/>
      <c r="J37" s="4382"/>
      <c r="K37" s="4382"/>
      <c r="L37" s="4382"/>
      <c r="M37" s="4382"/>
      <c r="N37" s="4382"/>
      <c r="O37" s="4382"/>
      <c r="P37" s="4382"/>
      <c r="Q37" s="4382"/>
      <c r="R37" s="4382"/>
      <c r="S37" s="4383"/>
    </row>
    <row r="38" spans="1:28" hidden="1" x14ac:dyDescent="0.25">
      <c r="B38" s="899"/>
      <c r="C38" s="899"/>
      <c r="D38" s="267"/>
      <c r="E38" s="267"/>
      <c r="F38" s="267"/>
      <c r="G38" s="267"/>
      <c r="H38" s="267"/>
      <c r="I38" s="267"/>
      <c r="J38" s="267"/>
      <c r="K38" s="267"/>
      <c r="L38" s="267"/>
      <c r="M38" s="267"/>
      <c r="N38" s="267"/>
      <c r="O38" s="267"/>
      <c r="P38" s="267"/>
      <c r="Q38" s="267"/>
      <c r="R38" s="267"/>
    </row>
    <row r="39" spans="1:28" s="360" customFormat="1" hidden="1" x14ac:dyDescent="0.25">
      <c r="A39" s="2447"/>
      <c r="B39" s="783"/>
      <c r="C39" s="783"/>
      <c r="D39" s="44"/>
      <c r="E39" s="44"/>
      <c r="F39" s="44"/>
      <c r="G39" s="44"/>
      <c r="H39" s="44"/>
      <c r="I39" s="44"/>
      <c r="J39" s="44"/>
      <c r="K39" s="44"/>
      <c r="L39" s="44"/>
      <c r="M39" s="44"/>
      <c r="N39" s="44"/>
      <c r="O39" s="44"/>
      <c r="P39" s="44"/>
      <c r="Q39" s="44"/>
      <c r="R39" s="44"/>
    </row>
    <row r="40" spans="1:28" s="360" customFormat="1" x14ac:dyDescent="0.25">
      <c r="A40" s="2447"/>
      <c r="B40" s="783"/>
      <c r="C40" s="783"/>
      <c r="D40" s="44"/>
      <c r="E40" s="44"/>
      <c r="F40" s="44"/>
      <c r="G40" s="44"/>
      <c r="H40" s="44"/>
      <c r="I40" s="44"/>
      <c r="J40" s="44"/>
      <c r="K40" s="44"/>
      <c r="L40" s="44"/>
      <c r="M40" s="44"/>
      <c r="N40" s="44"/>
      <c r="O40" s="44"/>
      <c r="P40" s="44"/>
      <c r="Q40" s="44"/>
      <c r="R40" s="44"/>
    </row>
    <row r="41" spans="1:28" s="360" customFormat="1" x14ac:dyDescent="0.25">
      <c r="A41" s="2447"/>
      <c r="B41" s="783"/>
      <c r="C41" s="783"/>
      <c r="D41" s="122" t="s">
        <v>112</v>
      </c>
      <c r="E41" s="122" t="s">
        <v>1052</v>
      </c>
      <c r="F41" s="122"/>
      <c r="G41" s="122"/>
      <c r="H41" s="122"/>
      <c r="I41" s="122"/>
      <c r="J41" s="122"/>
      <c r="K41" s="122"/>
      <c r="L41" s="122"/>
      <c r="M41" s="139"/>
      <c r="N41" s="139"/>
      <c r="O41" s="139"/>
      <c r="P41" s="139"/>
      <c r="Q41" s="139"/>
      <c r="R41" s="139"/>
      <c r="S41" s="2357"/>
      <c r="T41" s="2357"/>
      <c r="U41" s="2357"/>
      <c r="V41" s="2357"/>
      <c r="W41" s="2357"/>
      <c r="X41" s="2357"/>
    </row>
    <row r="42" spans="1:28" s="360" customFormat="1" x14ac:dyDescent="0.25">
      <c r="A42" s="2447"/>
      <c r="B42" s="783"/>
      <c r="C42" s="783"/>
      <c r="D42" s="2435"/>
      <c r="E42" s="2436" t="s">
        <v>131</v>
      </c>
      <c r="F42" s="2436" t="s">
        <v>132</v>
      </c>
      <c r="G42" s="2436" t="s">
        <v>133</v>
      </c>
      <c r="H42" s="2436" t="s">
        <v>134</v>
      </c>
      <c r="I42" s="2436" t="s">
        <v>135</v>
      </c>
      <c r="J42" s="2437" t="s">
        <v>136</v>
      </c>
      <c r="K42" s="2437" t="s">
        <v>137</v>
      </c>
      <c r="L42" s="2436" t="s">
        <v>138</v>
      </c>
      <c r="M42" s="2438" t="s">
        <v>139</v>
      </c>
      <c r="N42" s="2437" t="s">
        <v>140</v>
      </c>
      <c r="O42" s="2437" t="s">
        <v>141</v>
      </c>
      <c r="P42" s="2437" t="s">
        <v>1053</v>
      </c>
      <c r="Q42" s="2437" t="s">
        <v>143</v>
      </c>
      <c r="R42" s="2437" t="s">
        <v>144</v>
      </c>
      <c r="S42" s="2437" t="s">
        <v>145</v>
      </c>
      <c r="T42" s="2437" t="s">
        <v>8</v>
      </c>
      <c r="U42" s="2437" t="s">
        <v>9</v>
      </c>
      <c r="V42" s="2437" t="s">
        <v>10</v>
      </c>
      <c r="W42" s="2437" t="s">
        <v>11</v>
      </c>
      <c r="X42" s="2437" t="s">
        <v>12</v>
      </c>
      <c r="Y42" s="2437" t="s">
        <v>13</v>
      </c>
      <c r="Z42" s="2437" t="s">
        <v>14</v>
      </c>
      <c r="AA42" s="2437" t="s">
        <v>15</v>
      </c>
      <c r="AB42" s="2437" t="s">
        <v>333</v>
      </c>
    </row>
    <row r="43" spans="1:28" s="360" customFormat="1" x14ac:dyDescent="0.25">
      <c r="A43" s="2447"/>
      <c r="B43" s="783"/>
      <c r="C43" s="783"/>
      <c r="D43" s="2439" t="s">
        <v>1054</v>
      </c>
      <c r="E43" s="2440">
        <v>1689.1</v>
      </c>
      <c r="F43" s="2440">
        <v>1693.4</v>
      </c>
      <c r="G43" s="2440">
        <v>1591.3</v>
      </c>
      <c r="H43" s="2440">
        <v>1615.9</v>
      </c>
      <c r="I43" s="2440">
        <v>1684.8</v>
      </c>
      <c r="J43" s="2440">
        <v>1679</v>
      </c>
      <c r="K43" s="2440">
        <v>1686.4</v>
      </c>
      <c r="L43" s="2440">
        <v>1623.3</v>
      </c>
      <c r="M43" s="2440">
        <v>1605.4</v>
      </c>
      <c r="N43" s="2440">
        <v>1434.3</v>
      </c>
      <c r="O43" s="2440">
        <v>1281.9999999999998</v>
      </c>
      <c r="P43" s="2440">
        <v>1217.1000000000001</v>
      </c>
      <c r="Q43" s="2440">
        <v>1154.6999999999998</v>
      </c>
      <c r="R43" s="2440">
        <v>1090</v>
      </c>
      <c r="S43" s="2440">
        <v>1093</v>
      </c>
      <c r="T43" s="2440">
        <v>1122</v>
      </c>
      <c r="U43" s="2440">
        <v>1069</v>
      </c>
      <c r="V43" s="2440">
        <v>1059.8</v>
      </c>
      <c r="W43" s="2440">
        <v>1078.4000000000001</v>
      </c>
      <c r="X43" s="2440">
        <v>1062.1010045753101</v>
      </c>
      <c r="Y43" s="2440">
        <v>1024.9000000000001</v>
      </c>
      <c r="Z43" s="2440">
        <v>989</v>
      </c>
      <c r="AA43" s="2440">
        <f>(540653/55910000)*100000</f>
        <v>967.00590234305128</v>
      </c>
      <c r="AB43" s="2440">
        <f>(507975/57700000)*100000</f>
        <v>880.37261698440204</v>
      </c>
    </row>
    <row r="44" spans="1:28" s="360" customFormat="1" x14ac:dyDescent="0.25">
      <c r="A44" s="2447"/>
      <c r="B44" s="783"/>
      <c r="C44" s="783"/>
      <c r="D44" s="2439" t="s">
        <v>1055</v>
      </c>
      <c r="E44" s="2440">
        <v>1625.8</v>
      </c>
      <c r="F44" s="2440">
        <v>1656.3</v>
      </c>
      <c r="G44" s="2440">
        <v>1618.5</v>
      </c>
      <c r="H44" s="2440">
        <v>1624.4</v>
      </c>
      <c r="I44" s="2440">
        <v>1675.1</v>
      </c>
      <c r="J44" s="2440">
        <v>1790.7</v>
      </c>
      <c r="K44" s="2440">
        <v>1901.9</v>
      </c>
      <c r="L44" s="2440">
        <v>1873.9</v>
      </c>
      <c r="M44" s="2440">
        <v>1951.7</v>
      </c>
      <c r="N44" s="2440">
        <v>1910.5</v>
      </c>
      <c r="O44" s="2440">
        <v>1818.8</v>
      </c>
      <c r="P44" s="2440">
        <v>1612.6000000000001</v>
      </c>
      <c r="Q44" s="2440">
        <v>1541.1</v>
      </c>
      <c r="R44" s="2440">
        <v>1447.3999999999999</v>
      </c>
      <c r="S44" s="2440">
        <v>1405.3</v>
      </c>
      <c r="T44" s="2440">
        <v>1371.3999999999999</v>
      </c>
      <c r="U44" s="2440">
        <v>1277.2</v>
      </c>
      <c r="V44" s="2440">
        <v>1232.5</v>
      </c>
      <c r="W44" s="2440">
        <v>1180.8000000000002</v>
      </c>
      <c r="X44" s="2440">
        <v>1170.9000000000001</v>
      </c>
      <c r="Y44" s="2440">
        <v>1142.5</v>
      </c>
      <c r="Z44" s="2440">
        <v>1134</v>
      </c>
      <c r="AA44" s="2440">
        <v>1088</v>
      </c>
      <c r="AB44" s="2440">
        <f>(601366/57700000)*100000</f>
        <v>1042.2287694974004</v>
      </c>
    </row>
    <row r="45" spans="1:28" s="360" customFormat="1" x14ac:dyDescent="0.25">
      <c r="A45" s="2447"/>
      <c r="B45" s="783"/>
      <c r="C45" s="783"/>
      <c r="D45" s="2439" t="s">
        <v>1056</v>
      </c>
      <c r="E45" s="2440">
        <v>1328.9</v>
      </c>
      <c r="F45" s="2440">
        <v>1293.4000000000001</v>
      </c>
      <c r="G45" s="2440">
        <v>1229.9000000000001</v>
      </c>
      <c r="H45" s="2440">
        <v>1277.3</v>
      </c>
      <c r="I45" s="2440">
        <v>1356.1</v>
      </c>
      <c r="J45" s="2440">
        <v>1463.9</v>
      </c>
      <c r="K45" s="2440">
        <v>1588.4</v>
      </c>
      <c r="L45" s="2440">
        <v>1569.7</v>
      </c>
      <c r="M45" s="2440">
        <v>1640.1</v>
      </c>
      <c r="N45" s="2440">
        <v>1582.8</v>
      </c>
      <c r="O45" s="2440">
        <v>1409.7</v>
      </c>
      <c r="P45" s="2440">
        <v>1175.8</v>
      </c>
      <c r="Q45" s="2440">
        <v>1144.4000000000001</v>
      </c>
      <c r="R45" s="2440">
        <v>1102.5</v>
      </c>
      <c r="S45" s="2440">
        <v>1134.5</v>
      </c>
      <c r="T45" s="2440">
        <v>1096.7</v>
      </c>
      <c r="U45" s="2440">
        <v>1069.9000000000001</v>
      </c>
      <c r="V45" s="2440">
        <v>1062.2</v>
      </c>
      <c r="W45" s="2440">
        <v>1005.7</v>
      </c>
      <c r="X45" s="2440">
        <v>978.19999999999993</v>
      </c>
      <c r="Y45" s="2440">
        <v>925.3</v>
      </c>
      <c r="Z45" s="2440">
        <v>871.7</v>
      </c>
      <c r="AA45" s="2440">
        <f>(469276/55910000)*100000</f>
        <v>839.34179932033624</v>
      </c>
      <c r="AB45" s="2440">
        <f>(438113/57700000)*100000</f>
        <v>759.29462738301561</v>
      </c>
    </row>
    <row r="46" spans="1:28" s="360" customFormat="1" x14ac:dyDescent="0.25">
      <c r="A46" s="2447"/>
      <c r="B46" s="783"/>
      <c r="C46" s="783"/>
      <c r="D46" s="2439" t="s">
        <v>1057</v>
      </c>
      <c r="E46" s="2440">
        <v>346</v>
      </c>
      <c r="F46" s="2440">
        <v>352</v>
      </c>
      <c r="G46" s="2440">
        <v>344.7</v>
      </c>
      <c r="H46" s="2440">
        <v>331.4</v>
      </c>
      <c r="I46" s="2440">
        <v>331.5</v>
      </c>
      <c r="J46" s="2440">
        <v>334.3</v>
      </c>
      <c r="K46" s="2440">
        <v>339.7</v>
      </c>
      <c r="L46" s="2440">
        <v>344</v>
      </c>
      <c r="M46" s="2440">
        <v>365.8</v>
      </c>
      <c r="N46" s="2440">
        <v>360.2</v>
      </c>
      <c r="O46" s="2440">
        <v>341.3</v>
      </c>
      <c r="P46" s="2440">
        <v>324</v>
      </c>
      <c r="Q46" s="2440">
        <v>319.10000000000002</v>
      </c>
      <c r="R46" s="2440">
        <v>301.7</v>
      </c>
      <c r="S46" s="2441">
        <v>289.89999999999998</v>
      </c>
      <c r="T46" s="2441">
        <v>281.5</v>
      </c>
      <c r="U46" s="614">
        <v>263.8</v>
      </c>
      <c r="V46" s="614">
        <v>254.29999999999998</v>
      </c>
      <c r="W46" s="614">
        <v>243.29999999999998</v>
      </c>
      <c r="X46" s="2440">
        <v>237</v>
      </c>
      <c r="Y46" s="2440">
        <v>232.9</v>
      </c>
      <c r="Z46" s="2440">
        <v>227.1</v>
      </c>
      <c r="AA46" s="2440">
        <f>(120730/55910000)*100000</f>
        <v>215.93632623859776</v>
      </c>
      <c r="AB46" s="2440">
        <f>(115361/57700000)*100000</f>
        <v>199.93240901213173</v>
      </c>
    </row>
    <row r="47" spans="1:28" s="360" customFormat="1" x14ac:dyDescent="0.25">
      <c r="A47" s="2447"/>
      <c r="B47" s="783"/>
      <c r="C47" s="783"/>
      <c r="D47" s="2442" t="s">
        <v>1058</v>
      </c>
      <c r="E47" s="2443">
        <v>4989.7999999999993</v>
      </c>
      <c r="F47" s="2443">
        <v>4995.1000000000004</v>
      </c>
      <c r="G47" s="2443">
        <v>4784.4000000000005</v>
      </c>
      <c r="H47" s="2443">
        <v>4849</v>
      </c>
      <c r="I47" s="2443">
        <v>5047.5</v>
      </c>
      <c r="J47" s="2443">
        <v>5267.9000000000005</v>
      </c>
      <c r="K47" s="2443">
        <v>5516.4000000000005</v>
      </c>
      <c r="L47" s="2443">
        <v>5410.9</v>
      </c>
      <c r="M47" s="2443">
        <v>5563.0000000000009</v>
      </c>
      <c r="N47" s="2443">
        <v>5287.8</v>
      </c>
      <c r="O47" s="2443">
        <v>4851.8</v>
      </c>
      <c r="P47" s="2443">
        <v>4329.5</v>
      </c>
      <c r="Q47" s="2443">
        <v>4159.3</v>
      </c>
      <c r="R47" s="2443">
        <v>3941.5999999999995</v>
      </c>
      <c r="S47" s="2443">
        <v>3922.7000000000003</v>
      </c>
      <c r="T47" s="2443">
        <v>3871.5999999999995</v>
      </c>
      <c r="U47" s="2443">
        <v>3679.9</v>
      </c>
      <c r="V47" s="2443">
        <v>3608.8</v>
      </c>
      <c r="W47" s="2443">
        <v>3508.2000000000007</v>
      </c>
      <c r="X47" s="2443">
        <v>3448.2010045753095</v>
      </c>
      <c r="Y47" s="2443">
        <v>33257</v>
      </c>
      <c r="Z47" s="2443">
        <v>3221.8</v>
      </c>
      <c r="AA47" s="2443">
        <f>SUM(AA43:AA46)</f>
        <v>3110.2840279019852</v>
      </c>
      <c r="AB47" s="2443">
        <f>SUM(AB43:AB46)</f>
        <v>2881.8284228769498</v>
      </c>
    </row>
    <row r="48" spans="1:28" s="360" customFormat="1" x14ac:dyDescent="0.25">
      <c r="A48" s="2447"/>
      <c r="B48" s="783"/>
      <c r="C48" s="783"/>
      <c r="D48" s="2448"/>
      <c r="E48" s="2449"/>
      <c r="F48" s="2449"/>
      <c r="G48" s="2449"/>
      <c r="H48" s="2449"/>
      <c r="I48" s="2449"/>
      <c r="J48" s="2449"/>
      <c r="K48" s="2449"/>
      <c r="L48" s="2449"/>
      <c r="M48" s="2449"/>
      <c r="N48" s="2449"/>
      <c r="O48" s="2449"/>
      <c r="P48" s="2450"/>
      <c r="Q48" s="2450"/>
      <c r="R48" s="2449"/>
      <c r="S48" s="2449"/>
      <c r="T48" s="2449"/>
      <c r="U48" s="2449"/>
      <c r="V48" s="2449"/>
      <c r="W48" s="2449"/>
      <c r="X48" s="2449"/>
    </row>
    <row r="49" spans="1:28" s="360" customFormat="1" x14ac:dyDescent="0.25">
      <c r="A49" s="2447"/>
      <c r="B49" s="783"/>
      <c r="C49" s="783"/>
      <c r="D49" s="2448"/>
      <c r="E49" s="2449"/>
      <c r="F49" s="2449"/>
      <c r="G49" s="2449"/>
      <c r="H49" s="2449"/>
      <c r="I49" s="2449"/>
      <c r="J49" s="2449"/>
      <c r="K49" s="2449"/>
      <c r="L49" s="2449"/>
      <c r="M49" s="2449"/>
      <c r="N49" s="2449"/>
      <c r="O49" s="2449"/>
      <c r="P49" s="2450"/>
      <c r="Q49" s="2450"/>
      <c r="R49" s="2449"/>
      <c r="S49" s="2449"/>
      <c r="T49" s="2449"/>
      <c r="U49" s="2449"/>
      <c r="V49" s="2449"/>
      <c r="W49" s="2449"/>
      <c r="X49" s="2449"/>
    </row>
    <row r="50" spans="1:28" s="360" customFormat="1" x14ac:dyDescent="0.25">
      <c r="A50" s="2447"/>
      <c r="B50" s="783"/>
      <c r="C50" s="783"/>
      <c r="D50" s="2451"/>
      <c r="E50" s="2452" t="s">
        <v>131</v>
      </c>
      <c r="F50" s="2452" t="s">
        <v>132</v>
      </c>
      <c r="G50" s="2452" t="s">
        <v>133</v>
      </c>
      <c r="H50" s="2452" t="s">
        <v>134</v>
      </c>
      <c r="I50" s="2452" t="s">
        <v>135</v>
      </c>
      <c r="J50" s="2453" t="s">
        <v>136</v>
      </c>
      <c r="K50" s="2453" t="s">
        <v>137</v>
      </c>
      <c r="L50" s="2452" t="s">
        <v>138</v>
      </c>
      <c r="M50" s="2454" t="s">
        <v>139</v>
      </c>
      <c r="N50" s="2453" t="s">
        <v>140</v>
      </c>
      <c r="O50" s="2453" t="s">
        <v>141</v>
      </c>
      <c r="P50" s="2453" t="s">
        <v>1053</v>
      </c>
      <c r="Q50" s="2453" t="s">
        <v>143</v>
      </c>
      <c r="R50" s="2453" t="s">
        <v>144</v>
      </c>
      <c r="S50" s="2453" t="s">
        <v>145</v>
      </c>
      <c r="T50" s="2453" t="s">
        <v>8</v>
      </c>
      <c r="U50" s="2453" t="s">
        <v>9</v>
      </c>
      <c r="V50" s="2453" t="s">
        <v>10</v>
      </c>
      <c r="W50" s="2437" t="s">
        <v>11</v>
      </c>
      <c r="X50" s="2437" t="s">
        <v>12</v>
      </c>
      <c r="Y50" s="2453" t="s">
        <v>13</v>
      </c>
      <c r="Z50" s="2453" t="s">
        <v>14</v>
      </c>
      <c r="AA50" s="2453" t="s">
        <v>15</v>
      </c>
      <c r="AB50" s="2453" t="s">
        <v>333</v>
      </c>
    </row>
    <row r="51" spans="1:28" s="360" customFormat="1" x14ac:dyDescent="0.25">
      <c r="A51" s="2447"/>
      <c r="B51" s="783"/>
      <c r="C51" s="783"/>
      <c r="D51" s="2455" t="s">
        <v>1054</v>
      </c>
      <c r="E51" s="2456">
        <f>E43/E43*100</f>
        <v>100</v>
      </c>
      <c r="F51" s="2456">
        <f>F43/E43*100</f>
        <v>100.25457344147772</v>
      </c>
      <c r="G51" s="2456">
        <f>G43/E43*100</f>
        <v>94.209934284530235</v>
      </c>
      <c r="H51" s="2456">
        <f>H43/E43*100</f>
        <v>95.666331182286442</v>
      </c>
      <c r="I51" s="2456">
        <f>I43/E43*100</f>
        <v>99.745426558522283</v>
      </c>
      <c r="J51" s="2456">
        <f>J43/E43*100</f>
        <v>99.402048428157002</v>
      </c>
      <c r="K51" s="2456">
        <f>K43/E43*100</f>
        <v>99.840151560002383</v>
      </c>
      <c r="L51" s="2456">
        <f>L43/E43*100</f>
        <v>96.104434314131794</v>
      </c>
      <c r="M51" s="2456">
        <f>M43/E43*100</f>
        <v>95.044698360073426</v>
      </c>
      <c r="N51" s="2456">
        <f>N43/E43*100</f>
        <v>84.915043514297565</v>
      </c>
      <c r="O51" s="2456">
        <f>O43/E43*100</f>
        <v>75.898407435912603</v>
      </c>
      <c r="P51" s="2456">
        <f>P43/E43*100</f>
        <v>72.056124563376954</v>
      </c>
      <c r="Q51" s="2456">
        <f>Q43/E43*100</f>
        <v>68.361849505653893</v>
      </c>
      <c r="R51" s="2456">
        <f>R43/E43*100</f>
        <v>64.531407258303247</v>
      </c>
      <c r="S51" s="2456">
        <f>S43/E43*100</f>
        <v>64.709016636078388</v>
      </c>
      <c r="T51" s="2456">
        <f>T43/E43*100</f>
        <v>66.425907287904806</v>
      </c>
      <c r="U51" s="2456">
        <f>U43/E43*100</f>
        <v>63.288141613877215</v>
      </c>
      <c r="V51" s="2456">
        <f>V43/E43*100</f>
        <v>62.743472855366768</v>
      </c>
      <c r="W51" s="2456">
        <f>W43/E43*100</f>
        <v>63.844650997572685</v>
      </c>
      <c r="X51" s="2456">
        <f>X43/E43*100</f>
        <v>62.879699518992958</v>
      </c>
      <c r="Y51" s="2456">
        <f>Y43/F43*100</f>
        <v>60.523207747726474</v>
      </c>
      <c r="Z51" s="2456">
        <f>Z43/E43*100</f>
        <v>58.55189153987331</v>
      </c>
      <c r="AA51" s="2456">
        <f>AA43/E43*100</f>
        <v>57.249772206681151</v>
      </c>
      <c r="AB51" s="2456">
        <f>(AB43/E43)*100</f>
        <v>52.120810904292348</v>
      </c>
    </row>
    <row r="52" spans="1:28" s="360" customFormat="1" x14ac:dyDescent="0.25">
      <c r="A52" s="2447"/>
      <c r="B52" s="783"/>
      <c r="C52" s="783"/>
      <c r="D52" s="2455" t="s">
        <v>1055</v>
      </c>
      <c r="E52" s="2456">
        <f>E44/E44*100</f>
        <v>100</v>
      </c>
      <c r="F52" s="2456">
        <f>F44/E44*100</f>
        <v>101.87599950793455</v>
      </c>
      <c r="G52" s="2456">
        <f>G44/E44*100</f>
        <v>99.55099028170747</v>
      </c>
      <c r="H52" s="2456">
        <f>H44/E44*100</f>
        <v>99.913888547176782</v>
      </c>
      <c r="I52" s="2456">
        <f>I44/E44*100</f>
        <v>103.03235330298929</v>
      </c>
      <c r="J52" s="2456">
        <f>J44/E44*100</f>
        <v>110.14269897896421</v>
      </c>
      <c r="K52" s="2456">
        <f>K44/E44*100</f>
        <v>116.98240866035184</v>
      </c>
      <c r="L52" s="2456">
        <f>L44/E44*100</f>
        <v>115.26017960388732</v>
      </c>
      <c r="M52" s="2456">
        <f>M44/E44*100</f>
        <v>120.04551605363514</v>
      </c>
      <c r="N52" s="2456">
        <f>N44/E44*100</f>
        <v>117.51137901340878</v>
      </c>
      <c r="O52" s="2456">
        <f>O44/E44*100</f>
        <v>111.8710788534875</v>
      </c>
      <c r="P52" s="2456">
        <f>P44/E44*100</f>
        <v>99.188092016238173</v>
      </c>
      <c r="Q52" s="2456">
        <f>Q44/E44*100</f>
        <v>94.790257104194851</v>
      </c>
      <c r="R52" s="2456">
        <f>R44/E44*100</f>
        <v>89.026940583097542</v>
      </c>
      <c r="S52" s="2456">
        <f>S44/E44*100</f>
        <v>86.437446180341979</v>
      </c>
      <c r="T52" s="2456">
        <f>T44/E44*100</f>
        <v>84.352318858408154</v>
      </c>
      <c r="U52" s="2456">
        <f>U44/E44*100</f>
        <v>78.558248247016863</v>
      </c>
      <c r="V52" s="2456">
        <f>V44/E44*100</f>
        <v>75.808832574732449</v>
      </c>
      <c r="W52" s="2456">
        <f>W44/E44*100</f>
        <v>72.628859638331917</v>
      </c>
      <c r="X52" s="2456">
        <f t="shared" ref="X52:Y55" si="0">X44/E44*100</f>
        <v>72.019928650510522</v>
      </c>
      <c r="Y52" s="2456">
        <f t="shared" si="0"/>
        <v>68.979049689066002</v>
      </c>
      <c r="Z52" s="2456">
        <f>Z44/E44*100</f>
        <v>69.750276786812648</v>
      </c>
      <c r="AA52" s="2456">
        <f>AA44/E44*100</f>
        <v>66.920900479763816</v>
      </c>
      <c r="AB52" s="2456">
        <f t="shared" ref="AB52:AB55" si="1">(AB44/E44)*100</f>
        <v>64.105595368274109</v>
      </c>
    </row>
    <row r="53" spans="1:28" s="360" customFormat="1" x14ac:dyDescent="0.25">
      <c r="A53" s="2447"/>
      <c r="B53" s="783"/>
      <c r="C53" s="783"/>
      <c r="D53" s="2455" t="s">
        <v>1056</v>
      </c>
      <c r="E53" s="2456">
        <f>E45/E45*100</f>
        <v>100</v>
      </c>
      <c r="F53" s="2456">
        <f>F45/E45*100</f>
        <v>97.328617653698544</v>
      </c>
      <c r="G53" s="2456">
        <f>G45/E45*100</f>
        <v>92.550229513131171</v>
      </c>
      <c r="H53" s="2456">
        <f>H45/E45*100</f>
        <v>96.117089321995635</v>
      </c>
      <c r="I53" s="2456">
        <f>I45/E45*100</f>
        <v>102.04680562871546</v>
      </c>
      <c r="J53" s="2456">
        <f>J45/E45*100</f>
        <v>110.15877793663932</v>
      </c>
      <c r="K53" s="2456">
        <f>K45/E45*100</f>
        <v>119.52742870042891</v>
      </c>
      <c r="L53" s="2456">
        <f>L45/E45*100</f>
        <v>118.12024983068703</v>
      </c>
      <c r="M53" s="2456">
        <f>M45/E45*100</f>
        <v>123.41786439912707</v>
      </c>
      <c r="N53" s="2456">
        <f>N45/E45*100</f>
        <v>119.10602754157573</v>
      </c>
      <c r="O53" s="2456">
        <f>O45/E45*100</f>
        <v>106.08021672059597</v>
      </c>
      <c r="P53" s="2456">
        <f>P45/E45*100</f>
        <v>88.479193317781608</v>
      </c>
      <c r="Q53" s="2456">
        <f>Q45/E45*100</f>
        <v>86.116336819926261</v>
      </c>
      <c r="R53" s="2456">
        <f>R45/E45*100</f>
        <v>82.963353149221149</v>
      </c>
      <c r="S53" s="2456">
        <f>S45/E45*100</f>
        <v>85.371359771239369</v>
      </c>
      <c r="T53" s="2456">
        <f>T45/E45*100</f>
        <v>82.526901948980353</v>
      </c>
      <c r="U53" s="2456">
        <f>U45/E45*100</f>
        <v>80.510196403040112</v>
      </c>
      <c r="V53" s="2456">
        <f>V45/E45*100</f>
        <v>79.930769809616976</v>
      </c>
      <c r="W53" s="2456">
        <f>W45/E45*100</f>
        <v>75.679133117616075</v>
      </c>
      <c r="X53" s="2456">
        <f t="shared" si="0"/>
        <v>73.609752426819171</v>
      </c>
      <c r="Y53" s="2456">
        <f t="shared" si="0"/>
        <v>71.540126797587746</v>
      </c>
      <c r="Z53" s="2456">
        <f>Z45/E45*100</f>
        <v>65.595605387914816</v>
      </c>
      <c r="AA53" s="2456">
        <f>AA45/E45*100</f>
        <v>63.160644090626548</v>
      </c>
      <c r="AB53" s="2456">
        <f t="shared" si="1"/>
        <v>57.137077837535976</v>
      </c>
    </row>
    <row r="54" spans="1:28" s="360" customFormat="1" x14ac:dyDescent="0.25">
      <c r="A54" s="2447"/>
      <c r="B54" s="783"/>
      <c r="C54" s="783"/>
      <c r="D54" s="2457" t="s">
        <v>1057</v>
      </c>
      <c r="E54" s="2458">
        <f>E46/E46*100</f>
        <v>100</v>
      </c>
      <c r="F54" s="2458">
        <f>F46/E46*100</f>
        <v>101.73410404624276</v>
      </c>
      <c r="G54" s="2458">
        <f>G46/F46*100</f>
        <v>97.92613636363636</v>
      </c>
      <c r="H54" s="2458">
        <f>H46/E46*100</f>
        <v>95.780346820809243</v>
      </c>
      <c r="I54" s="2458">
        <f>I46/E46*100</f>
        <v>95.809248554913296</v>
      </c>
      <c r="J54" s="2458">
        <f>J46/E46*100</f>
        <v>96.618497109826592</v>
      </c>
      <c r="K54" s="2458">
        <f>K46/E46*100</f>
        <v>98.179190751445077</v>
      </c>
      <c r="L54" s="2458">
        <f>L46/E46*100</f>
        <v>99.421965317919074</v>
      </c>
      <c r="M54" s="2458">
        <f>M46/E46*100</f>
        <v>105.72254335260116</v>
      </c>
      <c r="N54" s="2458">
        <f>N46/E46*100</f>
        <v>104.10404624277456</v>
      </c>
      <c r="O54" s="2458">
        <f>O46/E46*100</f>
        <v>98.641618497109832</v>
      </c>
      <c r="P54" s="2458">
        <f>P46/E46*100</f>
        <v>93.641618497109818</v>
      </c>
      <c r="Q54" s="2458">
        <f>Q46/E46*100</f>
        <v>92.225433526011571</v>
      </c>
      <c r="R54" s="2458">
        <f>R46/E46*100</f>
        <v>87.196531791907518</v>
      </c>
      <c r="S54" s="2458">
        <f>S46/E46*100</f>
        <v>83.786127167630056</v>
      </c>
      <c r="T54" s="2458">
        <f>T46/E46*100</f>
        <v>81.358381502890182</v>
      </c>
      <c r="U54" s="2458">
        <f>U46/E46*100</f>
        <v>76.242774566473997</v>
      </c>
      <c r="V54" s="2458">
        <f>V46/E46*100</f>
        <v>73.497109826589593</v>
      </c>
      <c r="W54" s="2458">
        <f>W46/E46*100</f>
        <v>70.317919075144502</v>
      </c>
      <c r="X54" s="2456">
        <f t="shared" si="0"/>
        <v>68.497109826589593</v>
      </c>
      <c r="Y54" s="2456">
        <f t="shared" si="0"/>
        <v>66.16477272727272</v>
      </c>
      <c r="Z54" s="2456">
        <f>Z46/E46*100</f>
        <v>65.635838150289018</v>
      </c>
      <c r="AA54" s="2456">
        <f>AA46/E46*100</f>
        <v>62.409342843525359</v>
      </c>
      <c r="AB54" s="2456">
        <f t="shared" si="1"/>
        <v>57.783933240500495</v>
      </c>
    </row>
    <row r="55" spans="1:28" s="360" customFormat="1" x14ac:dyDescent="0.25">
      <c r="A55" s="2447"/>
      <c r="B55" s="783"/>
      <c r="C55" s="783"/>
      <c r="D55" s="2459" t="s">
        <v>1058</v>
      </c>
      <c r="E55" s="2460">
        <f>E47/E47*100</f>
        <v>100</v>
      </c>
      <c r="F55" s="2460">
        <f>F47/E47*100</f>
        <v>100.10621668203137</v>
      </c>
      <c r="G55" s="2460">
        <f>G47/E47*100</f>
        <v>95.883602549200404</v>
      </c>
      <c r="H55" s="2460">
        <f>H47/E47*100</f>
        <v>97.178243616978648</v>
      </c>
      <c r="I55" s="2460">
        <f>I47/E47*100</f>
        <v>101.15635897230351</v>
      </c>
      <c r="J55" s="2460">
        <f>J47/E47*100</f>
        <v>105.57336967413526</v>
      </c>
      <c r="K55" s="2460">
        <f>K47/E47*100</f>
        <v>110.55352919956714</v>
      </c>
      <c r="L55" s="2460">
        <f>L47/E47*100</f>
        <v>108.43921600064132</v>
      </c>
      <c r="M55" s="2460">
        <f>M47/E47*100</f>
        <v>111.48743436610688</v>
      </c>
      <c r="N55" s="2460">
        <f>N47/E47*100</f>
        <v>105.97218325383784</v>
      </c>
      <c r="O55" s="2460">
        <f>O47/E47*100</f>
        <v>97.234358090504642</v>
      </c>
      <c r="P55" s="2460">
        <f>P47/E47*100</f>
        <v>86.767004689566733</v>
      </c>
      <c r="Q55" s="2460">
        <f>Q47/E47*100</f>
        <v>83.356046334522432</v>
      </c>
      <c r="R55" s="2460">
        <f>R47/E47*100</f>
        <v>78.99314601787647</v>
      </c>
      <c r="S55" s="2460">
        <f>S47/E47*100</f>
        <v>78.614373321576039</v>
      </c>
      <c r="T55" s="2460">
        <f>T47/E47*100</f>
        <v>77.590284179726638</v>
      </c>
      <c r="U55" s="2460">
        <f>U47/E47*100</f>
        <v>73.748446831536356</v>
      </c>
      <c r="V55" s="2460">
        <f>V47/E47*100</f>
        <v>72.323540021644178</v>
      </c>
      <c r="W55" s="2460">
        <f>W47/E47*100</f>
        <v>70.30742715138885</v>
      </c>
      <c r="X55" s="2460">
        <f t="shared" si="0"/>
        <v>69.104994279837072</v>
      </c>
      <c r="Y55" s="2460">
        <f>AVERAGE(Y51:Y54)</f>
        <v>66.801789240413228</v>
      </c>
      <c r="Z55" s="2460">
        <f>Z47/E47*100</f>
        <v>64.567718145015846</v>
      </c>
      <c r="AA55" s="2460">
        <f>AA47/E47*100</f>
        <v>62.332839550723186</v>
      </c>
      <c r="AB55" s="2460">
        <f t="shared" si="1"/>
        <v>57.754387407851027</v>
      </c>
    </row>
    <row r="56" spans="1:28" s="360" customFormat="1" x14ac:dyDescent="0.25">
      <c r="A56" s="2447"/>
      <c r="B56" s="783"/>
      <c r="C56" s="783"/>
      <c r="D56" s="44"/>
      <c r="E56" s="2461"/>
      <c r="F56" s="44"/>
      <c r="G56" s="44"/>
      <c r="H56" s="44"/>
      <c r="I56" s="44"/>
      <c r="J56" s="44"/>
      <c r="K56" s="44"/>
      <c r="L56" s="44"/>
      <c r="M56" s="44"/>
      <c r="N56" s="44"/>
      <c r="O56" s="44"/>
      <c r="P56" s="44"/>
      <c r="Q56" s="44"/>
      <c r="R56" s="44"/>
    </row>
    <row r="57" spans="1:28" s="360" customFormat="1" x14ac:dyDescent="0.25">
      <c r="A57" s="2447"/>
      <c r="B57" s="783"/>
      <c r="C57" s="783"/>
      <c r="D57" s="115"/>
      <c r="E57" s="2462"/>
      <c r="F57" s="115"/>
      <c r="G57" s="115"/>
      <c r="H57" s="115"/>
      <c r="I57" s="115"/>
      <c r="J57" s="115"/>
      <c r="K57" s="115"/>
      <c r="L57" s="115"/>
      <c r="M57" s="115"/>
      <c r="N57" s="115"/>
      <c r="O57" s="115"/>
      <c r="P57" s="115"/>
      <c r="Q57" s="115"/>
      <c r="R57" s="115"/>
      <c r="S57" s="299"/>
      <c r="T57" s="299"/>
      <c r="U57" s="299"/>
      <c r="V57" s="299"/>
      <c r="W57" s="299"/>
      <c r="X57" s="299"/>
    </row>
    <row r="58" spans="1:28" s="360" customFormat="1" x14ac:dyDescent="0.25">
      <c r="A58" s="2447"/>
      <c r="B58" s="783"/>
      <c r="C58" s="783"/>
      <c r="D58" s="44"/>
      <c r="E58" s="44"/>
      <c r="F58" s="44"/>
      <c r="G58" s="44"/>
      <c r="H58" s="44"/>
      <c r="I58" s="44"/>
      <c r="J58" s="44"/>
      <c r="K58" s="44"/>
      <c r="L58" s="44"/>
      <c r="M58" s="44"/>
      <c r="N58" s="44"/>
      <c r="O58" s="44"/>
      <c r="P58" s="44"/>
      <c r="Q58" s="44"/>
      <c r="R58" s="44"/>
    </row>
    <row r="59" spans="1:28" s="360" customFormat="1" x14ac:dyDescent="0.25">
      <c r="A59" s="2447"/>
      <c r="B59" s="783"/>
      <c r="C59" s="783"/>
      <c r="D59" s="44"/>
      <c r="E59" s="44"/>
      <c r="F59" s="44"/>
      <c r="G59" s="44"/>
      <c r="H59" s="44"/>
      <c r="I59" s="44"/>
      <c r="J59" s="44"/>
      <c r="K59" s="44"/>
      <c r="L59" s="44"/>
      <c r="M59" s="44"/>
      <c r="N59" s="44"/>
      <c r="O59" s="44"/>
      <c r="P59" s="44"/>
      <c r="Q59" s="44"/>
      <c r="R59" s="44"/>
    </row>
    <row r="60" spans="1:28" s="360" customFormat="1" x14ac:dyDescent="0.25">
      <c r="A60" s="2447"/>
      <c r="B60" s="783"/>
      <c r="C60" s="783"/>
      <c r="D60" s="44"/>
      <c r="E60" s="44"/>
      <c r="F60" s="44"/>
      <c r="G60" s="44"/>
      <c r="H60" s="44"/>
      <c r="I60" s="44"/>
      <c r="J60" s="44"/>
      <c r="K60" s="44"/>
      <c r="L60" s="44"/>
      <c r="M60" s="44"/>
      <c r="N60" s="44"/>
      <c r="O60" s="44"/>
      <c r="P60" s="44"/>
      <c r="Q60" s="44"/>
      <c r="R60" s="44"/>
    </row>
    <row r="61" spans="1:28" s="360" customFormat="1" x14ac:dyDescent="0.25">
      <c r="A61" s="2447"/>
      <c r="B61" s="783"/>
      <c r="C61" s="783"/>
      <c r="D61" s="44"/>
      <c r="E61" s="44"/>
      <c r="F61" s="44"/>
      <c r="G61" s="44"/>
      <c r="H61" s="44"/>
      <c r="I61" s="44"/>
      <c r="J61" s="44"/>
      <c r="K61" s="44"/>
      <c r="L61" s="44"/>
      <c r="M61" s="44"/>
      <c r="N61" s="44"/>
      <c r="O61" s="44"/>
      <c r="P61" s="44"/>
      <c r="Q61" s="44"/>
      <c r="R61" s="44"/>
    </row>
    <row r="62" spans="1:28" s="360" customFormat="1" x14ac:dyDescent="0.25">
      <c r="A62" s="2447"/>
      <c r="B62" s="783"/>
      <c r="C62" s="783"/>
      <c r="D62" s="44"/>
      <c r="E62" s="44"/>
      <c r="F62" s="44"/>
      <c r="G62" s="44"/>
      <c r="H62" s="44"/>
      <c r="I62" s="44"/>
      <c r="J62" s="44"/>
      <c r="K62" s="44"/>
      <c r="L62" s="44"/>
      <c r="M62" s="44"/>
      <c r="N62" s="44"/>
      <c r="O62" s="44"/>
      <c r="P62" s="44"/>
      <c r="Q62" s="44"/>
      <c r="R62" s="44"/>
    </row>
    <row r="63" spans="1:28" s="360" customFormat="1" x14ac:dyDescent="0.25">
      <c r="A63" s="2447"/>
      <c r="B63" s="783"/>
      <c r="C63" s="783"/>
      <c r="D63" s="44"/>
      <c r="E63" s="44"/>
      <c r="F63" s="44"/>
      <c r="G63" s="44"/>
      <c r="H63" s="44"/>
      <c r="I63" s="44"/>
      <c r="J63" s="44"/>
      <c r="K63" s="44"/>
      <c r="L63" s="44"/>
      <c r="M63" s="44"/>
      <c r="N63" s="44"/>
      <c r="O63" s="44"/>
      <c r="P63" s="44"/>
      <c r="Q63" s="44"/>
      <c r="R63" s="44"/>
    </row>
    <row r="64" spans="1:28" s="360" customFormat="1" x14ac:dyDescent="0.25">
      <c r="A64" s="2447"/>
      <c r="B64" s="783"/>
      <c r="C64" s="783"/>
      <c r="D64" s="44"/>
      <c r="E64" s="44"/>
      <c r="F64" s="44"/>
      <c r="G64" s="44"/>
      <c r="H64" s="44"/>
      <c r="I64" s="44"/>
      <c r="J64" s="44"/>
      <c r="K64" s="44"/>
      <c r="L64" s="44"/>
      <c r="M64" s="44"/>
      <c r="N64" s="44"/>
      <c r="O64" s="44"/>
      <c r="P64" s="44"/>
      <c r="Q64" s="44"/>
      <c r="R64" s="44"/>
    </row>
    <row r="65" spans="1:18" s="360" customFormat="1" x14ac:dyDescent="0.25">
      <c r="A65" s="2447"/>
      <c r="B65" s="783"/>
      <c r="C65" s="783"/>
      <c r="D65" s="44"/>
      <c r="E65" s="44"/>
      <c r="F65" s="44"/>
      <c r="G65" s="44"/>
      <c r="H65" s="44"/>
      <c r="I65" s="44"/>
      <c r="J65" s="44"/>
      <c r="K65" s="44"/>
      <c r="L65" s="44"/>
      <c r="M65" s="44"/>
      <c r="N65" s="44"/>
      <c r="O65" s="44"/>
      <c r="P65" s="44"/>
      <c r="Q65" s="44"/>
      <c r="R65" s="44"/>
    </row>
    <row r="66" spans="1:18" s="360" customFormat="1" x14ac:dyDescent="0.25">
      <c r="A66" s="2447"/>
      <c r="B66" s="783"/>
      <c r="C66" s="783"/>
      <c r="D66" s="44"/>
      <c r="E66" s="44"/>
      <c r="F66" s="44"/>
      <c r="G66" s="44"/>
      <c r="H66" s="44"/>
      <c r="I66" s="44"/>
      <c r="J66" s="44"/>
      <c r="K66" s="44"/>
      <c r="L66" s="44"/>
      <c r="M66" s="44"/>
      <c r="N66" s="44"/>
      <c r="O66" s="44"/>
      <c r="P66" s="44"/>
      <c r="Q66" s="44"/>
      <c r="R66" s="44"/>
    </row>
    <row r="67" spans="1:18" s="360" customFormat="1" x14ac:dyDescent="0.25">
      <c r="A67" s="2447"/>
      <c r="B67" s="783"/>
      <c r="C67" s="783"/>
      <c r="D67" s="44"/>
      <c r="E67" s="44"/>
      <c r="F67" s="44"/>
      <c r="G67" s="44"/>
      <c r="H67" s="44"/>
      <c r="I67" s="44"/>
      <c r="J67" s="44"/>
      <c r="K67" s="44"/>
      <c r="L67" s="44"/>
      <c r="M67" s="44"/>
      <c r="N67" s="44"/>
      <c r="O67" s="44"/>
      <c r="P67" s="44"/>
      <c r="Q67" s="44"/>
      <c r="R67" s="44"/>
    </row>
    <row r="68" spans="1:18" s="360" customFormat="1" x14ac:dyDescent="0.25">
      <c r="A68" s="2447"/>
      <c r="B68" s="783"/>
      <c r="C68" s="783"/>
      <c r="D68" s="44"/>
      <c r="E68" s="44"/>
      <c r="F68" s="44"/>
      <c r="G68" s="44"/>
      <c r="H68" s="44"/>
      <c r="I68" s="44"/>
      <c r="J68" s="44"/>
      <c r="K68" s="44"/>
      <c r="L68" s="44"/>
      <c r="M68" s="44"/>
      <c r="N68" s="44"/>
      <c r="O68" s="44"/>
      <c r="P68" s="44"/>
      <c r="Q68" s="44"/>
      <c r="R68" s="44"/>
    </row>
    <row r="69" spans="1:18" s="360" customFormat="1" x14ac:dyDescent="0.25">
      <c r="A69" s="2447"/>
      <c r="B69" s="783"/>
      <c r="C69" s="783"/>
      <c r="D69" s="44"/>
      <c r="E69" s="44"/>
      <c r="F69" s="44"/>
      <c r="G69" s="44"/>
      <c r="H69" s="44"/>
      <c r="I69" s="44"/>
      <c r="J69" s="44"/>
      <c r="K69" s="44"/>
      <c r="L69" s="44"/>
      <c r="M69" s="44"/>
      <c r="N69" s="44"/>
      <c r="O69" s="44"/>
      <c r="P69" s="44"/>
      <c r="Q69" s="44"/>
      <c r="R69" s="44"/>
    </row>
    <row r="70" spans="1:18" s="360" customFormat="1" x14ac:dyDescent="0.25">
      <c r="A70" s="2447"/>
      <c r="B70" s="783"/>
      <c r="C70" s="783"/>
      <c r="D70" s="44"/>
      <c r="E70" s="44"/>
      <c r="F70" s="44"/>
      <c r="G70" s="44"/>
      <c r="H70" s="44"/>
      <c r="I70" s="44"/>
      <c r="J70" s="44"/>
      <c r="K70" s="44"/>
      <c r="L70" s="44"/>
      <c r="M70" s="44"/>
      <c r="N70" s="44"/>
      <c r="O70" s="44"/>
      <c r="P70" s="44"/>
      <c r="Q70" s="44"/>
      <c r="R70" s="44"/>
    </row>
    <row r="71" spans="1:18" s="360" customFormat="1" x14ac:dyDescent="0.25">
      <c r="A71" s="2447"/>
      <c r="B71" s="783"/>
      <c r="C71" s="783"/>
      <c r="D71" s="44"/>
      <c r="E71" s="44"/>
      <c r="F71" s="44"/>
      <c r="G71" s="44"/>
      <c r="H71" s="44"/>
      <c r="I71" s="44"/>
      <c r="J71" s="44"/>
      <c r="K71" s="44"/>
      <c r="L71" s="44"/>
      <c r="M71" s="44"/>
      <c r="N71" s="44"/>
      <c r="O71" s="44"/>
      <c r="P71" s="44"/>
      <c r="Q71" s="44"/>
      <c r="R71" s="44"/>
    </row>
    <row r="72" spans="1:18" s="360" customFormat="1" x14ac:dyDescent="0.25">
      <c r="A72" s="2447"/>
      <c r="B72" s="783"/>
      <c r="C72" s="783"/>
      <c r="D72" s="44"/>
      <c r="E72" s="44"/>
      <c r="F72" s="44"/>
      <c r="G72" s="44"/>
      <c r="H72" s="44"/>
      <c r="I72" s="44"/>
      <c r="J72" s="44"/>
      <c r="K72" s="44"/>
      <c r="L72" s="44"/>
      <c r="M72" s="44"/>
      <c r="N72" s="44"/>
      <c r="O72" s="44"/>
      <c r="P72" s="44"/>
      <c r="Q72" s="44"/>
      <c r="R72" s="44"/>
    </row>
    <row r="73" spans="1:18" s="360" customFormat="1" x14ac:dyDescent="0.25">
      <c r="A73" s="2447"/>
      <c r="B73" s="783"/>
      <c r="C73" s="783"/>
      <c r="D73" s="44"/>
      <c r="E73" s="44"/>
      <c r="F73" s="44"/>
      <c r="G73" s="44"/>
      <c r="H73" s="44"/>
      <c r="I73" s="44"/>
      <c r="J73" s="44"/>
      <c r="K73" s="44"/>
      <c r="L73" s="44"/>
      <c r="M73" s="44"/>
      <c r="N73" s="44"/>
      <c r="O73" s="44"/>
      <c r="P73" s="44"/>
      <c r="Q73" s="44"/>
      <c r="R73" s="44"/>
    </row>
    <row r="74" spans="1:18" s="360" customFormat="1" x14ac:dyDescent="0.25">
      <c r="A74" s="2447"/>
      <c r="B74" s="783"/>
      <c r="C74" s="783"/>
      <c r="D74" s="44"/>
      <c r="E74" s="44"/>
      <c r="F74" s="44"/>
      <c r="G74" s="44"/>
      <c r="H74" s="44"/>
      <c r="I74" s="44"/>
      <c r="J74" s="44"/>
      <c r="K74" s="44"/>
      <c r="L74" s="44"/>
      <c r="M74" s="44"/>
      <c r="N74" s="44"/>
      <c r="O74" s="44"/>
      <c r="P74" s="44"/>
      <c r="Q74" s="44"/>
      <c r="R74" s="44"/>
    </row>
    <row r="75" spans="1:18" s="360" customFormat="1" x14ac:dyDescent="0.25">
      <c r="A75" s="2447"/>
      <c r="B75" s="783"/>
      <c r="C75" s="783"/>
      <c r="D75" s="44"/>
      <c r="E75" s="44"/>
      <c r="F75" s="44"/>
      <c r="G75" s="44"/>
      <c r="H75" s="44"/>
      <c r="I75" s="44"/>
      <c r="J75" s="44"/>
      <c r="K75" s="44"/>
      <c r="L75" s="44"/>
      <c r="M75" s="44"/>
      <c r="N75" s="44"/>
      <c r="O75" s="44"/>
      <c r="P75" s="44"/>
      <c r="Q75" s="44"/>
      <c r="R75" s="44"/>
    </row>
    <row r="76" spans="1:18" s="360" customFormat="1" x14ac:dyDescent="0.25">
      <c r="A76" s="2447"/>
      <c r="B76" s="783"/>
      <c r="C76" s="783"/>
      <c r="D76" s="44"/>
      <c r="E76" s="44"/>
      <c r="F76" s="44"/>
      <c r="G76" s="44"/>
      <c r="H76" s="44"/>
      <c r="I76" s="44"/>
      <c r="J76" s="44"/>
      <c r="K76" s="44"/>
      <c r="L76" s="44"/>
      <c r="M76" s="44"/>
      <c r="N76" s="44"/>
      <c r="O76" s="44"/>
      <c r="P76" s="44"/>
      <c r="Q76" s="44"/>
      <c r="R76" s="44"/>
    </row>
    <row r="77" spans="1:18" s="360" customFormat="1" x14ac:dyDescent="0.25">
      <c r="A77" s="2447"/>
      <c r="B77" s="783"/>
      <c r="C77" s="783"/>
      <c r="D77" s="44"/>
      <c r="E77" s="44"/>
      <c r="F77" s="44"/>
      <c r="G77" s="44"/>
      <c r="H77" s="44"/>
      <c r="I77" s="44"/>
      <c r="J77" s="44"/>
      <c r="K77" s="44"/>
      <c r="L77" s="44"/>
      <c r="M77" s="44"/>
      <c r="N77" s="44"/>
      <c r="O77" s="44"/>
      <c r="P77" s="44"/>
      <c r="Q77" s="44"/>
      <c r="R77" s="44"/>
    </row>
    <row r="78" spans="1:18" s="360" customFormat="1" x14ac:dyDescent="0.25">
      <c r="A78" s="2447"/>
      <c r="B78" s="783"/>
      <c r="C78" s="783"/>
      <c r="D78" s="44"/>
      <c r="E78" s="44"/>
      <c r="F78" s="44"/>
      <c r="G78" s="44"/>
      <c r="H78" s="44"/>
      <c r="I78" s="44"/>
      <c r="J78" s="44"/>
      <c r="K78" s="44"/>
      <c r="L78" s="44"/>
      <c r="M78" s="44"/>
      <c r="N78" s="44"/>
      <c r="O78" s="44"/>
      <c r="P78" s="44"/>
      <c r="Q78" s="44"/>
      <c r="R78" s="44"/>
    </row>
    <row r="79" spans="1:18" s="360" customFormat="1" x14ac:dyDescent="0.25">
      <c r="A79" s="2447"/>
      <c r="B79" s="783"/>
      <c r="C79" s="783"/>
      <c r="D79" s="44"/>
      <c r="E79" s="44"/>
      <c r="F79" s="44"/>
      <c r="G79" s="44"/>
      <c r="H79" s="44"/>
      <c r="I79" s="44"/>
      <c r="J79" s="44"/>
      <c r="K79" s="44"/>
      <c r="L79" s="44"/>
      <c r="M79" s="44"/>
      <c r="N79" s="44"/>
      <c r="O79" s="44"/>
      <c r="P79" s="44"/>
      <c r="Q79" s="44"/>
      <c r="R79" s="44"/>
    </row>
    <row r="80" spans="1:18" s="360" customFormat="1" x14ac:dyDescent="0.25">
      <c r="A80" s="2447"/>
      <c r="B80" s="783"/>
      <c r="C80" s="783"/>
      <c r="D80" s="44"/>
      <c r="E80" s="44"/>
      <c r="F80" s="44"/>
      <c r="G80" s="44"/>
      <c r="H80" s="44"/>
      <c r="I80" s="44"/>
      <c r="J80" s="44"/>
      <c r="K80" s="44"/>
      <c r="L80" s="44"/>
      <c r="M80" s="44"/>
      <c r="N80" s="44"/>
      <c r="O80" s="44"/>
      <c r="P80" s="44"/>
      <c r="Q80" s="44"/>
      <c r="R80" s="44"/>
    </row>
    <row r="81" spans="1:18" s="360" customFormat="1" x14ac:dyDescent="0.25">
      <c r="A81" s="2447"/>
      <c r="B81" s="783"/>
      <c r="C81" s="783"/>
      <c r="D81" s="44"/>
      <c r="E81" s="44"/>
      <c r="F81" s="44"/>
      <c r="G81" s="44"/>
      <c r="H81" s="44"/>
      <c r="I81" s="44"/>
      <c r="J81" s="44"/>
      <c r="K81" s="44"/>
      <c r="L81" s="44"/>
      <c r="M81" s="44"/>
      <c r="N81" s="44"/>
      <c r="O81" s="44"/>
      <c r="P81" s="44"/>
      <c r="Q81" s="44"/>
      <c r="R81" s="44"/>
    </row>
    <row r="82" spans="1:18" s="360" customFormat="1" x14ac:dyDescent="0.25">
      <c r="A82" s="2447"/>
      <c r="B82" s="783"/>
      <c r="C82" s="783"/>
      <c r="D82" s="44"/>
      <c r="E82" s="44"/>
      <c r="F82" s="44"/>
      <c r="G82" s="44"/>
      <c r="H82" s="44"/>
      <c r="I82" s="44"/>
      <c r="J82" s="44"/>
      <c r="K82" s="44"/>
      <c r="L82" s="44"/>
      <c r="M82" s="44"/>
      <c r="N82" s="44"/>
      <c r="O82" s="44"/>
      <c r="P82" s="44"/>
      <c r="Q82" s="44"/>
      <c r="R82" s="44"/>
    </row>
    <row r="83" spans="1:18" s="360" customFormat="1" x14ac:dyDescent="0.25">
      <c r="A83" s="2447"/>
      <c r="B83" s="783"/>
      <c r="C83" s="783"/>
      <c r="D83" s="44"/>
      <c r="E83" s="44"/>
      <c r="F83" s="44"/>
      <c r="G83" s="44"/>
      <c r="H83" s="44"/>
      <c r="I83" s="44"/>
      <c r="J83" s="44"/>
      <c r="K83" s="44"/>
      <c r="L83" s="44"/>
      <c r="M83" s="44"/>
      <c r="N83" s="44"/>
      <c r="O83" s="44"/>
      <c r="P83" s="44"/>
      <c r="Q83" s="44"/>
      <c r="R83" s="44"/>
    </row>
    <row r="84" spans="1:18" s="360" customFormat="1" x14ac:dyDescent="0.25">
      <c r="A84" s="2447"/>
      <c r="B84" s="783"/>
      <c r="C84" s="783"/>
      <c r="D84" s="44"/>
      <c r="E84" s="44"/>
      <c r="F84" s="44"/>
      <c r="G84" s="44"/>
      <c r="H84" s="44"/>
      <c r="I84" s="44"/>
      <c r="J84" s="44"/>
      <c r="K84" s="44"/>
      <c r="L84" s="44"/>
      <c r="M84" s="44"/>
      <c r="N84" s="44"/>
      <c r="O84" s="44"/>
      <c r="P84" s="44"/>
      <c r="Q84" s="44"/>
      <c r="R84" s="44"/>
    </row>
    <row r="85" spans="1:18" s="360" customFormat="1" x14ac:dyDescent="0.25">
      <c r="A85" s="2447"/>
      <c r="B85" s="783"/>
      <c r="C85" s="783"/>
      <c r="D85" s="44"/>
      <c r="E85" s="44"/>
      <c r="F85" s="44"/>
      <c r="G85" s="44"/>
      <c r="H85" s="44"/>
      <c r="I85" s="44"/>
      <c r="J85" s="44"/>
      <c r="K85" s="44"/>
      <c r="L85" s="44"/>
      <c r="M85" s="44"/>
      <c r="N85" s="44"/>
      <c r="O85" s="44"/>
      <c r="P85" s="44"/>
      <c r="Q85" s="44"/>
      <c r="R85" s="44"/>
    </row>
    <row r="86" spans="1:18" s="360" customFormat="1" x14ac:dyDescent="0.25">
      <c r="A86" s="2447"/>
      <c r="B86" s="783"/>
      <c r="C86" s="783"/>
      <c r="D86" s="44"/>
      <c r="E86" s="44"/>
      <c r="F86" s="44"/>
      <c r="G86" s="44"/>
      <c r="H86" s="44"/>
      <c r="I86" s="44"/>
      <c r="J86" s="44"/>
      <c r="K86" s="44"/>
      <c r="L86" s="44"/>
      <c r="M86" s="44"/>
      <c r="N86" s="44"/>
      <c r="O86" s="44"/>
      <c r="P86" s="44"/>
      <c r="Q86" s="44"/>
      <c r="R86" s="44"/>
    </row>
    <row r="87" spans="1:18" s="360" customFormat="1" x14ac:dyDescent="0.25">
      <c r="A87" s="2447"/>
      <c r="B87" s="783"/>
      <c r="C87" s="783"/>
      <c r="D87" s="44"/>
      <c r="E87" s="44"/>
      <c r="F87" s="44"/>
      <c r="G87" s="44"/>
      <c r="H87" s="44"/>
      <c r="I87" s="44"/>
      <c r="J87" s="44"/>
      <c r="K87" s="44"/>
      <c r="L87" s="44"/>
      <c r="M87" s="44"/>
      <c r="N87" s="44"/>
      <c r="O87" s="44"/>
      <c r="P87" s="44"/>
      <c r="Q87" s="44"/>
      <c r="R87" s="44"/>
    </row>
    <row r="88" spans="1:18" s="360" customFormat="1" x14ac:dyDescent="0.25">
      <c r="A88" s="2447"/>
      <c r="B88" s="783"/>
      <c r="C88" s="783"/>
      <c r="D88" s="44"/>
      <c r="E88" s="44"/>
      <c r="F88" s="44"/>
      <c r="G88" s="44"/>
      <c r="H88" s="44"/>
      <c r="I88" s="44"/>
      <c r="J88" s="44"/>
      <c r="K88" s="44"/>
      <c r="L88" s="44"/>
      <c r="M88" s="44"/>
      <c r="N88" s="44"/>
      <c r="O88" s="44"/>
      <c r="P88" s="44"/>
      <c r="Q88" s="44"/>
      <c r="R88" s="44"/>
    </row>
    <row r="89" spans="1:18" s="360" customFormat="1" x14ac:dyDescent="0.25">
      <c r="A89" s="2447"/>
      <c r="B89" s="783"/>
      <c r="C89" s="783"/>
      <c r="D89" s="44"/>
      <c r="E89" s="44"/>
      <c r="F89" s="44"/>
      <c r="G89" s="44"/>
      <c r="H89" s="44"/>
      <c r="I89" s="44"/>
      <c r="J89" s="44"/>
      <c r="K89" s="44"/>
      <c r="L89" s="44"/>
      <c r="M89" s="44"/>
      <c r="N89" s="44"/>
      <c r="O89" s="44"/>
      <c r="P89" s="44"/>
      <c r="Q89" s="44"/>
      <c r="R89" s="44"/>
    </row>
    <row r="90" spans="1:18" s="360" customFormat="1" x14ac:dyDescent="0.25">
      <c r="A90" s="2447"/>
      <c r="B90" s="783"/>
      <c r="C90" s="783"/>
      <c r="D90" s="44"/>
      <c r="E90" s="44"/>
      <c r="F90" s="44"/>
      <c r="G90" s="44"/>
      <c r="H90" s="44"/>
      <c r="I90" s="44"/>
      <c r="J90" s="44"/>
      <c r="K90" s="44"/>
      <c r="L90" s="44"/>
      <c r="M90" s="44"/>
      <c r="N90" s="44"/>
      <c r="O90" s="44"/>
      <c r="P90" s="44"/>
      <c r="Q90" s="44"/>
      <c r="R90" s="44"/>
    </row>
    <row r="91" spans="1:18" x14ac:dyDescent="0.25">
      <c r="B91" s="899"/>
      <c r="C91" s="899"/>
      <c r="D91" s="267"/>
      <c r="E91" s="267"/>
      <c r="F91" s="267"/>
      <c r="G91" s="267"/>
      <c r="H91" s="267"/>
      <c r="I91" s="267"/>
      <c r="J91" s="267"/>
      <c r="K91" s="267"/>
      <c r="L91" s="267"/>
      <c r="M91" s="267"/>
      <c r="N91" s="267"/>
      <c r="O91" s="267"/>
      <c r="P91" s="267"/>
      <c r="Q91" s="267"/>
      <c r="R91" s="267"/>
    </row>
    <row r="92" spans="1:18" x14ac:dyDescent="0.25">
      <c r="B92" s="899"/>
      <c r="C92" s="899"/>
      <c r="D92" s="267"/>
      <c r="E92" s="267"/>
      <c r="F92" s="267"/>
      <c r="G92" s="267"/>
      <c r="H92" s="267"/>
      <c r="I92" s="267"/>
      <c r="J92" s="267"/>
      <c r="K92" s="267"/>
      <c r="L92" s="267"/>
      <c r="M92" s="267"/>
      <c r="N92" s="267"/>
      <c r="O92" s="267"/>
      <c r="P92" s="267"/>
      <c r="Q92" s="267"/>
      <c r="R92" s="267"/>
    </row>
    <row r="93" spans="1:18" x14ac:dyDescent="0.25">
      <c r="B93" s="899"/>
      <c r="C93" s="899"/>
      <c r="D93" s="267"/>
      <c r="E93" s="267"/>
      <c r="F93" s="267"/>
      <c r="G93" s="267"/>
      <c r="H93" s="267"/>
      <c r="I93" s="267"/>
      <c r="J93" s="267"/>
      <c r="K93" s="267"/>
      <c r="L93" s="267"/>
      <c r="M93" s="267"/>
      <c r="N93" s="267"/>
      <c r="O93" s="267"/>
      <c r="P93" s="267"/>
      <c r="Q93" s="267"/>
      <c r="R93" s="267"/>
    </row>
    <row r="94" spans="1:18" x14ac:dyDescent="0.25">
      <c r="B94" s="899"/>
      <c r="C94" s="899"/>
      <c r="D94" s="267"/>
      <c r="E94" s="267"/>
      <c r="F94" s="267"/>
      <c r="G94" s="267"/>
      <c r="H94" s="267"/>
      <c r="I94" s="267"/>
      <c r="J94" s="267"/>
      <c r="K94" s="267"/>
      <c r="L94" s="267"/>
      <c r="M94" s="267"/>
      <c r="N94" s="267"/>
      <c r="O94" s="267"/>
      <c r="P94" s="267"/>
      <c r="Q94" s="267"/>
      <c r="R94" s="267"/>
    </row>
    <row r="95" spans="1:18" x14ac:dyDescent="0.25">
      <c r="B95" s="899"/>
      <c r="C95" s="899"/>
      <c r="D95" s="267"/>
      <c r="E95" s="267"/>
      <c r="F95" s="267"/>
      <c r="G95" s="267"/>
      <c r="H95" s="267"/>
      <c r="I95" s="267"/>
      <c r="J95" s="267"/>
      <c r="K95" s="267"/>
      <c r="L95" s="267"/>
      <c r="M95" s="267"/>
      <c r="N95" s="267"/>
      <c r="O95" s="267"/>
      <c r="P95" s="267"/>
      <c r="Q95" s="267"/>
      <c r="R95" s="267"/>
    </row>
    <row r="96" spans="1:18" x14ac:dyDescent="0.25">
      <c r="B96" s="899"/>
      <c r="C96" s="899"/>
      <c r="D96" s="267"/>
      <c r="E96" s="267"/>
      <c r="F96" s="267"/>
      <c r="G96" s="267"/>
      <c r="H96" s="267"/>
      <c r="I96" s="267"/>
      <c r="J96" s="267"/>
      <c r="K96" s="267"/>
      <c r="L96" s="267"/>
      <c r="M96" s="267"/>
      <c r="N96" s="267"/>
      <c r="O96" s="267"/>
      <c r="P96" s="267"/>
      <c r="Q96" s="267"/>
      <c r="R96" s="267"/>
    </row>
    <row r="97" spans="2:18" x14ac:dyDescent="0.25">
      <c r="B97" s="899"/>
      <c r="C97" s="899"/>
      <c r="D97" s="267"/>
      <c r="E97" s="267"/>
      <c r="F97" s="267"/>
      <c r="G97" s="267"/>
      <c r="H97" s="267"/>
      <c r="I97" s="267"/>
      <c r="J97" s="267"/>
      <c r="K97" s="267"/>
      <c r="L97" s="267"/>
      <c r="M97" s="267"/>
      <c r="N97" s="267"/>
      <c r="O97" s="267"/>
      <c r="P97" s="267"/>
      <c r="Q97" s="267"/>
      <c r="R97" s="267"/>
    </row>
    <row r="98" spans="2:18" x14ac:dyDescent="0.25">
      <c r="B98" s="899"/>
      <c r="C98" s="899"/>
      <c r="D98" s="267"/>
      <c r="E98" s="267"/>
      <c r="F98" s="267"/>
      <c r="G98" s="267"/>
      <c r="H98" s="267"/>
      <c r="I98" s="267"/>
      <c r="J98" s="267"/>
      <c r="K98" s="267"/>
      <c r="L98" s="267"/>
      <c r="M98" s="267"/>
      <c r="N98" s="267"/>
      <c r="O98" s="267"/>
      <c r="P98" s="267"/>
      <c r="Q98" s="267"/>
      <c r="R98" s="267"/>
    </row>
    <row r="99" spans="2:18" x14ac:dyDescent="0.25">
      <c r="B99" s="899"/>
      <c r="C99" s="899"/>
      <c r="D99" s="267"/>
      <c r="E99" s="267"/>
      <c r="F99" s="267"/>
      <c r="G99" s="267"/>
      <c r="H99" s="267"/>
      <c r="I99" s="267"/>
      <c r="J99" s="267"/>
      <c r="K99" s="267"/>
      <c r="L99" s="267"/>
      <c r="M99" s="267"/>
      <c r="N99" s="267"/>
      <c r="O99" s="267"/>
      <c r="P99" s="267"/>
      <c r="Q99" s="267"/>
      <c r="R99" s="267"/>
    </row>
    <row r="100" spans="2:18" x14ac:dyDescent="0.25">
      <c r="B100" s="899"/>
      <c r="C100" s="899"/>
      <c r="D100" s="267"/>
      <c r="E100" s="267"/>
      <c r="F100" s="267"/>
      <c r="G100" s="267"/>
      <c r="H100" s="267"/>
      <c r="I100" s="267"/>
      <c r="J100" s="267"/>
      <c r="K100" s="267"/>
      <c r="L100" s="267"/>
      <c r="M100" s="267"/>
      <c r="N100" s="267"/>
      <c r="O100" s="267"/>
      <c r="P100" s="267"/>
      <c r="Q100" s="267"/>
      <c r="R100" s="267"/>
    </row>
    <row r="101" spans="2:18" x14ac:dyDescent="0.25">
      <c r="B101" s="899"/>
      <c r="C101" s="899"/>
      <c r="D101" s="267"/>
      <c r="E101" s="267"/>
      <c r="F101" s="267"/>
      <c r="G101" s="267"/>
      <c r="H101" s="267"/>
      <c r="I101" s="267"/>
      <c r="J101" s="267"/>
      <c r="K101" s="267"/>
      <c r="L101" s="267"/>
      <c r="M101" s="267"/>
      <c r="N101" s="267"/>
      <c r="O101" s="267"/>
      <c r="P101" s="267"/>
      <c r="Q101" s="267"/>
      <c r="R101" s="267"/>
    </row>
    <row r="102" spans="2:18" x14ac:dyDescent="0.25">
      <c r="B102" s="899"/>
      <c r="C102" s="899"/>
      <c r="D102" s="267"/>
      <c r="E102" s="267"/>
      <c r="F102" s="267"/>
      <c r="G102" s="267"/>
      <c r="H102" s="267"/>
      <c r="I102" s="267"/>
      <c r="J102" s="267"/>
      <c r="K102" s="267"/>
      <c r="L102" s="267"/>
      <c r="M102" s="267"/>
      <c r="N102" s="267"/>
      <c r="O102" s="267"/>
      <c r="P102" s="267"/>
      <c r="Q102" s="267"/>
      <c r="R102" s="267"/>
    </row>
    <row r="103" spans="2:18" x14ac:dyDescent="0.25">
      <c r="B103" s="899"/>
      <c r="C103" s="899"/>
      <c r="D103" s="267"/>
      <c r="E103" s="267"/>
      <c r="F103" s="267"/>
      <c r="G103" s="267"/>
      <c r="H103" s="267"/>
      <c r="I103" s="267"/>
      <c r="J103" s="267"/>
      <c r="K103" s="267"/>
      <c r="L103" s="267"/>
      <c r="M103" s="267"/>
      <c r="N103" s="267"/>
      <c r="O103" s="267"/>
      <c r="P103" s="267"/>
      <c r="Q103" s="267"/>
      <c r="R103" s="267"/>
    </row>
    <row r="104" spans="2:18" x14ac:dyDescent="0.25">
      <c r="B104" s="899"/>
      <c r="C104" s="899"/>
      <c r="D104" s="267"/>
      <c r="E104" s="267"/>
      <c r="F104" s="267"/>
      <c r="G104" s="267"/>
      <c r="H104" s="267"/>
      <c r="I104" s="267"/>
      <c r="J104" s="267"/>
      <c r="K104" s="267"/>
      <c r="L104" s="267"/>
      <c r="M104" s="267"/>
      <c r="N104" s="267"/>
      <c r="O104" s="267"/>
      <c r="P104" s="267"/>
      <c r="Q104" s="267"/>
      <c r="R104" s="267"/>
    </row>
    <row r="105" spans="2:18" x14ac:dyDescent="0.25">
      <c r="B105" s="899"/>
      <c r="C105" s="899"/>
      <c r="D105" s="267"/>
      <c r="E105" s="267"/>
      <c r="F105" s="267"/>
      <c r="G105" s="267"/>
      <c r="H105" s="267"/>
      <c r="I105" s="267"/>
      <c r="J105" s="267"/>
      <c r="K105" s="267"/>
      <c r="L105" s="267"/>
      <c r="M105" s="267"/>
      <c r="N105" s="267"/>
      <c r="O105" s="267"/>
      <c r="P105" s="267"/>
      <c r="Q105" s="267"/>
      <c r="R105" s="267"/>
    </row>
    <row r="106" spans="2:18" x14ac:dyDescent="0.25">
      <c r="B106" s="899"/>
      <c r="C106" s="899"/>
      <c r="D106" s="267"/>
      <c r="E106" s="267"/>
      <c r="F106" s="267"/>
      <c r="G106" s="267"/>
      <c r="H106" s="267"/>
      <c r="I106" s="267"/>
      <c r="J106" s="267"/>
      <c r="K106" s="267"/>
      <c r="L106" s="267"/>
      <c r="M106" s="267"/>
      <c r="N106" s="267"/>
      <c r="O106" s="267"/>
      <c r="P106" s="267"/>
      <c r="Q106" s="267"/>
      <c r="R106" s="267"/>
    </row>
    <row r="107" spans="2:18" x14ac:dyDescent="0.25">
      <c r="B107" s="899"/>
      <c r="C107" s="899"/>
      <c r="D107" s="267"/>
      <c r="E107" s="267"/>
      <c r="F107" s="267"/>
      <c r="G107" s="267"/>
      <c r="H107" s="267"/>
      <c r="I107" s="267"/>
      <c r="J107" s="267"/>
      <c r="K107" s="267"/>
      <c r="L107" s="267"/>
      <c r="M107" s="267"/>
      <c r="N107" s="267"/>
      <c r="O107" s="267"/>
      <c r="P107" s="267"/>
      <c r="Q107" s="267"/>
      <c r="R107" s="267"/>
    </row>
    <row r="108" spans="2:18" x14ac:dyDescent="0.25">
      <c r="B108" s="899"/>
      <c r="C108" s="899"/>
      <c r="D108" s="267"/>
      <c r="E108" s="267"/>
      <c r="F108" s="267"/>
      <c r="G108" s="267"/>
      <c r="H108" s="267"/>
      <c r="I108" s="267"/>
      <c r="J108" s="267"/>
      <c r="K108" s="267"/>
      <c r="L108" s="267"/>
      <c r="M108" s="267"/>
      <c r="N108" s="267"/>
      <c r="O108" s="267"/>
      <c r="P108" s="267"/>
      <c r="Q108" s="267"/>
      <c r="R108" s="267"/>
    </row>
    <row r="109" spans="2:18" x14ac:dyDescent="0.25">
      <c r="B109" s="899"/>
      <c r="C109" s="899"/>
      <c r="D109" s="267"/>
      <c r="E109" s="267"/>
      <c r="F109" s="267"/>
      <c r="G109" s="267"/>
      <c r="H109" s="267"/>
      <c r="I109" s="267"/>
      <c r="J109" s="267"/>
      <c r="K109" s="267"/>
      <c r="L109" s="267"/>
      <c r="M109" s="267"/>
      <c r="N109" s="267"/>
      <c r="O109" s="267"/>
      <c r="P109" s="267"/>
      <c r="Q109" s="267"/>
      <c r="R109" s="267"/>
    </row>
    <row r="110" spans="2:18" x14ac:dyDescent="0.25">
      <c r="B110" s="899"/>
      <c r="C110" s="899"/>
      <c r="D110" s="267"/>
      <c r="E110" s="267"/>
      <c r="F110" s="267"/>
      <c r="G110" s="267"/>
      <c r="H110" s="267"/>
      <c r="I110" s="267"/>
      <c r="J110" s="267"/>
      <c r="K110" s="267"/>
      <c r="L110" s="267"/>
      <c r="M110" s="267"/>
      <c r="N110" s="267"/>
      <c r="O110" s="267"/>
      <c r="P110" s="267"/>
      <c r="Q110" s="267"/>
      <c r="R110" s="267"/>
    </row>
    <row r="111" spans="2:18" x14ac:dyDescent="0.25">
      <c r="B111" s="899"/>
      <c r="C111" s="899"/>
      <c r="D111" s="267"/>
      <c r="E111" s="267"/>
      <c r="F111" s="267"/>
      <c r="G111" s="267"/>
      <c r="H111" s="267"/>
      <c r="I111" s="267"/>
      <c r="J111" s="267"/>
      <c r="K111" s="267"/>
      <c r="L111" s="267"/>
      <c r="M111" s="267"/>
      <c r="N111" s="267"/>
      <c r="O111" s="267"/>
      <c r="P111" s="267"/>
      <c r="Q111" s="267"/>
      <c r="R111" s="267"/>
    </row>
    <row r="112" spans="2:18" x14ac:dyDescent="0.25">
      <c r="B112" s="899"/>
      <c r="C112" s="899"/>
      <c r="D112" s="267"/>
      <c r="E112" s="267"/>
      <c r="F112" s="267"/>
      <c r="G112" s="267"/>
      <c r="H112" s="267"/>
      <c r="I112" s="267"/>
      <c r="J112" s="267"/>
      <c r="K112" s="267"/>
      <c r="L112" s="267"/>
      <c r="M112" s="267"/>
      <c r="N112" s="267"/>
      <c r="O112" s="267"/>
      <c r="P112" s="267"/>
      <c r="Q112" s="267"/>
      <c r="R112" s="267"/>
    </row>
    <row r="113" spans="2:18" x14ac:dyDescent="0.25">
      <c r="B113" s="899"/>
      <c r="C113" s="899"/>
      <c r="D113" s="267"/>
      <c r="E113" s="267"/>
      <c r="F113" s="267"/>
      <c r="G113" s="267"/>
      <c r="H113" s="267"/>
      <c r="I113" s="267"/>
      <c r="J113" s="267"/>
      <c r="K113" s="267"/>
      <c r="L113" s="267"/>
      <c r="M113" s="267"/>
      <c r="N113" s="267"/>
      <c r="O113" s="267"/>
      <c r="P113" s="267"/>
      <c r="Q113" s="267"/>
      <c r="R113" s="267"/>
    </row>
    <row r="114" spans="2:18" x14ac:dyDescent="0.25">
      <c r="B114" s="899"/>
      <c r="C114" s="899"/>
      <c r="D114" s="267"/>
      <c r="E114" s="267"/>
      <c r="F114" s="267"/>
      <c r="G114" s="267"/>
      <c r="H114" s="267"/>
      <c r="I114" s="267"/>
      <c r="J114" s="267"/>
      <c r="K114" s="267"/>
      <c r="L114" s="267"/>
      <c r="M114" s="267"/>
      <c r="N114" s="267"/>
      <c r="O114" s="267"/>
      <c r="P114" s="267"/>
      <c r="Q114" s="267"/>
      <c r="R114" s="267"/>
    </row>
    <row r="115" spans="2:18" x14ac:dyDescent="0.25">
      <c r="B115" s="899"/>
      <c r="C115" s="899"/>
      <c r="D115" s="267"/>
      <c r="E115" s="267"/>
      <c r="F115" s="267"/>
      <c r="G115" s="267"/>
      <c r="H115" s="267"/>
      <c r="I115" s="267"/>
      <c r="J115" s="267"/>
      <c r="K115" s="267"/>
      <c r="L115" s="267"/>
      <c r="M115" s="267"/>
      <c r="N115" s="267"/>
      <c r="O115" s="267"/>
      <c r="P115" s="267"/>
      <c r="Q115" s="267"/>
      <c r="R115" s="267"/>
    </row>
    <row r="116" spans="2:18" x14ac:dyDescent="0.25">
      <c r="B116" s="899"/>
      <c r="C116" s="899"/>
      <c r="D116" s="267"/>
      <c r="E116" s="267"/>
      <c r="F116" s="267"/>
      <c r="G116" s="267"/>
      <c r="H116" s="267"/>
      <c r="I116" s="267"/>
      <c r="J116" s="267"/>
      <c r="K116" s="267"/>
      <c r="L116" s="267"/>
      <c r="M116" s="267"/>
      <c r="N116" s="267"/>
      <c r="O116" s="267"/>
      <c r="P116" s="267"/>
      <c r="Q116" s="267"/>
      <c r="R116" s="267"/>
    </row>
    <row r="117" spans="2:18" x14ac:dyDescent="0.25">
      <c r="B117" s="899"/>
      <c r="C117" s="899"/>
      <c r="D117" s="267"/>
      <c r="E117" s="267"/>
      <c r="F117" s="267"/>
      <c r="G117" s="267"/>
      <c r="H117" s="267"/>
      <c r="I117" s="267"/>
      <c r="J117" s="267"/>
      <c r="K117" s="267"/>
      <c r="L117" s="267"/>
      <c r="M117" s="267"/>
      <c r="N117" s="267"/>
      <c r="O117" s="267"/>
      <c r="P117" s="267"/>
      <c r="Q117" s="267"/>
      <c r="R117" s="267"/>
    </row>
    <row r="118" spans="2:18" x14ac:dyDescent="0.25">
      <c r="B118" s="899"/>
      <c r="C118" s="899"/>
      <c r="D118" s="267"/>
      <c r="E118" s="267"/>
      <c r="F118" s="267"/>
      <c r="G118" s="267"/>
      <c r="H118" s="267"/>
      <c r="I118" s="267"/>
      <c r="J118" s="267"/>
      <c r="K118" s="267"/>
      <c r="L118" s="267"/>
      <c r="M118" s="267"/>
      <c r="N118" s="267"/>
      <c r="O118" s="267"/>
      <c r="P118" s="267"/>
      <c r="Q118" s="267"/>
      <c r="R118" s="267"/>
    </row>
    <row r="119" spans="2:18" x14ac:dyDescent="0.25">
      <c r="B119" s="899"/>
      <c r="C119" s="899"/>
      <c r="D119" s="267"/>
      <c r="E119" s="267"/>
      <c r="F119" s="267"/>
      <c r="G119" s="267"/>
      <c r="H119" s="267"/>
      <c r="I119" s="267"/>
      <c r="J119" s="267"/>
      <c r="K119" s="267"/>
      <c r="L119" s="267"/>
      <c r="M119" s="267"/>
      <c r="N119" s="267"/>
      <c r="O119" s="267"/>
      <c r="P119" s="267"/>
      <c r="Q119" s="267"/>
      <c r="R119" s="267"/>
    </row>
    <row r="120" spans="2:18" x14ac:dyDescent="0.25">
      <c r="B120" s="899"/>
      <c r="C120" s="899"/>
      <c r="D120" s="267"/>
      <c r="E120" s="267"/>
      <c r="F120" s="267"/>
      <c r="G120" s="267"/>
      <c r="H120" s="267"/>
      <c r="I120" s="267"/>
      <c r="J120" s="267"/>
      <c r="K120" s="267"/>
      <c r="L120" s="267"/>
      <c r="M120" s="267"/>
      <c r="N120" s="267"/>
      <c r="O120" s="267"/>
      <c r="P120" s="267"/>
      <c r="Q120" s="267"/>
      <c r="R120" s="267"/>
    </row>
    <row r="121" spans="2:18" x14ac:dyDescent="0.25">
      <c r="B121" s="899"/>
      <c r="C121" s="899"/>
      <c r="D121" s="267"/>
      <c r="E121" s="267"/>
      <c r="F121" s="267"/>
      <c r="G121" s="267"/>
      <c r="H121" s="267"/>
      <c r="I121" s="267"/>
      <c r="J121" s="267"/>
      <c r="K121" s="267"/>
      <c r="L121" s="267"/>
      <c r="M121" s="267"/>
      <c r="N121" s="267"/>
      <c r="O121" s="267"/>
      <c r="P121" s="267"/>
      <c r="Q121" s="267"/>
      <c r="R121" s="267"/>
    </row>
    <row r="122" spans="2:18" x14ac:dyDescent="0.25">
      <c r="B122" s="899"/>
      <c r="C122" s="899"/>
      <c r="D122" s="267"/>
      <c r="E122" s="267"/>
      <c r="F122" s="267"/>
      <c r="G122" s="267"/>
      <c r="H122" s="267"/>
      <c r="I122" s="267"/>
      <c r="J122" s="267"/>
      <c r="K122" s="267"/>
      <c r="L122" s="267"/>
      <c r="M122" s="267"/>
      <c r="N122" s="267"/>
      <c r="O122" s="267"/>
      <c r="P122" s="267"/>
      <c r="Q122" s="267"/>
      <c r="R122" s="267"/>
    </row>
    <row r="123" spans="2:18" x14ac:dyDescent="0.25">
      <c r="B123" s="899"/>
      <c r="C123" s="899"/>
      <c r="D123" s="267"/>
      <c r="E123" s="267"/>
      <c r="F123" s="267"/>
      <c r="G123" s="267"/>
      <c r="H123" s="267"/>
      <c r="I123" s="267"/>
      <c r="J123" s="267"/>
      <c r="K123" s="267"/>
      <c r="L123" s="267"/>
      <c r="M123" s="267"/>
      <c r="N123" s="267"/>
      <c r="O123" s="267"/>
      <c r="P123" s="267"/>
      <c r="Q123" s="267"/>
      <c r="R123" s="267"/>
    </row>
    <row r="124" spans="2:18" x14ac:dyDescent="0.25">
      <c r="B124" s="899"/>
      <c r="C124" s="899"/>
      <c r="D124" s="267"/>
      <c r="E124" s="267"/>
      <c r="F124" s="267"/>
      <c r="G124" s="267"/>
      <c r="H124" s="267"/>
      <c r="I124" s="267"/>
      <c r="J124" s="267"/>
      <c r="K124" s="267"/>
      <c r="L124" s="267"/>
      <c r="M124" s="267"/>
      <c r="N124" s="267"/>
      <c r="O124" s="267"/>
      <c r="P124" s="267"/>
      <c r="Q124" s="267"/>
      <c r="R124" s="267"/>
    </row>
    <row r="125" spans="2:18" x14ac:dyDescent="0.25">
      <c r="B125" s="899"/>
      <c r="C125" s="899"/>
      <c r="D125" s="267"/>
      <c r="E125" s="267"/>
      <c r="F125" s="267"/>
      <c r="G125" s="267"/>
      <c r="H125" s="267"/>
      <c r="I125" s="267"/>
      <c r="J125" s="267"/>
      <c r="K125" s="267"/>
      <c r="L125" s="267"/>
      <c r="M125" s="267"/>
      <c r="N125" s="267"/>
      <c r="O125" s="267"/>
      <c r="P125" s="267"/>
      <c r="Q125" s="267"/>
      <c r="R125" s="267"/>
    </row>
    <row r="126" spans="2:18" x14ac:dyDescent="0.25">
      <c r="B126" s="899"/>
      <c r="C126" s="899"/>
      <c r="D126" s="267"/>
      <c r="E126" s="267"/>
      <c r="F126" s="267"/>
      <c r="G126" s="267"/>
      <c r="H126" s="267"/>
      <c r="I126" s="267"/>
      <c r="J126" s="267"/>
      <c r="K126" s="267"/>
      <c r="L126" s="267"/>
      <c r="M126" s="267"/>
      <c r="N126" s="267"/>
      <c r="O126" s="267"/>
      <c r="P126" s="267"/>
      <c r="Q126" s="267"/>
      <c r="R126" s="267"/>
    </row>
    <row r="127" spans="2:18" x14ac:dyDescent="0.25">
      <c r="B127" s="899"/>
      <c r="C127" s="899"/>
      <c r="D127" s="267"/>
      <c r="E127" s="267"/>
      <c r="F127" s="267"/>
      <c r="G127" s="267"/>
      <c r="H127" s="267"/>
      <c r="I127" s="267"/>
      <c r="J127" s="267"/>
      <c r="K127" s="267"/>
      <c r="L127" s="267"/>
      <c r="M127" s="267"/>
      <c r="N127" s="267"/>
      <c r="O127" s="267"/>
      <c r="P127" s="267"/>
      <c r="Q127" s="267"/>
      <c r="R127" s="267"/>
    </row>
    <row r="128" spans="2:18" x14ac:dyDescent="0.25">
      <c r="B128" s="899"/>
      <c r="C128" s="899"/>
      <c r="D128" s="267"/>
      <c r="E128" s="267"/>
      <c r="F128" s="267"/>
      <c r="G128" s="267"/>
      <c r="H128" s="267"/>
      <c r="I128" s="267"/>
      <c r="J128" s="267"/>
      <c r="K128" s="267"/>
      <c r="L128" s="267"/>
      <c r="M128" s="267"/>
      <c r="N128" s="267"/>
      <c r="O128" s="267"/>
      <c r="P128" s="267"/>
      <c r="Q128" s="267"/>
      <c r="R128" s="267"/>
    </row>
    <row r="129" spans="2:18" x14ac:dyDescent="0.25">
      <c r="B129" s="899"/>
      <c r="C129" s="899"/>
      <c r="D129" s="267"/>
      <c r="E129" s="267"/>
      <c r="F129" s="267"/>
      <c r="G129" s="267"/>
      <c r="H129" s="267"/>
      <c r="I129" s="267"/>
      <c r="J129" s="267"/>
      <c r="K129" s="267"/>
      <c r="L129" s="267"/>
      <c r="M129" s="267"/>
      <c r="N129" s="267"/>
      <c r="O129" s="267"/>
      <c r="P129" s="267"/>
      <c r="Q129" s="267"/>
      <c r="R129" s="267"/>
    </row>
    <row r="130" spans="2:18" x14ac:dyDescent="0.25">
      <c r="B130" s="899"/>
      <c r="C130" s="899"/>
      <c r="D130" s="267"/>
      <c r="E130" s="267"/>
      <c r="F130" s="267"/>
      <c r="G130" s="267"/>
      <c r="H130" s="267"/>
      <c r="I130" s="267"/>
      <c r="J130" s="267"/>
      <c r="K130" s="267"/>
      <c r="L130" s="267"/>
      <c r="M130" s="267"/>
      <c r="N130" s="267"/>
      <c r="O130" s="267"/>
      <c r="P130" s="267"/>
      <c r="Q130" s="267"/>
      <c r="R130" s="267"/>
    </row>
    <row r="131" spans="2:18" x14ac:dyDescent="0.25">
      <c r="B131" s="899"/>
      <c r="C131" s="899"/>
      <c r="D131" s="267"/>
      <c r="E131" s="267"/>
      <c r="F131" s="267"/>
      <c r="G131" s="267"/>
      <c r="H131" s="267"/>
      <c r="I131" s="267"/>
      <c r="J131" s="267"/>
      <c r="K131" s="267"/>
      <c r="L131" s="267"/>
      <c r="M131" s="267"/>
      <c r="N131" s="267"/>
      <c r="O131" s="267"/>
      <c r="P131" s="267"/>
      <c r="Q131" s="267"/>
      <c r="R131" s="267"/>
    </row>
    <row r="132" spans="2:18" x14ac:dyDescent="0.25">
      <c r="B132" s="899"/>
      <c r="C132" s="899"/>
      <c r="D132" s="267"/>
      <c r="E132" s="267"/>
      <c r="F132" s="267"/>
      <c r="G132" s="267"/>
      <c r="H132" s="267"/>
      <c r="I132" s="267"/>
      <c r="J132" s="267"/>
      <c r="K132" s="267"/>
      <c r="L132" s="267"/>
      <c r="M132" s="267"/>
      <c r="N132" s="267"/>
      <c r="O132" s="267"/>
      <c r="P132" s="267"/>
      <c r="Q132" s="267"/>
      <c r="R132" s="267"/>
    </row>
    <row r="133" spans="2:18" x14ac:dyDescent="0.25">
      <c r="B133" s="899"/>
      <c r="C133" s="899"/>
      <c r="D133" s="267"/>
      <c r="E133" s="267"/>
      <c r="F133" s="267"/>
      <c r="G133" s="267"/>
      <c r="H133" s="267"/>
      <c r="I133" s="267"/>
      <c r="J133" s="267"/>
      <c r="K133" s="267"/>
      <c r="L133" s="267"/>
      <c r="M133" s="267"/>
      <c r="N133" s="267"/>
      <c r="O133" s="267"/>
      <c r="P133" s="267"/>
      <c r="Q133" s="267"/>
      <c r="R133" s="267"/>
    </row>
    <row r="134" spans="2:18" x14ac:dyDescent="0.25">
      <c r="B134" s="899"/>
      <c r="C134" s="899"/>
      <c r="D134" s="267"/>
      <c r="E134" s="267"/>
      <c r="F134" s="267"/>
      <c r="G134" s="267"/>
      <c r="H134" s="267"/>
      <c r="I134" s="267"/>
      <c r="J134" s="267"/>
      <c r="K134" s="267"/>
      <c r="L134" s="267"/>
      <c r="M134" s="267"/>
      <c r="N134" s="267"/>
      <c r="O134" s="267"/>
      <c r="P134" s="267"/>
      <c r="Q134" s="267"/>
      <c r="R134" s="267"/>
    </row>
    <row r="135" spans="2:18" x14ac:dyDescent="0.25">
      <c r="B135" s="899"/>
      <c r="C135" s="899"/>
      <c r="D135" s="267"/>
      <c r="E135" s="267"/>
      <c r="F135" s="267"/>
      <c r="G135" s="267"/>
      <c r="H135" s="267"/>
      <c r="I135" s="267"/>
      <c r="J135" s="267"/>
      <c r="K135" s="267"/>
      <c r="L135" s="267"/>
      <c r="M135" s="267"/>
      <c r="N135" s="267"/>
      <c r="O135" s="267"/>
      <c r="P135" s="267"/>
      <c r="Q135" s="267"/>
      <c r="R135" s="267"/>
    </row>
    <row r="136" spans="2:18" x14ac:dyDescent="0.25">
      <c r="B136" s="899"/>
      <c r="C136" s="899"/>
      <c r="D136" s="267"/>
      <c r="E136" s="267"/>
      <c r="F136" s="267"/>
      <c r="G136" s="267"/>
      <c r="H136" s="267"/>
      <c r="I136" s="267"/>
      <c r="J136" s="267"/>
      <c r="K136" s="267"/>
      <c r="L136" s="267"/>
      <c r="M136" s="267"/>
      <c r="N136" s="267"/>
      <c r="O136" s="267"/>
      <c r="P136" s="267"/>
      <c r="Q136" s="267"/>
      <c r="R136" s="267"/>
    </row>
    <row r="137" spans="2:18" x14ac:dyDescent="0.25">
      <c r="B137" s="899"/>
      <c r="C137" s="899"/>
      <c r="D137" s="267"/>
      <c r="E137" s="267"/>
      <c r="F137" s="267"/>
      <c r="G137" s="267"/>
      <c r="H137" s="267"/>
      <c r="I137" s="267"/>
      <c r="J137" s="267"/>
      <c r="K137" s="267"/>
      <c r="L137" s="267"/>
      <c r="M137" s="267"/>
      <c r="N137" s="267"/>
      <c r="O137" s="267"/>
      <c r="P137" s="267"/>
      <c r="Q137" s="267"/>
      <c r="R137" s="267"/>
    </row>
    <row r="138" spans="2:18" x14ac:dyDescent="0.25">
      <c r="B138" s="899"/>
      <c r="C138" s="899"/>
      <c r="D138" s="267"/>
      <c r="E138" s="267"/>
      <c r="F138" s="267"/>
      <c r="G138" s="267"/>
      <c r="H138" s="267"/>
      <c r="I138" s="267"/>
      <c r="J138" s="267"/>
      <c r="K138" s="267"/>
      <c r="L138" s="267"/>
      <c r="M138" s="267"/>
      <c r="N138" s="267"/>
      <c r="O138" s="267"/>
      <c r="P138" s="267"/>
      <c r="Q138" s="267"/>
      <c r="R138" s="267"/>
    </row>
    <row r="139" spans="2:18" x14ac:dyDescent="0.25">
      <c r="B139" s="899"/>
      <c r="C139" s="899"/>
      <c r="D139" s="267"/>
      <c r="E139" s="267"/>
      <c r="F139" s="267"/>
      <c r="G139" s="267"/>
      <c r="H139" s="267"/>
      <c r="I139" s="267"/>
      <c r="J139" s="267"/>
      <c r="K139" s="267"/>
      <c r="L139" s="267"/>
      <c r="M139" s="267"/>
      <c r="N139" s="267"/>
      <c r="O139" s="267"/>
      <c r="P139" s="267"/>
      <c r="Q139" s="267"/>
      <c r="R139" s="267"/>
    </row>
    <row r="140" spans="2:18" x14ac:dyDescent="0.25">
      <c r="B140" s="899"/>
      <c r="C140" s="899"/>
      <c r="D140" s="267"/>
      <c r="E140" s="267"/>
      <c r="F140" s="267"/>
      <c r="G140" s="267"/>
      <c r="H140" s="267"/>
      <c r="I140" s="267"/>
      <c r="J140" s="267"/>
      <c r="K140" s="267"/>
      <c r="L140" s="267"/>
      <c r="M140" s="267"/>
      <c r="N140" s="267"/>
      <c r="O140" s="267"/>
      <c r="P140" s="267"/>
      <c r="Q140" s="267"/>
      <c r="R140" s="267"/>
    </row>
    <row r="141" spans="2:18" x14ac:dyDescent="0.25">
      <c r="B141" s="899"/>
      <c r="C141" s="899"/>
      <c r="D141" s="267"/>
      <c r="E141" s="267"/>
      <c r="F141" s="267"/>
      <c r="G141" s="267"/>
      <c r="H141" s="267"/>
      <c r="I141" s="267"/>
      <c r="J141" s="267"/>
      <c r="K141" s="267"/>
      <c r="L141" s="267"/>
      <c r="M141" s="267"/>
      <c r="N141" s="267"/>
      <c r="O141" s="267"/>
      <c r="P141" s="267"/>
      <c r="Q141" s="267"/>
      <c r="R141" s="267"/>
    </row>
    <row r="142" spans="2:18" x14ac:dyDescent="0.25">
      <c r="B142" s="899"/>
      <c r="C142" s="899"/>
      <c r="D142" s="267"/>
      <c r="E142" s="267"/>
      <c r="F142" s="267"/>
      <c r="G142" s="267"/>
      <c r="H142" s="267"/>
      <c r="I142" s="267"/>
      <c r="J142" s="267"/>
      <c r="K142" s="267"/>
      <c r="L142" s="267"/>
      <c r="M142" s="267"/>
      <c r="N142" s="267"/>
      <c r="O142" s="267"/>
      <c r="P142" s="267"/>
      <c r="Q142" s="267"/>
      <c r="R142" s="267"/>
    </row>
    <row r="143" spans="2:18" x14ac:dyDescent="0.25">
      <c r="B143" s="899"/>
      <c r="C143" s="899"/>
      <c r="D143" s="267"/>
      <c r="E143" s="267"/>
      <c r="F143" s="267"/>
      <c r="G143" s="267"/>
      <c r="H143" s="267"/>
      <c r="I143" s="267"/>
      <c r="J143" s="267"/>
      <c r="K143" s="267"/>
      <c r="L143" s="267"/>
      <c r="M143" s="267"/>
      <c r="N143" s="267"/>
      <c r="O143" s="267"/>
      <c r="P143" s="267"/>
      <c r="Q143" s="267"/>
      <c r="R143" s="267"/>
    </row>
    <row r="144" spans="2:18" x14ac:dyDescent="0.25">
      <c r="B144" s="899"/>
      <c r="C144" s="899"/>
      <c r="D144" s="267"/>
      <c r="E144" s="267"/>
      <c r="F144" s="267"/>
      <c r="G144" s="267"/>
      <c r="H144" s="267"/>
      <c r="I144" s="267"/>
      <c r="J144" s="267"/>
      <c r="K144" s="267"/>
      <c r="L144" s="267"/>
      <c r="M144" s="267"/>
      <c r="N144" s="267"/>
      <c r="O144" s="267"/>
      <c r="P144" s="267"/>
      <c r="Q144" s="267"/>
      <c r="R144" s="267"/>
    </row>
    <row r="145" spans="2:18" x14ac:dyDescent="0.25">
      <c r="B145" s="899"/>
      <c r="C145" s="899"/>
      <c r="D145" s="267"/>
      <c r="E145" s="267"/>
      <c r="F145" s="267"/>
      <c r="G145" s="267"/>
      <c r="H145" s="267"/>
      <c r="I145" s="267"/>
      <c r="J145" s="267"/>
      <c r="K145" s="267"/>
      <c r="L145" s="267"/>
      <c r="M145" s="267"/>
      <c r="N145" s="267"/>
      <c r="O145" s="267"/>
      <c r="P145" s="267"/>
      <c r="Q145" s="267"/>
      <c r="R145" s="267"/>
    </row>
    <row r="146" spans="2:18" x14ac:dyDescent="0.25">
      <c r="B146" s="899"/>
      <c r="C146" s="899"/>
      <c r="D146" s="267"/>
      <c r="E146" s="267"/>
      <c r="F146" s="267"/>
      <c r="G146" s="267"/>
      <c r="H146" s="267"/>
      <c r="I146" s="267"/>
      <c r="J146" s="267"/>
      <c r="K146" s="267"/>
      <c r="L146" s="267"/>
      <c r="M146" s="267"/>
      <c r="N146" s="267"/>
      <c r="O146" s="267"/>
      <c r="P146" s="267"/>
      <c r="Q146" s="267"/>
      <c r="R146" s="267"/>
    </row>
    <row r="147" spans="2:18" x14ac:dyDescent="0.25">
      <c r="B147" s="899"/>
      <c r="C147" s="899"/>
      <c r="D147" s="267"/>
      <c r="E147" s="267"/>
      <c r="F147" s="267"/>
      <c r="G147" s="267"/>
      <c r="H147" s="267"/>
      <c r="I147" s="267"/>
      <c r="J147" s="267"/>
      <c r="K147" s="267"/>
      <c r="L147" s="267"/>
      <c r="M147" s="267"/>
      <c r="N147" s="267"/>
      <c r="O147" s="267"/>
      <c r="P147" s="267"/>
      <c r="Q147" s="267"/>
      <c r="R147" s="267"/>
    </row>
    <row r="148" spans="2:18" x14ac:dyDescent="0.25">
      <c r="B148" s="899"/>
      <c r="C148" s="899"/>
      <c r="D148" s="267"/>
      <c r="E148" s="267"/>
      <c r="F148" s="267"/>
      <c r="G148" s="267"/>
      <c r="H148" s="267"/>
      <c r="I148" s="267"/>
      <c r="J148" s="267"/>
      <c r="K148" s="267"/>
      <c r="L148" s="267"/>
      <c r="M148" s="267"/>
      <c r="N148" s="267"/>
      <c r="O148" s="267"/>
      <c r="P148" s="267"/>
      <c r="Q148" s="267"/>
      <c r="R148" s="267"/>
    </row>
    <row r="149" spans="2:18" x14ac:dyDescent="0.25">
      <c r="B149" s="899"/>
      <c r="C149" s="899"/>
      <c r="D149" s="267"/>
      <c r="E149" s="267"/>
      <c r="F149" s="267"/>
      <c r="G149" s="267"/>
      <c r="H149" s="267"/>
      <c r="I149" s="267"/>
      <c r="J149" s="267"/>
      <c r="K149" s="267"/>
      <c r="L149" s="267"/>
      <c r="M149" s="267"/>
      <c r="N149" s="267"/>
      <c r="O149" s="267"/>
      <c r="P149" s="267"/>
      <c r="Q149" s="267"/>
      <c r="R149" s="267"/>
    </row>
    <row r="150" spans="2:18" x14ac:dyDescent="0.25">
      <c r="B150" s="899"/>
      <c r="C150" s="899"/>
      <c r="D150" s="267"/>
      <c r="E150" s="267"/>
      <c r="F150" s="267"/>
      <c r="G150" s="267"/>
      <c r="H150" s="267"/>
      <c r="I150" s="267"/>
      <c r="J150" s="267"/>
      <c r="K150" s="267"/>
      <c r="L150" s="267"/>
      <c r="M150" s="267"/>
      <c r="N150" s="267"/>
      <c r="O150" s="267"/>
      <c r="P150" s="267"/>
      <c r="Q150" s="267"/>
      <c r="R150" s="267"/>
    </row>
    <row r="151" spans="2:18" x14ac:dyDescent="0.25">
      <c r="B151" s="899"/>
      <c r="C151" s="899"/>
      <c r="D151" s="267"/>
      <c r="E151" s="267"/>
      <c r="F151" s="267"/>
      <c r="G151" s="267"/>
      <c r="H151" s="267"/>
      <c r="I151" s="267"/>
      <c r="J151" s="267"/>
      <c r="K151" s="267"/>
      <c r="L151" s="267"/>
      <c r="M151" s="267"/>
      <c r="N151" s="267"/>
      <c r="O151" s="267"/>
      <c r="P151" s="267"/>
      <c r="Q151" s="267"/>
      <c r="R151" s="267"/>
    </row>
    <row r="152" spans="2:18" x14ac:dyDescent="0.25">
      <c r="B152" s="899"/>
      <c r="C152" s="899"/>
      <c r="D152" s="267"/>
      <c r="E152" s="267"/>
      <c r="F152" s="267"/>
      <c r="G152" s="267"/>
      <c r="H152" s="267"/>
      <c r="I152" s="267"/>
      <c r="J152" s="267"/>
      <c r="K152" s="267"/>
      <c r="L152" s="267"/>
      <c r="M152" s="267"/>
      <c r="N152" s="267"/>
      <c r="O152" s="267"/>
      <c r="P152" s="267"/>
      <c r="Q152" s="267"/>
      <c r="R152" s="267"/>
    </row>
    <row r="153" spans="2:18" x14ac:dyDescent="0.25">
      <c r="B153" s="899"/>
      <c r="C153" s="899"/>
      <c r="D153" s="267"/>
      <c r="E153" s="267"/>
      <c r="F153" s="267"/>
      <c r="G153" s="267"/>
      <c r="H153" s="267"/>
      <c r="I153" s="267"/>
      <c r="J153" s="267"/>
      <c r="K153" s="267"/>
      <c r="L153" s="267"/>
      <c r="M153" s="267"/>
      <c r="N153" s="267"/>
      <c r="O153" s="267"/>
      <c r="P153" s="267"/>
      <c r="Q153" s="267"/>
      <c r="R153" s="267"/>
    </row>
    <row r="154" spans="2:18" x14ac:dyDescent="0.25">
      <c r="B154" s="899"/>
      <c r="C154" s="899"/>
      <c r="D154" s="267"/>
      <c r="E154" s="267"/>
      <c r="F154" s="267"/>
      <c r="G154" s="267"/>
      <c r="H154" s="267"/>
      <c r="I154" s="267"/>
      <c r="J154" s="267"/>
      <c r="K154" s="267"/>
      <c r="L154" s="267"/>
      <c r="M154" s="267"/>
      <c r="N154" s="267"/>
      <c r="O154" s="267"/>
      <c r="P154" s="267"/>
      <c r="Q154" s="267"/>
      <c r="R154" s="267"/>
    </row>
    <row r="155" spans="2:18" x14ac:dyDescent="0.25">
      <c r="B155" s="899"/>
      <c r="C155" s="899"/>
      <c r="D155" s="267"/>
      <c r="E155" s="267"/>
      <c r="F155" s="267"/>
      <c r="G155" s="267"/>
      <c r="H155" s="267"/>
      <c r="I155" s="267"/>
      <c r="J155" s="267"/>
      <c r="K155" s="267"/>
      <c r="L155" s="267"/>
      <c r="M155" s="267"/>
      <c r="N155" s="267"/>
      <c r="O155" s="267"/>
      <c r="P155" s="267"/>
      <c r="Q155" s="267"/>
      <c r="R155" s="267"/>
    </row>
    <row r="156" spans="2:18" x14ac:dyDescent="0.25">
      <c r="B156" s="899"/>
      <c r="C156" s="899"/>
      <c r="D156" s="267"/>
      <c r="E156" s="267"/>
      <c r="F156" s="267"/>
      <c r="G156" s="267"/>
      <c r="H156" s="267"/>
      <c r="I156" s="267"/>
      <c r="J156" s="267"/>
      <c r="K156" s="267"/>
      <c r="L156" s="267"/>
      <c r="M156" s="267"/>
      <c r="N156" s="267"/>
      <c r="O156" s="267"/>
      <c r="P156" s="267"/>
      <c r="Q156" s="267"/>
      <c r="R156" s="267"/>
    </row>
    <row r="157" spans="2:18" x14ac:dyDescent="0.25">
      <c r="B157" s="899"/>
      <c r="C157" s="899"/>
      <c r="D157" s="267"/>
      <c r="E157" s="267"/>
      <c r="F157" s="267"/>
      <c r="G157" s="267"/>
      <c r="H157" s="267"/>
      <c r="I157" s="267"/>
      <c r="J157" s="267"/>
      <c r="K157" s="267"/>
      <c r="L157" s="267"/>
      <c r="M157" s="267"/>
      <c r="N157" s="267"/>
      <c r="O157" s="267"/>
      <c r="P157" s="267"/>
      <c r="Q157" s="267"/>
      <c r="R157" s="267"/>
    </row>
    <row r="158" spans="2:18" x14ac:dyDescent="0.25">
      <c r="B158" s="899"/>
      <c r="C158" s="899"/>
      <c r="D158" s="267"/>
      <c r="E158" s="267"/>
      <c r="F158" s="267"/>
      <c r="G158" s="267"/>
      <c r="H158" s="267"/>
      <c r="I158" s="267"/>
      <c r="J158" s="267"/>
      <c r="K158" s="267"/>
      <c r="L158" s="267"/>
      <c r="M158" s="267"/>
      <c r="N158" s="267"/>
      <c r="O158" s="267"/>
      <c r="P158" s="267"/>
      <c r="Q158" s="267"/>
      <c r="R158" s="267"/>
    </row>
    <row r="159" spans="2:18" x14ac:dyDescent="0.25">
      <c r="B159" s="899"/>
      <c r="C159" s="899"/>
      <c r="D159" s="267"/>
      <c r="E159" s="267"/>
      <c r="F159" s="267"/>
      <c r="G159" s="267"/>
      <c r="H159" s="267"/>
      <c r="I159" s="267"/>
      <c r="J159" s="267"/>
      <c r="K159" s="267"/>
      <c r="L159" s="267"/>
      <c r="M159" s="267"/>
      <c r="N159" s="267"/>
      <c r="O159" s="267"/>
      <c r="P159" s="267"/>
      <c r="Q159" s="267"/>
      <c r="R159" s="267"/>
    </row>
    <row r="160" spans="2:18" x14ac:dyDescent="0.25">
      <c r="B160" s="899"/>
      <c r="C160" s="899"/>
      <c r="D160" s="267"/>
      <c r="E160" s="267"/>
      <c r="F160" s="267"/>
      <c r="G160" s="267"/>
      <c r="H160" s="267"/>
      <c r="I160" s="267"/>
      <c r="J160" s="267"/>
      <c r="K160" s="267"/>
      <c r="L160" s="267"/>
      <c r="M160" s="267"/>
      <c r="N160" s="267"/>
      <c r="O160" s="267"/>
      <c r="P160" s="267"/>
      <c r="Q160" s="267"/>
      <c r="R160" s="267"/>
    </row>
    <row r="161" spans="2:18" x14ac:dyDescent="0.25">
      <c r="B161" s="899"/>
      <c r="C161" s="899"/>
      <c r="D161" s="267"/>
      <c r="E161" s="267"/>
      <c r="F161" s="267"/>
      <c r="G161" s="267"/>
      <c r="H161" s="267"/>
      <c r="I161" s="267"/>
      <c r="J161" s="267"/>
      <c r="K161" s="267"/>
      <c r="L161" s="267"/>
      <c r="M161" s="267"/>
      <c r="N161" s="267"/>
      <c r="O161" s="267"/>
      <c r="P161" s="267"/>
      <c r="Q161" s="267"/>
      <c r="R161" s="267"/>
    </row>
    <row r="162" spans="2:18" x14ac:dyDescent="0.25">
      <c r="B162" s="899"/>
      <c r="C162" s="899"/>
      <c r="D162" s="267"/>
      <c r="E162" s="267"/>
      <c r="F162" s="267"/>
      <c r="G162" s="267"/>
      <c r="H162" s="267"/>
      <c r="I162" s="267"/>
      <c r="J162" s="267"/>
      <c r="K162" s="267"/>
      <c r="L162" s="267"/>
      <c r="M162" s="267"/>
      <c r="N162" s="267"/>
      <c r="O162" s="267"/>
      <c r="P162" s="267"/>
      <c r="Q162" s="267"/>
      <c r="R162" s="267"/>
    </row>
    <row r="163" spans="2:18" x14ac:dyDescent="0.25">
      <c r="B163" s="899"/>
      <c r="C163" s="899"/>
      <c r="D163" s="267"/>
      <c r="E163" s="267"/>
      <c r="F163" s="267"/>
      <c r="G163" s="267"/>
      <c r="H163" s="267"/>
      <c r="I163" s="267"/>
      <c r="J163" s="267"/>
      <c r="K163" s="267"/>
      <c r="L163" s="267"/>
      <c r="M163" s="267"/>
      <c r="N163" s="267"/>
      <c r="O163" s="267"/>
      <c r="P163" s="267"/>
      <c r="Q163" s="267"/>
      <c r="R163" s="267"/>
    </row>
    <row r="164" spans="2:18" x14ac:dyDescent="0.25">
      <c r="B164" s="899"/>
      <c r="C164" s="899"/>
      <c r="D164" s="267"/>
      <c r="E164" s="267"/>
      <c r="F164" s="267"/>
      <c r="G164" s="267"/>
      <c r="H164" s="267"/>
      <c r="I164" s="267"/>
      <c r="J164" s="267"/>
      <c r="K164" s="267"/>
      <c r="L164" s="267"/>
      <c r="M164" s="267"/>
      <c r="N164" s="267"/>
      <c r="O164" s="267"/>
      <c r="P164" s="267"/>
      <c r="Q164" s="267"/>
      <c r="R164" s="267"/>
    </row>
    <row r="165" spans="2:18" x14ac:dyDescent="0.25">
      <c r="B165" s="899"/>
      <c r="C165" s="899"/>
      <c r="D165" s="267"/>
      <c r="E165" s="267"/>
      <c r="F165" s="267"/>
      <c r="G165" s="267"/>
      <c r="H165" s="267"/>
      <c r="I165" s="267"/>
      <c r="J165" s="267"/>
      <c r="K165" s="267"/>
      <c r="L165" s="267"/>
      <c r="M165" s="267"/>
      <c r="N165" s="267"/>
      <c r="O165" s="267"/>
      <c r="P165" s="267"/>
      <c r="Q165" s="267"/>
      <c r="R165" s="267"/>
    </row>
    <row r="166" spans="2:18" x14ac:dyDescent="0.25">
      <c r="B166" s="899"/>
      <c r="C166" s="899"/>
      <c r="D166" s="267"/>
      <c r="E166" s="267"/>
      <c r="F166" s="267"/>
      <c r="G166" s="267"/>
      <c r="H166" s="267"/>
      <c r="I166" s="267"/>
      <c r="J166" s="267"/>
      <c r="K166" s="267"/>
      <c r="L166" s="267"/>
      <c r="M166" s="267"/>
      <c r="N166" s="267"/>
      <c r="O166" s="267"/>
      <c r="P166" s="267"/>
      <c r="Q166" s="267"/>
      <c r="R166" s="267"/>
    </row>
    <row r="167" spans="2:18" x14ac:dyDescent="0.25">
      <c r="B167" s="899"/>
      <c r="C167" s="899"/>
      <c r="D167" s="267"/>
      <c r="E167" s="267"/>
      <c r="F167" s="267"/>
      <c r="G167" s="267"/>
      <c r="H167" s="267"/>
      <c r="I167" s="267"/>
      <c r="J167" s="267"/>
      <c r="K167" s="267"/>
      <c r="L167" s="267"/>
      <c r="M167" s="267"/>
      <c r="N167" s="267"/>
      <c r="O167" s="267"/>
      <c r="P167" s="267"/>
      <c r="Q167" s="267"/>
      <c r="R167" s="267"/>
    </row>
    <row r="168" spans="2:18" x14ac:dyDescent="0.25">
      <c r="B168" s="899"/>
      <c r="C168" s="899"/>
      <c r="D168" s="267"/>
      <c r="E168" s="267"/>
      <c r="F168" s="267"/>
      <c r="G168" s="267"/>
      <c r="H168" s="267"/>
      <c r="I168" s="267"/>
      <c r="J168" s="267"/>
      <c r="K168" s="267"/>
      <c r="L168" s="267"/>
      <c r="M168" s="267"/>
      <c r="N168" s="267"/>
      <c r="O168" s="267"/>
      <c r="P168" s="267"/>
      <c r="Q168" s="267"/>
      <c r="R168" s="267"/>
    </row>
    <row r="169" spans="2:18" x14ac:dyDescent="0.25">
      <c r="B169" s="899"/>
      <c r="C169" s="899"/>
      <c r="D169" s="267"/>
      <c r="E169" s="267"/>
      <c r="F169" s="267"/>
      <c r="G169" s="267"/>
      <c r="H169" s="267"/>
      <c r="I169" s="267"/>
      <c r="J169" s="267"/>
      <c r="K169" s="267"/>
      <c r="L169" s="267"/>
      <c r="M169" s="267"/>
      <c r="N169" s="267"/>
      <c r="O169" s="267"/>
      <c r="P169" s="267"/>
      <c r="Q169" s="267"/>
      <c r="R169" s="267"/>
    </row>
    <row r="170" spans="2:18" x14ac:dyDescent="0.25">
      <c r="B170" s="899"/>
      <c r="C170" s="899"/>
      <c r="D170" s="267"/>
      <c r="E170" s="267"/>
      <c r="F170" s="267"/>
      <c r="G170" s="267"/>
      <c r="H170" s="267"/>
      <c r="I170" s="267"/>
      <c r="J170" s="267"/>
      <c r="K170" s="267"/>
      <c r="L170" s="267"/>
      <c r="M170" s="267"/>
      <c r="N170" s="267"/>
      <c r="O170" s="267"/>
      <c r="P170" s="267"/>
      <c r="Q170" s="267"/>
      <c r="R170" s="267"/>
    </row>
    <row r="171" spans="2:18" x14ac:dyDescent="0.25">
      <c r="B171" s="899"/>
      <c r="C171" s="899"/>
      <c r="D171" s="267"/>
      <c r="E171" s="267"/>
      <c r="F171" s="267"/>
      <c r="G171" s="267"/>
      <c r="H171" s="267"/>
      <c r="I171" s="267"/>
      <c r="J171" s="267"/>
      <c r="K171" s="267"/>
      <c r="L171" s="267"/>
      <c r="M171" s="267"/>
      <c r="N171" s="267"/>
      <c r="O171" s="267"/>
      <c r="P171" s="267"/>
      <c r="Q171" s="267"/>
      <c r="R171" s="267"/>
    </row>
    <row r="172" spans="2:18" x14ac:dyDescent="0.25">
      <c r="B172" s="899"/>
      <c r="C172" s="899"/>
      <c r="D172" s="267"/>
      <c r="E172" s="267"/>
      <c r="F172" s="267"/>
      <c r="G172" s="267"/>
      <c r="H172" s="267"/>
      <c r="I172" s="267"/>
      <c r="J172" s="267"/>
      <c r="K172" s="267"/>
      <c r="L172" s="267"/>
      <c r="M172" s="267"/>
      <c r="N172" s="267"/>
      <c r="O172" s="267"/>
      <c r="P172" s="267"/>
      <c r="Q172" s="267"/>
      <c r="R172" s="267"/>
    </row>
    <row r="173" spans="2:18" x14ac:dyDescent="0.25">
      <c r="B173" s="899"/>
      <c r="C173" s="899"/>
      <c r="D173" s="267"/>
      <c r="E173" s="267"/>
      <c r="F173" s="267"/>
      <c r="G173" s="267"/>
      <c r="H173" s="267"/>
      <c r="I173" s="267"/>
      <c r="J173" s="267"/>
      <c r="K173" s="267"/>
      <c r="L173" s="267"/>
      <c r="M173" s="267"/>
      <c r="N173" s="267"/>
      <c r="O173" s="267"/>
      <c r="P173" s="267"/>
      <c r="Q173" s="267"/>
      <c r="R173" s="267"/>
    </row>
    <row r="174" spans="2:18" x14ac:dyDescent="0.25">
      <c r="B174" s="899"/>
      <c r="C174" s="899"/>
      <c r="D174" s="267"/>
      <c r="E174" s="267"/>
      <c r="F174" s="267"/>
      <c r="G174" s="267"/>
      <c r="H174" s="267"/>
      <c r="I174" s="267"/>
      <c r="J174" s="267"/>
      <c r="K174" s="267"/>
      <c r="L174" s="267"/>
      <c r="M174" s="267"/>
      <c r="N174" s="267"/>
      <c r="O174" s="267"/>
      <c r="P174" s="267"/>
      <c r="Q174" s="267"/>
      <c r="R174" s="267"/>
    </row>
    <row r="175" spans="2:18" x14ac:dyDescent="0.25">
      <c r="B175" s="899"/>
      <c r="C175" s="899"/>
      <c r="D175" s="267"/>
      <c r="E175" s="267"/>
      <c r="F175" s="267"/>
      <c r="G175" s="267"/>
      <c r="H175" s="267"/>
      <c r="I175" s="267"/>
      <c r="J175" s="267"/>
      <c r="K175" s="267"/>
      <c r="L175" s="267"/>
      <c r="M175" s="267"/>
      <c r="N175" s="267"/>
      <c r="O175" s="267"/>
      <c r="P175" s="267"/>
      <c r="Q175" s="267"/>
      <c r="R175" s="267"/>
    </row>
    <row r="176" spans="2:18" x14ac:dyDescent="0.25">
      <c r="B176" s="899"/>
      <c r="C176" s="899"/>
      <c r="D176" s="267"/>
      <c r="E176" s="267"/>
      <c r="F176" s="267"/>
      <c r="G176" s="267"/>
      <c r="H176" s="267"/>
      <c r="I176" s="267"/>
      <c r="J176" s="267"/>
      <c r="K176" s="267"/>
      <c r="L176" s="267"/>
      <c r="M176" s="267"/>
      <c r="N176" s="267"/>
      <c r="O176" s="267"/>
      <c r="P176" s="267"/>
      <c r="Q176" s="267"/>
      <c r="R176" s="267"/>
    </row>
    <row r="177" spans="2:18" x14ac:dyDescent="0.25">
      <c r="B177" s="899"/>
      <c r="C177" s="899"/>
      <c r="D177" s="267"/>
      <c r="E177" s="267"/>
      <c r="F177" s="267"/>
      <c r="G177" s="267"/>
      <c r="H177" s="267"/>
      <c r="I177" s="267"/>
      <c r="J177" s="267"/>
      <c r="K177" s="267"/>
      <c r="L177" s="267"/>
      <c r="M177" s="267"/>
      <c r="N177" s="267"/>
      <c r="O177" s="267"/>
      <c r="P177" s="267"/>
      <c r="Q177" s="267"/>
      <c r="R177" s="267"/>
    </row>
    <row r="178" spans="2:18" x14ac:dyDescent="0.25">
      <c r="B178" s="899"/>
      <c r="C178" s="899"/>
      <c r="D178" s="267"/>
      <c r="E178" s="267"/>
      <c r="F178" s="267"/>
      <c r="G178" s="267"/>
      <c r="H178" s="267"/>
      <c r="I178" s="267"/>
      <c r="J178" s="267"/>
      <c r="K178" s="267"/>
      <c r="L178" s="267"/>
      <c r="M178" s="267"/>
      <c r="N178" s="267"/>
      <c r="O178" s="267"/>
      <c r="P178" s="267"/>
      <c r="Q178" s="267"/>
      <c r="R178" s="267"/>
    </row>
    <row r="179" spans="2:18" x14ac:dyDescent="0.25">
      <c r="B179" s="899"/>
      <c r="C179" s="899"/>
      <c r="D179" s="267"/>
      <c r="E179" s="267"/>
      <c r="F179" s="267"/>
      <c r="G179" s="267"/>
      <c r="H179" s="267"/>
      <c r="I179" s="267"/>
      <c r="J179" s="267"/>
      <c r="K179" s="267"/>
      <c r="L179" s="267"/>
      <c r="M179" s="267"/>
      <c r="N179" s="267"/>
      <c r="O179" s="267"/>
      <c r="P179" s="267"/>
      <c r="Q179" s="267"/>
      <c r="R179" s="267"/>
    </row>
    <row r="180" spans="2:18" x14ac:dyDescent="0.25">
      <c r="B180" s="899"/>
      <c r="C180" s="899"/>
      <c r="D180" s="267"/>
      <c r="E180" s="267"/>
      <c r="F180" s="267"/>
      <c r="G180" s="267"/>
      <c r="H180" s="267"/>
      <c r="I180" s="267"/>
      <c r="J180" s="267"/>
      <c r="K180" s="267"/>
      <c r="L180" s="267"/>
      <c r="M180" s="267"/>
      <c r="N180" s="267"/>
      <c r="O180" s="267"/>
      <c r="P180" s="267"/>
      <c r="Q180" s="267"/>
      <c r="R180" s="267"/>
    </row>
    <row r="181" spans="2:18" x14ac:dyDescent="0.25">
      <c r="B181" s="899"/>
      <c r="C181" s="899"/>
      <c r="D181" s="267"/>
      <c r="E181" s="267"/>
      <c r="F181" s="267"/>
      <c r="G181" s="267"/>
      <c r="H181" s="267"/>
      <c r="I181" s="267"/>
      <c r="J181" s="267"/>
      <c r="K181" s="267"/>
      <c r="L181" s="267"/>
      <c r="M181" s="267"/>
      <c r="N181" s="267"/>
      <c r="O181" s="267"/>
      <c r="P181" s="267"/>
      <c r="Q181" s="267"/>
      <c r="R181" s="267"/>
    </row>
    <row r="182" spans="2:18" x14ac:dyDescent="0.25">
      <c r="B182" s="899"/>
      <c r="C182" s="899"/>
      <c r="D182" s="267"/>
      <c r="E182" s="267"/>
      <c r="F182" s="267"/>
      <c r="G182" s="267"/>
      <c r="H182" s="267"/>
      <c r="I182" s="267"/>
      <c r="J182" s="267"/>
      <c r="K182" s="267"/>
      <c r="L182" s="267"/>
      <c r="M182" s="267"/>
      <c r="N182" s="267"/>
      <c r="O182" s="267"/>
      <c r="P182" s="267"/>
      <c r="Q182" s="267"/>
      <c r="R182" s="267"/>
    </row>
    <row r="183" spans="2:18" x14ac:dyDescent="0.25">
      <c r="B183" s="899"/>
      <c r="C183" s="899"/>
      <c r="D183" s="267"/>
      <c r="E183" s="267"/>
      <c r="F183" s="267"/>
      <c r="G183" s="267"/>
      <c r="H183" s="267"/>
      <c r="I183" s="267"/>
      <c r="J183" s="267"/>
      <c r="K183" s="267"/>
      <c r="L183" s="267"/>
      <c r="M183" s="267"/>
      <c r="N183" s="267"/>
      <c r="O183" s="267"/>
      <c r="P183" s="267"/>
      <c r="Q183" s="267"/>
      <c r="R183" s="267"/>
    </row>
    <row r="184" spans="2:18" x14ac:dyDescent="0.25">
      <c r="B184" s="899"/>
      <c r="C184" s="899"/>
      <c r="D184" s="267"/>
      <c r="E184" s="267"/>
      <c r="F184" s="267"/>
      <c r="G184" s="267"/>
      <c r="H184" s="267"/>
      <c r="I184" s="267"/>
      <c r="J184" s="267"/>
      <c r="K184" s="267"/>
      <c r="L184" s="267"/>
      <c r="M184" s="267"/>
      <c r="N184" s="267"/>
      <c r="O184" s="267"/>
      <c r="P184" s="267"/>
      <c r="Q184" s="267"/>
      <c r="R184" s="267"/>
    </row>
    <row r="185" spans="2:18" x14ac:dyDescent="0.25">
      <c r="B185" s="899"/>
      <c r="C185" s="899"/>
      <c r="D185" s="267"/>
      <c r="E185" s="267"/>
      <c r="F185" s="267"/>
      <c r="G185" s="267"/>
      <c r="H185" s="267"/>
      <c r="I185" s="267"/>
      <c r="J185" s="267"/>
      <c r="K185" s="267"/>
      <c r="L185" s="267"/>
      <c r="M185" s="267"/>
      <c r="N185" s="267"/>
      <c r="O185" s="267"/>
      <c r="P185" s="267"/>
      <c r="Q185" s="267"/>
      <c r="R185" s="267"/>
    </row>
    <row r="186" spans="2:18" x14ac:dyDescent="0.25">
      <c r="B186" s="899"/>
      <c r="C186" s="899"/>
      <c r="D186" s="267"/>
      <c r="E186" s="267"/>
      <c r="F186" s="267"/>
      <c r="G186" s="267"/>
      <c r="H186" s="267"/>
      <c r="I186" s="267"/>
      <c r="J186" s="267"/>
      <c r="K186" s="267"/>
      <c r="L186" s="267"/>
      <c r="M186" s="267"/>
      <c r="N186" s="267"/>
      <c r="O186" s="267"/>
      <c r="P186" s="267"/>
      <c r="Q186" s="267"/>
      <c r="R186" s="267"/>
    </row>
    <row r="187" spans="2:18" x14ac:dyDescent="0.25">
      <c r="B187" s="899"/>
      <c r="C187" s="899"/>
      <c r="D187" s="267"/>
      <c r="E187" s="267"/>
      <c r="F187" s="267"/>
      <c r="G187" s="267"/>
      <c r="H187" s="267"/>
      <c r="I187" s="267"/>
      <c r="J187" s="267"/>
      <c r="K187" s="267"/>
      <c r="L187" s="267"/>
      <c r="M187" s="267"/>
      <c r="P187" s="267"/>
      <c r="Q187" s="267"/>
      <c r="R187" s="267"/>
    </row>
    <row r="188" spans="2:18" x14ac:dyDescent="0.25">
      <c r="B188" s="899"/>
      <c r="C188" s="899"/>
      <c r="D188" s="267"/>
      <c r="E188" s="267"/>
      <c r="F188" s="267"/>
      <c r="G188" s="267"/>
      <c r="H188" s="267"/>
      <c r="I188" s="267"/>
      <c r="J188" s="267"/>
      <c r="K188" s="267"/>
      <c r="L188" s="267"/>
      <c r="M188" s="267"/>
      <c r="P188" s="267"/>
      <c r="Q188" s="267"/>
      <c r="R188" s="267"/>
    </row>
    <row r="189" spans="2:18" x14ac:dyDescent="0.25">
      <c r="B189" s="899"/>
      <c r="C189" s="899"/>
      <c r="D189" s="267"/>
      <c r="E189" s="267"/>
      <c r="F189" s="267"/>
      <c r="G189" s="267"/>
      <c r="H189" s="267"/>
      <c r="I189" s="267"/>
      <c r="J189" s="267"/>
      <c r="K189" s="267"/>
      <c r="L189" s="267"/>
      <c r="M189" s="267"/>
      <c r="P189" s="267"/>
      <c r="Q189" s="267"/>
      <c r="R189" s="267"/>
    </row>
    <row r="190" spans="2:18" x14ac:dyDescent="0.25">
      <c r="B190" s="899"/>
      <c r="C190" s="899"/>
      <c r="D190" s="267"/>
      <c r="E190" s="267"/>
      <c r="F190" s="267"/>
      <c r="G190" s="267"/>
      <c r="H190" s="267"/>
      <c r="I190" s="267"/>
      <c r="J190" s="267"/>
      <c r="K190" s="267"/>
      <c r="L190" s="267"/>
      <c r="M190" s="267"/>
      <c r="P190" s="267"/>
      <c r="Q190" s="267"/>
      <c r="R190" s="267"/>
    </row>
    <row r="191" spans="2:18" x14ac:dyDescent="0.25">
      <c r="B191" s="899"/>
      <c r="C191" s="899"/>
      <c r="D191" s="267"/>
      <c r="E191" s="267"/>
      <c r="F191" s="267"/>
      <c r="G191" s="267"/>
      <c r="H191" s="267"/>
      <c r="I191" s="267"/>
      <c r="J191" s="267"/>
      <c r="K191" s="267"/>
      <c r="L191" s="267"/>
      <c r="M191" s="267"/>
      <c r="P191" s="267"/>
      <c r="Q191" s="267"/>
      <c r="R191" s="267"/>
    </row>
    <row r="192" spans="2:18" x14ac:dyDescent="0.25">
      <c r="B192" s="899"/>
      <c r="C192" s="899"/>
      <c r="D192" s="267"/>
      <c r="E192" s="267"/>
      <c r="F192" s="267"/>
      <c r="G192" s="267"/>
      <c r="H192" s="267"/>
      <c r="I192" s="267"/>
      <c r="J192" s="267"/>
      <c r="K192" s="267"/>
      <c r="L192" s="267"/>
      <c r="M192" s="267"/>
      <c r="N192" s="267"/>
      <c r="O192" s="267"/>
      <c r="P192" s="267"/>
      <c r="Q192" s="267"/>
      <c r="R192" s="267"/>
    </row>
    <row r="193" spans="1:28" s="2421" customFormat="1" x14ac:dyDescent="0.2">
      <c r="A193" s="2355"/>
      <c r="B193" s="2420"/>
      <c r="C193" s="2420"/>
      <c r="N193" s="2422"/>
      <c r="O193" s="2463"/>
      <c r="P193" s="2440"/>
      <c r="R193" s="2439"/>
    </row>
    <row r="194" spans="1:28" s="2421" customFormat="1" x14ac:dyDescent="0.2">
      <c r="A194" s="2355"/>
      <c r="B194" s="2420"/>
      <c r="C194" s="2420"/>
      <c r="N194" s="2422"/>
      <c r="O194" s="2463"/>
      <c r="P194" s="2440"/>
      <c r="R194" s="2439"/>
    </row>
    <row r="195" spans="1:28" s="2421" customFormat="1" x14ac:dyDescent="0.2">
      <c r="A195" s="2355"/>
      <c r="B195" s="2420"/>
      <c r="C195" s="2420"/>
      <c r="N195" s="2422"/>
      <c r="O195" s="2463"/>
      <c r="P195" s="2441"/>
      <c r="R195" s="2439"/>
    </row>
    <row r="196" spans="1:28" s="2421" customFormat="1" x14ac:dyDescent="0.2">
      <c r="A196" s="2355"/>
      <c r="B196" s="2420"/>
      <c r="C196" s="2420"/>
      <c r="N196" s="2422"/>
      <c r="O196" s="2464"/>
      <c r="P196" s="2440"/>
      <c r="R196" s="2439"/>
    </row>
    <row r="197" spans="1:28" s="2421" customFormat="1" x14ac:dyDescent="0.2">
      <c r="A197" s="2355"/>
      <c r="B197" s="2420"/>
      <c r="C197" s="2420"/>
      <c r="N197" s="2422"/>
      <c r="O197" s="2465"/>
      <c r="P197" s="2465"/>
    </row>
    <row r="198" spans="1:28" s="2421" customFormat="1" x14ac:dyDescent="0.25">
      <c r="A198" s="2355"/>
      <c r="B198" s="2420"/>
      <c r="C198" s="2420"/>
      <c r="N198" s="2423"/>
      <c r="O198" s="2466"/>
      <c r="P198" s="2466"/>
    </row>
    <row r="199" spans="1:28" s="2421" customFormat="1" x14ac:dyDescent="0.25">
      <c r="A199" s="2355"/>
      <c r="B199" s="2420"/>
      <c r="C199" s="2420"/>
      <c r="N199" s="2423"/>
    </row>
    <row r="200" spans="1:28" s="2421" customFormat="1" x14ac:dyDescent="0.2">
      <c r="A200" s="2355"/>
      <c r="B200" s="729"/>
      <c r="C200" s="729"/>
      <c r="D200" s="2424"/>
      <c r="E200" s="2424"/>
      <c r="F200" s="2424"/>
      <c r="G200" s="2426"/>
      <c r="H200" s="2426"/>
      <c r="I200" s="2424"/>
      <c r="J200" s="2425"/>
      <c r="K200" s="2426"/>
      <c r="L200" s="2426"/>
      <c r="M200" s="2424"/>
      <c r="N200" s="2427"/>
      <c r="O200" s="2424"/>
      <c r="P200" s="2424"/>
    </row>
    <row r="201" spans="1:28" s="2421" customFormat="1" x14ac:dyDescent="0.25">
      <c r="A201" s="2355"/>
      <c r="B201" s="2428"/>
      <c r="C201" s="2428"/>
      <c r="D201" s="2428"/>
      <c r="E201" s="2428"/>
      <c r="F201" s="2428"/>
      <c r="G201" s="2428"/>
      <c r="H201" s="2428"/>
      <c r="I201" s="2428"/>
      <c r="J201" s="2428"/>
      <c r="K201" s="2428"/>
      <c r="L201" s="2428"/>
      <c r="M201" s="2428"/>
      <c r="N201" s="2428"/>
      <c r="O201" s="2428"/>
      <c r="P201" s="2467"/>
    </row>
    <row r="202" spans="1:28" s="2421" customFormat="1" x14ac:dyDescent="0.25">
      <c r="A202" s="2355"/>
      <c r="B202" s="2428"/>
      <c r="C202" s="2428"/>
      <c r="D202" s="2428"/>
      <c r="E202" s="2428"/>
      <c r="F202" s="2428"/>
      <c r="G202" s="2428"/>
      <c r="H202" s="2428"/>
      <c r="I202" s="2428"/>
      <c r="J202" s="2428"/>
      <c r="K202" s="2428"/>
      <c r="L202" s="2428"/>
      <c r="M202" s="2428"/>
      <c r="N202" s="2428"/>
      <c r="O202" s="2428"/>
      <c r="P202" s="2467"/>
    </row>
    <row r="203" spans="1:28" s="2421" customFormat="1" x14ac:dyDescent="0.25">
      <c r="A203" s="2355"/>
      <c r="B203" s="2428"/>
      <c r="C203" s="2428"/>
      <c r="D203" s="2428"/>
      <c r="E203" s="2428"/>
      <c r="F203" s="2428"/>
      <c r="G203" s="2428"/>
      <c r="H203" s="2428"/>
      <c r="I203" s="2428"/>
      <c r="J203" s="2428"/>
      <c r="K203" s="2428"/>
      <c r="L203" s="2428"/>
      <c r="M203" s="2428"/>
      <c r="N203" s="2428"/>
      <c r="O203" s="2428"/>
      <c r="P203" s="2467"/>
    </row>
    <row r="204" spans="1:28" s="2421" customFormat="1" x14ac:dyDescent="0.25">
      <c r="A204" s="2355"/>
      <c r="B204" s="2428"/>
      <c r="C204" s="2428"/>
      <c r="D204" s="2428"/>
      <c r="E204" s="2428"/>
      <c r="F204" s="2428"/>
      <c r="G204" s="2428"/>
      <c r="H204" s="2428"/>
      <c r="I204" s="2428"/>
      <c r="J204" s="2428"/>
      <c r="K204" s="2428"/>
      <c r="L204" s="2428"/>
      <c r="M204" s="2428"/>
      <c r="N204" s="2428"/>
      <c r="O204" s="2428"/>
      <c r="P204" s="2467"/>
    </row>
    <row r="205" spans="1:28" s="2421" customFormat="1" x14ac:dyDescent="0.25">
      <c r="A205" s="2355"/>
      <c r="B205" s="2428"/>
      <c r="C205" s="2428"/>
      <c r="D205" s="2428"/>
      <c r="E205" s="2428"/>
      <c r="F205" s="2428"/>
      <c r="G205" s="2428"/>
      <c r="H205" s="2428"/>
      <c r="I205" s="2428"/>
      <c r="J205" s="2428"/>
      <c r="K205" s="2428"/>
      <c r="L205" s="2428"/>
      <c r="M205" s="2428"/>
      <c r="N205" s="2428"/>
      <c r="O205" s="2428"/>
      <c r="P205" s="2467"/>
      <c r="T205" s="2429"/>
      <c r="U205" s="2429"/>
      <c r="V205" s="2429"/>
      <c r="W205" s="2429"/>
      <c r="X205" s="2429"/>
      <c r="Y205" s="2429"/>
      <c r="Z205" s="2429"/>
      <c r="AB205" s="2429"/>
    </row>
    <row r="206" spans="1:28" s="2421" customFormat="1" x14ac:dyDescent="0.25">
      <c r="A206" s="2355"/>
      <c r="B206" s="2428"/>
      <c r="C206" s="2428"/>
      <c r="D206" s="2428"/>
      <c r="E206" s="2428"/>
      <c r="F206" s="2428"/>
      <c r="G206" s="2428"/>
      <c r="H206" s="2428"/>
      <c r="I206" s="2428"/>
      <c r="J206" s="2428"/>
      <c r="K206" s="2428"/>
      <c r="L206" s="2428"/>
      <c r="M206" s="2428"/>
      <c r="N206" s="2428"/>
      <c r="O206" s="2428"/>
      <c r="P206" s="2467"/>
    </row>
    <row r="207" spans="1:28" x14ac:dyDescent="0.25">
      <c r="B207" s="899"/>
      <c r="C207" s="899"/>
      <c r="D207" s="267"/>
      <c r="E207" s="267"/>
      <c r="F207" s="267"/>
      <c r="G207" s="267"/>
      <c r="H207" s="267"/>
      <c r="I207" s="267"/>
      <c r="J207" s="267"/>
      <c r="K207" s="267"/>
      <c r="L207" s="267"/>
      <c r="M207" s="267"/>
      <c r="N207" s="267"/>
      <c r="O207" s="267"/>
      <c r="P207" s="267"/>
      <c r="Q207" s="267"/>
      <c r="R207" s="267"/>
    </row>
    <row r="208" spans="1:28" x14ac:dyDescent="0.25">
      <c r="B208" s="899"/>
      <c r="C208" s="899"/>
      <c r="D208" s="267"/>
      <c r="E208" s="267"/>
      <c r="F208" s="267"/>
      <c r="G208" s="267"/>
      <c r="H208" s="267"/>
      <c r="I208" s="267"/>
      <c r="J208" s="267"/>
      <c r="K208" s="267"/>
      <c r="L208" s="267"/>
      <c r="M208" s="267"/>
      <c r="N208" s="267"/>
      <c r="O208" s="267"/>
      <c r="P208" s="267"/>
      <c r="Q208" s="267"/>
      <c r="R208" s="267"/>
    </row>
    <row r="209" spans="2:18" x14ac:dyDescent="0.25">
      <c r="B209" s="899"/>
      <c r="C209" s="899"/>
      <c r="D209" s="267"/>
      <c r="E209" s="267"/>
      <c r="F209" s="267"/>
      <c r="G209" s="267"/>
      <c r="H209" s="267"/>
      <c r="I209" s="267"/>
      <c r="J209" s="267"/>
      <c r="K209" s="267"/>
      <c r="L209" s="267"/>
      <c r="M209" s="267"/>
      <c r="N209" s="267"/>
      <c r="O209" s="267"/>
      <c r="P209" s="267"/>
      <c r="Q209" s="267"/>
      <c r="R209" s="267"/>
    </row>
    <row r="210" spans="2:18" x14ac:dyDescent="0.25">
      <c r="B210" s="899"/>
      <c r="C210" s="899"/>
      <c r="D210" s="267"/>
      <c r="E210" s="267"/>
      <c r="F210" s="267"/>
      <c r="G210" s="267"/>
      <c r="H210" s="267"/>
      <c r="I210" s="267"/>
      <c r="J210" s="267"/>
      <c r="K210" s="267"/>
      <c r="L210" s="267"/>
      <c r="M210" s="267"/>
      <c r="N210" s="267"/>
      <c r="O210" s="267"/>
      <c r="P210" s="267"/>
      <c r="Q210" s="267"/>
      <c r="R210" s="267"/>
    </row>
    <row r="211" spans="2:18" x14ac:dyDescent="0.25">
      <c r="C211" s="899"/>
      <c r="E211" s="899"/>
      <c r="F211" s="267"/>
      <c r="G211" s="267"/>
      <c r="H211" s="267"/>
      <c r="I211" s="267"/>
      <c r="J211" s="267"/>
      <c r="K211" s="267"/>
      <c r="L211" s="267"/>
      <c r="M211" s="267"/>
      <c r="N211" s="267"/>
      <c r="O211" s="267"/>
      <c r="P211" s="267"/>
      <c r="Q211" s="267"/>
      <c r="R211" s="267"/>
    </row>
    <row r="212" spans="2:18" x14ac:dyDescent="0.25">
      <c r="C212" s="899"/>
      <c r="D212" s="999"/>
      <c r="E212" s="2468"/>
      <c r="F212" s="2468"/>
      <c r="G212" s="267"/>
      <c r="H212" s="267"/>
      <c r="I212" s="267"/>
      <c r="J212" s="267"/>
      <c r="K212" s="267"/>
      <c r="L212" s="267"/>
      <c r="M212" s="267"/>
      <c r="N212" s="267"/>
      <c r="O212" s="267"/>
      <c r="P212" s="267"/>
      <c r="Q212" s="267"/>
      <c r="R212" s="267"/>
    </row>
    <row r="213" spans="2:18" x14ac:dyDescent="0.25">
      <c r="C213" s="899"/>
      <c r="D213" s="899"/>
      <c r="E213" s="2469"/>
      <c r="F213" s="267"/>
      <c r="G213" s="267"/>
      <c r="H213" s="267"/>
      <c r="I213" s="267"/>
      <c r="J213" s="267"/>
      <c r="K213" s="267"/>
      <c r="L213" s="267"/>
      <c r="M213" s="267"/>
      <c r="N213" s="267"/>
      <c r="O213" s="267"/>
      <c r="P213" s="267"/>
      <c r="Q213" s="267"/>
      <c r="R213" s="267"/>
    </row>
    <row r="214" spans="2:18" x14ac:dyDescent="0.25">
      <c r="B214" s="899"/>
      <c r="C214" s="899"/>
      <c r="D214" s="267"/>
      <c r="E214" s="2469"/>
      <c r="F214" s="267"/>
      <c r="G214" s="267"/>
      <c r="H214" s="267"/>
      <c r="I214" s="267"/>
      <c r="J214" s="267"/>
      <c r="K214" s="267"/>
      <c r="L214" s="267"/>
      <c r="M214" s="267"/>
      <c r="N214" s="267"/>
      <c r="O214" s="267"/>
      <c r="P214" s="267"/>
      <c r="Q214" s="267"/>
      <c r="R214" s="267"/>
    </row>
    <row r="215" spans="2:18" x14ac:dyDescent="0.25">
      <c r="B215" s="899"/>
      <c r="C215" s="899"/>
      <c r="D215" s="267"/>
      <c r="E215" s="2469"/>
      <c r="F215" s="267"/>
      <c r="G215" s="267"/>
      <c r="H215" s="267"/>
      <c r="I215" s="267"/>
      <c r="J215" s="267"/>
      <c r="K215" s="267"/>
      <c r="L215" s="267"/>
      <c r="M215" s="267"/>
      <c r="N215" s="267"/>
      <c r="O215" s="267"/>
      <c r="P215" s="267"/>
      <c r="Q215" s="267"/>
      <c r="R215" s="267"/>
    </row>
    <row r="216" spans="2:18" x14ac:dyDescent="0.25">
      <c r="B216" s="899"/>
      <c r="C216" s="899"/>
      <c r="D216" s="267"/>
      <c r="E216" s="2469"/>
      <c r="F216" s="267"/>
      <c r="G216" s="267"/>
      <c r="H216" s="267"/>
      <c r="I216" s="267"/>
      <c r="J216" s="267"/>
      <c r="K216" s="267"/>
      <c r="L216" s="267"/>
      <c r="M216" s="267"/>
      <c r="N216" s="267"/>
      <c r="O216" s="267"/>
      <c r="P216" s="267"/>
      <c r="Q216" s="267"/>
      <c r="R216" s="267"/>
    </row>
    <row r="217" spans="2:18" x14ac:dyDescent="0.25">
      <c r="B217" s="899"/>
      <c r="C217" s="899"/>
      <c r="D217" s="267"/>
      <c r="E217" s="2469"/>
      <c r="F217" s="267"/>
      <c r="G217" s="267"/>
      <c r="H217" s="267"/>
      <c r="I217" s="267"/>
      <c r="J217" s="267"/>
      <c r="K217" s="267"/>
      <c r="L217" s="267"/>
      <c r="M217" s="267"/>
      <c r="N217" s="267"/>
      <c r="O217" s="267"/>
      <c r="P217" s="267"/>
      <c r="Q217" s="267"/>
      <c r="R217" s="267"/>
    </row>
    <row r="218" spans="2:18" x14ac:dyDescent="0.25">
      <c r="B218" s="899"/>
      <c r="C218" s="899"/>
      <c r="D218" s="267"/>
      <c r="E218" s="2469"/>
      <c r="F218" s="267"/>
      <c r="G218" s="267"/>
      <c r="H218" s="267"/>
      <c r="I218" s="267"/>
      <c r="J218" s="267"/>
      <c r="K218" s="267"/>
      <c r="L218" s="267"/>
      <c r="M218" s="267"/>
      <c r="N218" s="267"/>
      <c r="O218" s="267"/>
      <c r="P218" s="267"/>
      <c r="Q218" s="267"/>
      <c r="R218" s="267"/>
    </row>
    <row r="219" spans="2:18" x14ac:dyDescent="0.25">
      <c r="B219" s="899"/>
      <c r="C219" s="899"/>
      <c r="D219" s="267"/>
      <c r="E219" s="2469"/>
      <c r="F219" s="267"/>
      <c r="G219" s="267"/>
      <c r="H219" s="267"/>
      <c r="I219" s="267"/>
      <c r="J219" s="267"/>
      <c r="K219" s="267"/>
      <c r="L219" s="267"/>
      <c r="M219" s="267"/>
      <c r="N219" s="267"/>
      <c r="O219" s="267"/>
      <c r="P219" s="267"/>
      <c r="Q219" s="267"/>
      <c r="R219" s="267"/>
    </row>
    <row r="220" spans="2:18" x14ac:dyDescent="0.25">
      <c r="B220" s="899"/>
      <c r="C220" s="899"/>
      <c r="D220" s="267"/>
      <c r="E220" s="2469"/>
      <c r="F220" s="267"/>
      <c r="G220" s="267"/>
      <c r="H220" s="267"/>
      <c r="I220" s="267"/>
      <c r="J220" s="267"/>
      <c r="K220" s="267"/>
      <c r="L220" s="267"/>
      <c r="M220" s="267"/>
      <c r="N220" s="267"/>
      <c r="O220" s="267"/>
      <c r="P220" s="267"/>
      <c r="Q220" s="267"/>
      <c r="R220" s="267"/>
    </row>
    <row r="221" spans="2:18" x14ac:dyDescent="0.25">
      <c r="B221" s="899"/>
      <c r="C221" s="899"/>
      <c r="D221" s="267"/>
      <c r="E221" s="2469"/>
      <c r="F221" s="267"/>
      <c r="G221" s="267"/>
      <c r="H221" s="267"/>
      <c r="I221" s="267"/>
      <c r="J221" s="267"/>
      <c r="K221" s="267"/>
      <c r="L221" s="267"/>
      <c r="M221" s="267"/>
      <c r="N221" s="267"/>
      <c r="O221" s="267"/>
      <c r="P221" s="267"/>
      <c r="Q221" s="267"/>
      <c r="R221" s="267"/>
    </row>
    <row r="222" spans="2:18" x14ac:dyDescent="0.25">
      <c r="B222" s="899"/>
      <c r="C222" s="899"/>
      <c r="D222" s="225"/>
      <c r="E222" s="2468"/>
      <c r="F222" s="225"/>
      <c r="G222" s="267"/>
      <c r="H222" s="267"/>
      <c r="I222" s="267"/>
      <c r="J222" s="267"/>
      <c r="K222" s="267"/>
      <c r="L222" s="267"/>
      <c r="M222" s="267"/>
      <c r="N222" s="267"/>
      <c r="O222" s="267"/>
      <c r="P222" s="267"/>
      <c r="Q222" s="267"/>
      <c r="R222" s="267"/>
    </row>
    <row r="223" spans="2:18" x14ac:dyDescent="0.25">
      <c r="B223" s="899"/>
      <c r="C223" s="899"/>
      <c r="D223" s="2470"/>
      <c r="E223" s="2469"/>
      <c r="F223" s="267"/>
      <c r="G223" s="267"/>
      <c r="H223" s="267"/>
      <c r="I223" s="267"/>
      <c r="J223" s="267"/>
      <c r="K223" s="267"/>
      <c r="L223" s="267"/>
      <c r="M223" s="267"/>
      <c r="N223" s="267"/>
      <c r="O223" s="267"/>
      <c r="P223" s="267"/>
      <c r="Q223" s="267"/>
      <c r="R223" s="267"/>
    </row>
    <row r="224" spans="2:18" x14ac:dyDescent="0.25">
      <c r="B224" s="899"/>
      <c r="C224" s="899"/>
      <c r="D224" s="2470"/>
      <c r="E224" s="2469"/>
      <c r="F224" s="267"/>
      <c r="G224" s="267"/>
      <c r="H224" s="267"/>
      <c r="I224" s="267"/>
      <c r="J224" s="267"/>
      <c r="K224" s="267"/>
      <c r="L224" s="267"/>
      <c r="M224" s="267"/>
      <c r="N224" s="267"/>
      <c r="O224" s="267"/>
      <c r="P224" s="267"/>
      <c r="Q224" s="267"/>
      <c r="R224" s="267"/>
    </row>
    <row r="225" spans="2:18" x14ac:dyDescent="0.25">
      <c r="B225" s="899"/>
      <c r="C225" s="899"/>
      <c r="D225" s="2470"/>
      <c r="E225" s="2469"/>
      <c r="F225" s="267"/>
      <c r="G225" s="267"/>
      <c r="H225" s="267"/>
      <c r="I225" s="267"/>
      <c r="J225" s="267"/>
      <c r="K225" s="267"/>
      <c r="L225" s="267"/>
      <c r="M225" s="267"/>
      <c r="N225" s="267"/>
      <c r="O225" s="267"/>
      <c r="P225" s="267"/>
      <c r="Q225" s="267"/>
      <c r="R225" s="267"/>
    </row>
    <row r="226" spans="2:18" x14ac:dyDescent="0.25">
      <c r="B226" s="899"/>
      <c r="C226" s="899"/>
      <c r="D226" s="2470"/>
      <c r="E226" s="2469"/>
      <c r="F226" s="267"/>
      <c r="G226" s="267"/>
      <c r="H226" s="267"/>
      <c r="I226" s="267"/>
      <c r="J226" s="267"/>
      <c r="K226" s="267"/>
      <c r="L226" s="267"/>
      <c r="M226" s="267"/>
      <c r="N226" s="267"/>
      <c r="O226" s="267"/>
      <c r="P226" s="267"/>
      <c r="Q226" s="267"/>
      <c r="R226" s="267"/>
    </row>
    <row r="227" spans="2:18" x14ac:dyDescent="0.25">
      <c r="B227" s="899"/>
      <c r="C227" s="899"/>
      <c r="D227" s="2471"/>
      <c r="E227" s="2469"/>
      <c r="F227" s="267"/>
      <c r="G227" s="267"/>
      <c r="H227" s="267"/>
      <c r="I227" s="267"/>
      <c r="J227" s="267"/>
      <c r="K227" s="267"/>
      <c r="L227" s="267"/>
      <c r="M227" s="267"/>
      <c r="N227" s="267"/>
      <c r="O227" s="267"/>
      <c r="P227" s="267"/>
      <c r="Q227" s="267"/>
      <c r="R227" s="267"/>
    </row>
    <row r="228" spans="2:18" x14ac:dyDescent="0.25">
      <c r="B228" s="899"/>
      <c r="C228" s="899"/>
      <c r="D228" s="267"/>
      <c r="E228" s="2469"/>
      <c r="F228" s="267"/>
      <c r="G228" s="267"/>
      <c r="H228" s="267"/>
      <c r="I228" s="267"/>
      <c r="J228" s="267"/>
      <c r="K228" s="267"/>
      <c r="L228" s="267"/>
      <c r="M228" s="267"/>
      <c r="N228" s="267"/>
      <c r="O228" s="267"/>
      <c r="P228" s="267"/>
      <c r="Q228" s="267"/>
      <c r="R228" s="267"/>
    </row>
    <row r="229" spans="2:18" x14ac:dyDescent="0.25">
      <c r="B229" s="899"/>
      <c r="C229" s="899"/>
      <c r="D229" s="225"/>
      <c r="E229" s="2468"/>
      <c r="F229" s="225"/>
      <c r="G229" s="267"/>
      <c r="H229" s="267"/>
      <c r="I229" s="267"/>
      <c r="J229" s="267"/>
      <c r="K229" s="267"/>
      <c r="L229" s="267"/>
      <c r="M229" s="267"/>
      <c r="N229" s="267"/>
      <c r="O229" s="267"/>
      <c r="P229" s="267"/>
      <c r="Q229" s="267"/>
      <c r="R229" s="267"/>
    </row>
    <row r="230" spans="2:18" x14ac:dyDescent="0.25">
      <c r="B230" s="899"/>
      <c r="C230" s="899"/>
      <c r="D230" s="267"/>
      <c r="E230" s="2469"/>
      <c r="F230" s="267"/>
      <c r="G230" s="267"/>
      <c r="H230" s="267"/>
      <c r="I230" s="267"/>
      <c r="J230" s="267"/>
      <c r="K230" s="267"/>
      <c r="L230" s="267"/>
      <c r="M230" s="267"/>
      <c r="N230" s="267"/>
      <c r="O230" s="267"/>
      <c r="P230" s="267"/>
      <c r="Q230" s="267"/>
      <c r="R230" s="267"/>
    </row>
    <row r="231" spans="2:18" x14ac:dyDescent="0.25">
      <c r="B231" s="899"/>
      <c r="C231" s="899"/>
      <c r="D231" s="267"/>
      <c r="E231" s="2469"/>
      <c r="F231" s="267"/>
      <c r="G231" s="267"/>
      <c r="H231" s="267"/>
      <c r="I231" s="267"/>
      <c r="J231" s="267"/>
      <c r="K231" s="267"/>
      <c r="L231" s="267"/>
      <c r="M231" s="267"/>
      <c r="N231" s="267"/>
      <c r="O231" s="267"/>
      <c r="P231" s="267"/>
      <c r="Q231" s="267"/>
      <c r="R231" s="267"/>
    </row>
    <row r="232" spans="2:18" x14ac:dyDescent="0.25">
      <c r="B232" s="899"/>
      <c r="C232" s="899"/>
      <c r="D232" s="267"/>
      <c r="E232" s="2469"/>
      <c r="F232" s="267"/>
      <c r="G232" s="267"/>
      <c r="H232" s="267"/>
      <c r="I232" s="267"/>
      <c r="J232" s="267"/>
      <c r="K232" s="267"/>
      <c r="L232" s="267"/>
      <c r="M232" s="267"/>
      <c r="N232" s="267"/>
      <c r="O232" s="267"/>
      <c r="P232" s="267"/>
      <c r="Q232" s="267"/>
      <c r="R232" s="267"/>
    </row>
    <row r="233" spans="2:18" x14ac:dyDescent="0.25">
      <c r="D233" s="2432"/>
      <c r="E233" s="2468"/>
      <c r="F233" s="2472"/>
    </row>
    <row r="234" spans="2:18" x14ac:dyDescent="0.25">
      <c r="E234" s="2469"/>
    </row>
    <row r="235" spans="2:18" x14ac:dyDescent="0.25">
      <c r="E235" s="2469"/>
    </row>
    <row r="236" spans="2:18" x14ac:dyDescent="0.25">
      <c r="E236" s="2469"/>
    </row>
    <row r="237" spans="2:18" x14ac:dyDescent="0.25">
      <c r="E237" s="2469"/>
    </row>
    <row r="238" spans="2:18" x14ac:dyDescent="0.25">
      <c r="D238" s="764"/>
      <c r="E238" s="2468"/>
      <c r="F238" s="2472"/>
    </row>
    <row r="239" spans="2:18" x14ac:dyDescent="0.25">
      <c r="E239" s="2469"/>
    </row>
    <row r="240" spans="2:18" x14ac:dyDescent="0.25">
      <c r="E240" s="2469"/>
    </row>
    <row r="241" spans="5:5" x14ac:dyDescent="0.25">
      <c r="E241" s="2469"/>
    </row>
    <row r="242" spans="5:5" x14ac:dyDescent="0.25">
      <c r="E242" s="2469"/>
    </row>
    <row r="243" spans="5:5" x14ac:dyDescent="0.25">
      <c r="E243" s="2469"/>
    </row>
    <row r="244" spans="5:5" x14ac:dyDescent="0.25">
      <c r="E244" s="2469"/>
    </row>
    <row r="245" spans="5:5" x14ac:dyDescent="0.25">
      <c r="E245" s="2469"/>
    </row>
    <row r="246" spans="5:5" x14ac:dyDescent="0.25">
      <c r="E246" s="2469"/>
    </row>
    <row r="247" spans="5:5" x14ac:dyDescent="0.25">
      <c r="E247" s="2469"/>
    </row>
    <row r="248" spans="5:5" x14ac:dyDescent="0.25">
      <c r="E248" s="2469"/>
    </row>
    <row r="249" spans="5:5" x14ac:dyDescent="0.25">
      <c r="E249" s="2469"/>
    </row>
    <row r="250" spans="5:5" x14ac:dyDescent="0.25">
      <c r="E250" s="2469"/>
    </row>
    <row r="251" spans="5:5" x14ac:dyDescent="0.25">
      <c r="E251" s="2469"/>
    </row>
    <row r="252" spans="5:5" x14ac:dyDescent="0.25">
      <c r="E252" s="2469"/>
    </row>
    <row r="253" spans="5:5" x14ac:dyDescent="0.25">
      <c r="E253" s="2469"/>
    </row>
    <row r="254" spans="5:5" x14ac:dyDescent="0.25">
      <c r="E254" s="2469"/>
    </row>
    <row r="255" spans="5:5" x14ac:dyDescent="0.25">
      <c r="E255" s="2469"/>
    </row>
    <row r="256" spans="5:5" x14ac:dyDescent="0.25">
      <c r="E256" s="2469"/>
    </row>
    <row r="257" spans="5:5" x14ac:dyDescent="0.25">
      <c r="E257" s="2469"/>
    </row>
    <row r="258" spans="5:5" x14ac:dyDescent="0.25">
      <c r="E258" s="2469"/>
    </row>
    <row r="259" spans="5:5" x14ac:dyDescent="0.25">
      <c r="E259" s="2469"/>
    </row>
    <row r="260" spans="5:5" x14ac:dyDescent="0.25">
      <c r="E260" s="2469"/>
    </row>
    <row r="261" spans="5:5" x14ac:dyDescent="0.25">
      <c r="E261" s="2469"/>
    </row>
    <row r="262" spans="5:5" x14ac:dyDescent="0.25">
      <c r="E262" s="2469"/>
    </row>
    <row r="263" spans="5:5" x14ac:dyDescent="0.25">
      <c r="E263" s="2469"/>
    </row>
    <row r="264" spans="5:5" x14ac:dyDescent="0.25">
      <c r="E264" s="2469"/>
    </row>
    <row r="265" spans="5:5" x14ac:dyDescent="0.25">
      <c r="E265" s="2469"/>
    </row>
    <row r="266" spans="5:5" x14ac:dyDescent="0.25">
      <c r="E266" s="2469"/>
    </row>
    <row r="267" spans="5:5" x14ac:dyDescent="0.25">
      <c r="E267" s="2469"/>
    </row>
    <row r="268" spans="5:5" x14ac:dyDescent="0.25">
      <c r="E268" s="2469"/>
    </row>
    <row r="269" spans="5:5" x14ac:dyDescent="0.25">
      <c r="E269" s="2469"/>
    </row>
    <row r="270" spans="5:5" x14ac:dyDescent="0.25">
      <c r="E270" s="2469"/>
    </row>
    <row r="271" spans="5:5" x14ac:dyDescent="0.25">
      <c r="E271" s="2469"/>
    </row>
    <row r="272" spans="5:5" x14ac:dyDescent="0.25">
      <c r="E272" s="2469"/>
    </row>
    <row r="273" spans="5:5" x14ac:dyDescent="0.25">
      <c r="E273" s="2469"/>
    </row>
    <row r="274" spans="5:5" x14ac:dyDescent="0.25">
      <c r="E274" s="2469"/>
    </row>
    <row r="275" spans="5:5" x14ac:dyDescent="0.25">
      <c r="E275" s="2469"/>
    </row>
    <row r="276" spans="5:5" x14ac:dyDescent="0.25">
      <c r="E276" s="2469"/>
    </row>
    <row r="277" spans="5:5" x14ac:dyDescent="0.25">
      <c r="E277" s="2469"/>
    </row>
    <row r="278" spans="5:5" x14ac:dyDescent="0.25">
      <c r="E278" s="2469"/>
    </row>
    <row r="279" spans="5:5" x14ac:dyDescent="0.25">
      <c r="E279" s="2469"/>
    </row>
    <row r="280" spans="5:5" x14ac:dyDescent="0.25">
      <c r="E280" s="2469"/>
    </row>
    <row r="281" spans="5:5" x14ac:dyDescent="0.25">
      <c r="E281" s="2469"/>
    </row>
    <row r="282" spans="5:5" x14ac:dyDescent="0.25">
      <c r="E282" s="2469"/>
    </row>
    <row r="283" spans="5:5" x14ac:dyDescent="0.25">
      <c r="E283" s="2469"/>
    </row>
    <row r="284" spans="5:5" x14ac:dyDescent="0.25">
      <c r="E284" s="2469"/>
    </row>
    <row r="285" spans="5:5" x14ac:dyDescent="0.25">
      <c r="E285" s="2469"/>
    </row>
    <row r="286" spans="5:5" x14ac:dyDescent="0.25">
      <c r="E286" s="2469"/>
    </row>
    <row r="287" spans="5:5" x14ac:dyDescent="0.25">
      <c r="E287" s="2469"/>
    </row>
    <row r="288" spans="5:5" x14ac:dyDescent="0.25">
      <c r="E288" s="2469"/>
    </row>
    <row r="289" spans="5:5" x14ac:dyDescent="0.25">
      <c r="E289" s="2469"/>
    </row>
    <row r="290" spans="5:5" x14ac:dyDescent="0.25">
      <c r="E290" s="2469"/>
    </row>
    <row r="291" spans="5:5" x14ac:dyDescent="0.25">
      <c r="E291" s="2469"/>
    </row>
    <row r="292" spans="5:5" x14ac:dyDescent="0.25">
      <c r="E292" s="2469"/>
    </row>
    <row r="293" spans="5:5" x14ac:dyDescent="0.25">
      <c r="E293" s="2469"/>
    </row>
    <row r="294" spans="5:5" x14ac:dyDescent="0.25">
      <c r="E294" s="2469"/>
    </row>
    <row r="295" spans="5:5" x14ac:dyDescent="0.25">
      <c r="E295" s="2469"/>
    </row>
    <row r="296" spans="5:5" x14ac:dyDescent="0.25">
      <c r="E296" s="2469"/>
    </row>
    <row r="297" spans="5:5" x14ac:dyDescent="0.25">
      <c r="E297" s="2469"/>
    </row>
    <row r="298" spans="5:5" x14ac:dyDescent="0.25">
      <c r="E298" s="2469"/>
    </row>
    <row r="299" spans="5:5" x14ac:dyDescent="0.25">
      <c r="E299" s="2469"/>
    </row>
    <row r="300" spans="5:5" x14ac:dyDescent="0.25">
      <c r="E300" s="2469"/>
    </row>
    <row r="301" spans="5:5" x14ac:dyDescent="0.25">
      <c r="E301" s="2469"/>
    </row>
    <row r="302" spans="5:5" x14ac:dyDescent="0.25">
      <c r="E302" s="2469"/>
    </row>
    <row r="303" spans="5:5" x14ac:dyDescent="0.25">
      <c r="E303" s="2469"/>
    </row>
    <row r="304" spans="5:5" x14ac:dyDescent="0.25">
      <c r="E304" s="2469"/>
    </row>
    <row r="305" spans="5:5" x14ac:dyDescent="0.25">
      <c r="E305" s="2469"/>
    </row>
    <row r="306" spans="5:5" x14ac:dyDescent="0.25">
      <c r="E306" s="2469"/>
    </row>
    <row r="307" spans="5:5" x14ac:dyDescent="0.25">
      <c r="E307" s="2469"/>
    </row>
    <row r="308" spans="5:5" x14ac:dyDescent="0.25">
      <c r="E308" s="2469"/>
    </row>
    <row r="309" spans="5:5" x14ac:dyDescent="0.25">
      <c r="E309" s="2469"/>
    </row>
    <row r="310" spans="5:5" x14ac:dyDescent="0.25">
      <c r="E310" s="2469"/>
    </row>
    <row r="311" spans="5:5" x14ac:dyDescent="0.25">
      <c r="E311" s="2469"/>
    </row>
    <row r="312" spans="5:5" x14ac:dyDescent="0.25">
      <c r="E312" s="2469"/>
    </row>
    <row r="313" spans="5:5" x14ac:dyDescent="0.25">
      <c r="E313" s="2469"/>
    </row>
    <row r="314" spans="5:5" x14ac:dyDescent="0.25">
      <c r="E314" s="2469"/>
    </row>
    <row r="315" spans="5:5" x14ac:dyDescent="0.25">
      <c r="E315" s="2469"/>
    </row>
    <row r="316" spans="5:5" x14ac:dyDescent="0.25">
      <c r="E316" s="2469"/>
    </row>
    <row r="317" spans="5:5" x14ac:dyDescent="0.25">
      <c r="E317" s="2469"/>
    </row>
    <row r="318" spans="5:5" x14ac:dyDescent="0.25">
      <c r="E318" s="2469"/>
    </row>
    <row r="319" spans="5:5" x14ac:dyDescent="0.25">
      <c r="E319" s="2469"/>
    </row>
    <row r="320" spans="5:5" x14ac:dyDescent="0.25">
      <c r="E320" s="2469"/>
    </row>
    <row r="321" spans="5:5" x14ac:dyDescent="0.25">
      <c r="E321" s="2469"/>
    </row>
    <row r="322" spans="5:5" x14ac:dyDescent="0.25">
      <c r="E322" s="2469"/>
    </row>
    <row r="323" spans="5:5" x14ac:dyDescent="0.25">
      <c r="E323" s="2469"/>
    </row>
    <row r="324" spans="5:5" x14ac:dyDescent="0.25">
      <c r="E324" s="2469"/>
    </row>
    <row r="325" spans="5:5" x14ac:dyDescent="0.25">
      <c r="E325" s="2469"/>
    </row>
    <row r="326" spans="5:5" x14ac:dyDescent="0.25">
      <c r="E326" s="2469"/>
    </row>
    <row r="327" spans="5:5" x14ac:dyDescent="0.25">
      <c r="E327" s="2469"/>
    </row>
    <row r="328" spans="5:5" x14ac:dyDescent="0.25">
      <c r="E328" s="2469"/>
    </row>
    <row r="329" spans="5:5" x14ac:dyDescent="0.25">
      <c r="E329" s="2469"/>
    </row>
    <row r="330" spans="5:5" x14ac:dyDescent="0.25">
      <c r="E330" s="2469"/>
    </row>
    <row r="331" spans="5:5" x14ac:dyDescent="0.25">
      <c r="E331" s="2469"/>
    </row>
    <row r="332" spans="5:5" x14ac:dyDescent="0.25">
      <c r="E332" s="2469"/>
    </row>
    <row r="333" spans="5:5" x14ac:dyDescent="0.25">
      <c r="E333" s="2469"/>
    </row>
    <row r="334" spans="5:5" x14ac:dyDescent="0.25">
      <c r="E334" s="2469"/>
    </row>
    <row r="335" spans="5:5" x14ac:dyDescent="0.25">
      <c r="E335" s="2469"/>
    </row>
    <row r="336" spans="5:5" x14ac:dyDescent="0.25">
      <c r="E336" s="2469"/>
    </row>
    <row r="337" spans="5:5" x14ac:dyDescent="0.25">
      <c r="E337" s="2469"/>
    </row>
    <row r="338" spans="5:5" x14ac:dyDescent="0.25">
      <c r="E338" s="2469"/>
    </row>
    <row r="339" spans="5:5" x14ac:dyDescent="0.25">
      <c r="E339" s="2469"/>
    </row>
    <row r="340" spans="5:5" x14ac:dyDescent="0.25">
      <c r="E340" s="2469"/>
    </row>
    <row r="341" spans="5:5" x14ac:dyDescent="0.25">
      <c r="E341" s="2469"/>
    </row>
    <row r="342" spans="5:5" x14ac:dyDescent="0.25">
      <c r="E342" s="2469"/>
    </row>
    <row r="343" spans="5:5" x14ac:dyDescent="0.25">
      <c r="E343" s="2469"/>
    </row>
    <row r="344" spans="5:5" x14ac:dyDescent="0.25">
      <c r="E344" s="2469"/>
    </row>
    <row r="345" spans="5:5" x14ac:dyDescent="0.25">
      <c r="E345" s="2469"/>
    </row>
    <row r="346" spans="5:5" x14ac:dyDescent="0.25">
      <c r="E346" s="2469"/>
    </row>
    <row r="347" spans="5:5" x14ac:dyDescent="0.25">
      <c r="E347" s="2469"/>
    </row>
    <row r="348" spans="5:5" x14ac:dyDescent="0.25">
      <c r="E348" s="2469"/>
    </row>
    <row r="349" spans="5:5" x14ac:dyDescent="0.25">
      <c r="E349" s="2469"/>
    </row>
    <row r="350" spans="5:5" x14ac:dyDescent="0.25">
      <c r="E350" s="2469"/>
    </row>
    <row r="351" spans="5:5" x14ac:dyDescent="0.25">
      <c r="E351" s="2469"/>
    </row>
    <row r="352" spans="5:5" x14ac:dyDescent="0.25">
      <c r="E352" s="2469"/>
    </row>
    <row r="353" spans="5:5" x14ac:dyDescent="0.25">
      <c r="E353" s="2469"/>
    </row>
    <row r="354" spans="5:5" x14ac:dyDescent="0.25">
      <c r="E354" s="2469"/>
    </row>
    <row r="355" spans="5:5" x14ac:dyDescent="0.25">
      <c r="E355" s="2469"/>
    </row>
    <row r="356" spans="5:5" x14ac:dyDescent="0.25">
      <c r="E356" s="2469"/>
    </row>
    <row r="357" spans="5:5" x14ac:dyDescent="0.25">
      <c r="E357" s="2469"/>
    </row>
    <row r="358" spans="5:5" x14ac:dyDescent="0.25">
      <c r="E358" s="2469"/>
    </row>
    <row r="359" spans="5:5" x14ac:dyDescent="0.25">
      <c r="E359" s="2469"/>
    </row>
    <row r="360" spans="5:5" x14ac:dyDescent="0.25">
      <c r="E360" s="2469"/>
    </row>
    <row r="361" spans="5:5" x14ac:dyDescent="0.25">
      <c r="E361" s="2469"/>
    </row>
    <row r="362" spans="5:5" x14ac:dyDescent="0.25">
      <c r="E362" s="2469"/>
    </row>
    <row r="363" spans="5:5" x14ac:dyDescent="0.25">
      <c r="E363" s="2469"/>
    </row>
    <row r="364" spans="5:5" x14ac:dyDescent="0.25">
      <c r="E364" s="2469"/>
    </row>
    <row r="365" spans="5:5" x14ac:dyDescent="0.25">
      <c r="E365" s="2469"/>
    </row>
    <row r="366" spans="5:5" x14ac:dyDescent="0.25">
      <c r="E366" s="2469"/>
    </row>
    <row r="367" spans="5:5" x14ac:dyDescent="0.25">
      <c r="E367" s="2469"/>
    </row>
    <row r="368" spans="5:5" x14ac:dyDescent="0.25">
      <c r="E368" s="2469"/>
    </row>
    <row r="369" spans="5:5" x14ac:dyDescent="0.25">
      <c r="E369" s="2469"/>
    </row>
    <row r="370" spans="5:5" x14ac:dyDescent="0.25">
      <c r="E370" s="2469"/>
    </row>
    <row r="371" spans="5:5" x14ac:dyDescent="0.25">
      <c r="E371" s="2469"/>
    </row>
    <row r="372" spans="5:5" x14ac:dyDescent="0.25">
      <c r="E372" s="2469"/>
    </row>
    <row r="373" spans="5:5" x14ac:dyDescent="0.25">
      <c r="E373" s="2469"/>
    </row>
    <row r="374" spans="5:5" x14ac:dyDescent="0.25">
      <c r="E374" s="2469"/>
    </row>
    <row r="375" spans="5:5" x14ac:dyDescent="0.25">
      <c r="E375" s="2469"/>
    </row>
    <row r="376" spans="5:5" x14ac:dyDescent="0.25">
      <c r="E376" s="2469"/>
    </row>
    <row r="377" spans="5:5" x14ac:dyDescent="0.25">
      <c r="E377" s="2469"/>
    </row>
    <row r="378" spans="5:5" x14ac:dyDescent="0.25">
      <c r="E378" s="2469"/>
    </row>
    <row r="379" spans="5:5" x14ac:dyDescent="0.25">
      <c r="E379" s="2469"/>
    </row>
    <row r="380" spans="5:5" x14ac:dyDescent="0.25">
      <c r="E380" s="2469"/>
    </row>
    <row r="381" spans="5:5" x14ac:dyDescent="0.25">
      <c r="E381" s="2469"/>
    </row>
    <row r="382" spans="5:5" x14ac:dyDescent="0.25">
      <c r="E382" s="2469"/>
    </row>
    <row r="383" spans="5:5" x14ac:dyDescent="0.25">
      <c r="E383" s="2469"/>
    </row>
    <row r="384" spans="5:5" x14ac:dyDescent="0.25">
      <c r="E384" s="2469"/>
    </row>
    <row r="385" spans="5:5" x14ac:dyDescent="0.25">
      <c r="E385" s="2469"/>
    </row>
    <row r="386" spans="5:5" x14ac:dyDescent="0.25">
      <c r="E386" s="2469"/>
    </row>
    <row r="387" spans="5:5" x14ac:dyDescent="0.25">
      <c r="E387" s="2469"/>
    </row>
    <row r="388" spans="5:5" x14ac:dyDescent="0.25">
      <c r="E388" s="2469"/>
    </row>
    <row r="389" spans="5:5" x14ac:dyDescent="0.25">
      <c r="E389" s="2469"/>
    </row>
    <row r="390" spans="5:5" x14ac:dyDescent="0.25">
      <c r="E390" s="2469"/>
    </row>
    <row r="391" spans="5:5" x14ac:dyDescent="0.25">
      <c r="E391" s="2469"/>
    </row>
    <row r="392" spans="5:5" x14ac:dyDescent="0.25">
      <c r="E392" s="2469"/>
    </row>
    <row r="393" spans="5:5" x14ac:dyDescent="0.25">
      <c r="E393" s="2469"/>
    </row>
    <row r="394" spans="5:5" x14ac:dyDescent="0.25">
      <c r="E394" s="2469"/>
    </row>
    <row r="395" spans="5:5" x14ac:dyDescent="0.25">
      <c r="E395" s="2469"/>
    </row>
    <row r="396" spans="5:5" x14ac:dyDescent="0.25">
      <c r="E396" s="2469"/>
    </row>
    <row r="397" spans="5:5" x14ac:dyDescent="0.25">
      <c r="E397" s="2469"/>
    </row>
    <row r="398" spans="5:5" x14ac:dyDescent="0.25">
      <c r="E398" s="2469"/>
    </row>
    <row r="399" spans="5:5" x14ac:dyDescent="0.25">
      <c r="E399" s="2469"/>
    </row>
    <row r="400" spans="5:5" x14ac:dyDescent="0.25">
      <c r="E400" s="2469"/>
    </row>
    <row r="401" spans="5:5" x14ac:dyDescent="0.25">
      <c r="E401" s="2469"/>
    </row>
    <row r="402" spans="5:5" x14ac:dyDescent="0.25">
      <c r="E402" s="2469"/>
    </row>
    <row r="403" spans="5:5" x14ac:dyDescent="0.25">
      <c r="E403" s="2469"/>
    </row>
    <row r="404" spans="5:5" x14ac:dyDescent="0.25">
      <c r="E404" s="2469"/>
    </row>
    <row r="405" spans="5:5" x14ac:dyDescent="0.25">
      <c r="E405" s="2469"/>
    </row>
    <row r="406" spans="5:5" x14ac:dyDescent="0.25">
      <c r="E406" s="2469"/>
    </row>
    <row r="407" spans="5:5" x14ac:dyDescent="0.25">
      <c r="E407" s="2469"/>
    </row>
    <row r="408" spans="5:5" x14ac:dyDescent="0.25">
      <c r="E408" s="2469"/>
    </row>
    <row r="409" spans="5:5" x14ac:dyDescent="0.25">
      <c r="E409" s="2469"/>
    </row>
    <row r="410" spans="5:5" x14ac:dyDescent="0.25">
      <c r="E410" s="2469"/>
    </row>
    <row r="411" spans="5:5" x14ac:dyDescent="0.25">
      <c r="E411" s="2469"/>
    </row>
    <row r="412" spans="5:5" x14ac:dyDescent="0.25">
      <c r="E412" s="2469"/>
    </row>
    <row r="413" spans="5:5" x14ac:dyDescent="0.25">
      <c r="E413" s="2469"/>
    </row>
    <row r="414" spans="5:5" x14ac:dyDescent="0.25">
      <c r="E414" s="2469"/>
    </row>
    <row r="415" spans="5:5" x14ac:dyDescent="0.25">
      <c r="E415" s="2469"/>
    </row>
    <row r="416" spans="5:5" x14ac:dyDescent="0.25">
      <c r="E416" s="2469"/>
    </row>
    <row r="417" spans="5:5" x14ac:dyDescent="0.25">
      <c r="E417" s="2469"/>
    </row>
    <row r="418" spans="5:5" x14ac:dyDescent="0.25">
      <c r="E418" s="2469"/>
    </row>
    <row r="419" spans="5:5" x14ac:dyDescent="0.25">
      <c r="E419" s="2469"/>
    </row>
    <row r="420" spans="5:5" x14ac:dyDescent="0.25">
      <c r="E420" s="2469"/>
    </row>
    <row r="421" spans="5:5" x14ac:dyDescent="0.25">
      <c r="E421" s="2469"/>
    </row>
    <row r="422" spans="5:5" x14ac:dyDescent="0.25">
      <c r="E422" s="2469"/>
    </row>
    <row r="423" spans="5:5" x14ac:dyDescent="0.25">
      <c r="E423" s="2469"/>
    </row>
    <row r="424" spans="5:5" x14ac:dyDescent="0.25">
      <c r="E424" s="2469"/>
    </row>
    <row r="425" spans="5:5" x14ac:dyDescent="0.25">
      <c r="E425" s="2469"/>
    </row>
    <row r="426" spans="5:5" x14ac:dyDescent="0.25">
      <c r="E426" s="2469"/>
    </row>
    <row r="427" spans="5:5" x14ac:dyDescent="0.25">
      <c r="E427" s="2469"/>
    </row>
    <row r="428" spans="5:5" x14ac:dyDescent="0.25">
      <c r="E428" s="2469"/>
    </row>
    <row r="429" spans="5:5" x14ac:dyDescent="0.25">
      <c r="E429" s="2469"/>
    </row>
    <row r="430" spans="5:5" x14ac:dyDescent="0.25">
      <c r="E430" s="2469"/>
    </row>
    <row r="431" spans="5:5" x14ac:dyDescent="0.25">
      <c r="E431" s="2469"/>
    </row>
    <row r="432" spans="5:5" x14ac:dyDescent="0.25">
      <c r="E432" s="2469"/>
    </row>
    <row r="433" spans="5:5" x14ac:dyDescent="0.25">
      <c r="E433" s="2469"/>
    </row>
    <row r="434" spans="5:5" x14ac:dyDescent="0.25">
      <c r="E434" s="2469"/>
    </row>
    <row r="435" spans="5:5" x14ac:dyDescent="0.25">
      <c r="E435" s="2469"/>
    </row>
    <row r="436" spans="5:5" x14ac:dyDescent="0.25">
      <c r="E436" s="2469"/>
    </row>
    <row r="437" spans="5:5" x14ac:dyDescent="0.25">
      <c r="E437" s="2469"/>
    </row>
    <row r="438" spans="5:5" x14ac:dyDescent="0.25">
      <c r="E438" s="2469"/>
    </row>
    <row r="439" spans="5:5" x14ac:dyDescent="0.25">
      <c r="E439" s="2469"/>
    </row>
    <row r="440" spans="5:5" x14ac:dyDescent="0.25">
      <c r="E440" s="2469"/>
    </row>
    <row r="441" spans="5:5" x14ac:dyDescent="0.25">
      <c r="E441" s="2469"/>
    </row>
    <row r="442" spans="5:5" x14ac:dyDescent="0.25">
      <c r="E442" s="2469"/>
    </row>
    <row r="443" spans="5:5" x14ac:dyDescent="0.25">
      <c r="E443" s="2469"/>
    </row>
    <row r="444" spans="5:5" x14ac:dyDescent="0.25">
      <c r="E444" s="2469"/>
    </row>
    <row r="445" spans="5:5" x14ac:dyDescent="0.25">
      <c r="E445" s="2469"/>
    </row>
    <row r="446" spans="5:5" x14ac:dyDescent="0.25">
      <c r="E446" s="2469"/>
    </row>
    <row r="447" spans="5:5" x14ac:dyDescent="0.25">
      <c r="E447" s="2469"/>
    </row>
    <row r="448" spans="5:5" x14ac:dyDescent="0.25">
      <c r="E448" s="2469"/>
    </row>
    <row r="449" spans="5:5" x14ac:dyDescent="0.25">
      <c r="E449" s="2469"/>
    </row>
    <row r="450" spans="5:5" x14ac:dyDescent="0.25">
      <c r="E450" s="2469"/>
    </row>
    <row r="451" spans="5:5" x14ac:dyDescent="0.25">
      <c r="E451" s="2469"/>
    </row>
    <row r="452" spans="5:5" x14ac:dyDescent="0.25">
      <c r="E452" s="2469"/>
    </row>
    <row r="453" spans="5:5" x14ac:dyDescent="0.25">
      <c r="E453" s="2469"/>
    </row>
    <row r="454" spans="5:5" x14ac:dyDescent="0.25">
      <c r="E454" s="2469"/>
    </row>
    <row r="455" spans="5:5" x14ac:dyDescent="0.25">
      <c r="E455" s="2469"/>
    </row>
    <row r="456" spans="5:5" x14ac:dyDescent="0.25">
      <c r="E456" s="2469"/>
    </row>
    <row r="457" spans="5:5" x14ac:dyDescent="0.25">
      <c r="E457" s="2469"/>
    </row>
    <row r="458" spans="5:5" x14ac:dyDescent="0.25">
      <c r="E458" s="2469"/>
    </row>
    <row r="459" spans="5:5" x14ac:dyDescent="0.25">
      <c r="E459" s="2469"/>
    </row>
    <row r="460" spans="5:5" x14ac:dyDescent="0.25">
      <c r="E460" s="2469"/>
    </row>
    <row r="461" spans="5:5" x14ac:dyDescent="0.25">
      <c r="E461" s="2469"/>
    </row>
    <row r="462" spans="5:5" x14ac:dyDescent="0.25">
      <c r="E462" s="2469"/>
    </row>
    <row r="463" spans="5:5" x14ac:dyDescent="0.25">
      <c r="E463" s="2469"/>
    </row>
    <row r="464" spans="5:5" x14ac:dyDescent="0.25">
      <c r="E464" s="2469"/>
    </row>
    <row r="465" spans="5:5" x14ac:dyDescent="0.25">
      <c r="E465" s="2469"/>
    </row>
    <row r="466" spans="5:5" x14ac:dyDescent="0.25">
      <c r="E466" s="2469"/>
    </row>
    <row r="467" spans="5:5" x14ac:dyDescent="0.25">
      <c r="E467" s="2469"/>
    </row>
    <row r="468" spans="5:5" x14ac:dyDescent="0.25">
      <c r="E468" s="2469"/>
    </row>
    <row r="469" spans="5:5" x14ac:dyDescent="0.25">
      <c r="E469" s="2469"/>
    </row>
    <row r="470" spans="5:5" x14ac:dyDescent="0.25">
      <c r="E470" s="2469"/>
    </row>
    <row r="471" spans="5:5" x14ac:dyDescent="0.25">
      <c r="E471" s="2469"/>
    </row>
    <row r="472" spans="5:5" x14ac:dyDescent="0.25">
      <c r="E472" s="2469"/>
    </row>
    <row r="473" spans="5:5" x14ac:dyDescent="0.25">
      <c r="E473" s="2469"/>
    </row>
    <row r="474" spans="5:5" x14ac:dyDescent="0.25">
      <c r="E474" s="2469"/>
    </row>
    <row r="475" spans="5:5" x14ac:dyDescent="0.25">
      <c r="E475" s="2469"/>
    </row>
    <row r="476" spans="5:5" x14ac:dyDescent="0.25">
      <c r="E476" s="2469"/>
    </row>
    <row r="477" spans="5:5" x14ac:dyDescent="0.25">
      <c r="E477" s="2469"/>
    </row>
    <row r="478" spans="5:5" x14ac:dyDescent="0.25">
      <c r="E478" s="2469"/>
    </row>
    <row r="479" spans="5:5" x14ac:dyDescent="0.25">
      <c r="E479" s="2469"/>
    </row>
    <row r="480" spans="5:5" x14ac:dyDescent="0.25">
      <c r="E480" s="2469"/>
    </row>
  </sheetData>
  <mergeCells count="7">
    <mergeCell ref="D2:AB2"/>
    <mergeCell ref="D3:AB3"/>
    <mergeCell ref="D4:AB4"/>
    <mergeCell ref="D37:S37"/>
    <mergeCell ref="D34:S34"/>
    <mergeCell ref="D35:S35"/>
    <mergeCell ref="D36:S36"/>
  </mergeCells>
  <pageMargins left="0.74803149606299213" right="0.74803149606299213" top="0.98425196850393704" bottom="0.98425196850393704" header="0.51181102362204722" footer="0.51181102362204722"/>
  <pageSetup paperSize="9" scale="59"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pageSetUpPr fitToPage="1"/>
  </sheetPr>
  <dimension ref="A1:BO165"/>
  <sheetViews>
    <sheetView showGridLines="0" view="pageBreakPreview" zoomScaleNormal="100" zoomScaleSheetLayoutView="100" workbookViewId="0">
      <selection activeCell="F35" sqref="F35"/>
    </sheetView>
  </sheetViews>
  <sheetFormatPr defaultColWidth="9.140625" defaultRowHeight="16.5" x14ac:dyDescent="0.3"/>
  <cols>
    <col min="1" max="1" width="3.7109375" style="2473" customWidth="1"/>
    <col min="2" max="2" width="14.42578125" style="2474" customWidth="1"/>
    <col min="3" max="3" width="7.7109375" style="2474" customWidth="1"/>
    <col min="4" max="4" width="25.5703125" style="2477" customWidth="1"/>
    <col min="5" max="5" width="12" style="2477" customWidth="1"/>
    <col min="6" max="10" width="9.7109375" style="2477" customWidth="1"/>
    <col min="11" max="11" width="10.85546875" style="2603" customWidth="1"/>
    <col min="12" max="12" width="9.140625" style="2477" hidden="1" customWidth="1"/>
    <col min="13" max="13" width="6.5703125" style="2477" hidden="1" customWidth="1"/>
    <col min="14" max="15" width="9.140625" style="2477" hidden="1" customWidth="1"/>
    <col min="16" max="19" width="0" style="2477" hidden="1" customWidth="1"/>
    <col min="20" max="247" width="9.140625" style="2477"/>
    <col min="248" max="248" width="3.7109375" style="2477" customWidth="1"/>
    <col min="249" max="249" width="14.42578125" style="2477" customWidth="1"/>
    <col min="250" max="250" width="3.7109375" style="2477" customWidth="1"/>
    <col min="251" max="251" width="25.5703125" style="2477" customWidth="1"/>
    <col min="252" max="252" width="12" style="2477" customWidth="1"/>
    <col min="253" max="258" width="9.7109375" style="2477" customWidth="1"/>
    <col min="259" max="259" width="10.85546875" style="2477" customWidth="1"/>
    <col min="260" max="503" width="9.140625" style="2477"/>
    <col min="504" max="504" width="3.7109375" style="2477" customWidth="1"/>
    <col min="505" max="505" width="14.42578125" style="2477" customWidth="1"/>
    <col min="506" max="506" width="3.7109375" style="2477" customWidth="1"/>
    <col min="507" max="507" width="25.5703125" style="2477" customWidth="1"/>
    <col min="508" max="508" width="12" style="2477" customWidth="1"/>
    <col min="509" max="514" width="9.7109375" style="2477" customWidth="1"/>
    <col min="515" max="515" width="10.85546875" style="2477" customWidth="1"/>
    <col min="516" max="759" width="9.140625" style="2477"/>
    <col min="760" max="760" width="3.7109375" style="2477" customWidth="1"/>
    <col min="761" max="761" width="14.42578125" style="2477" customWidth="1"/>
    <col min="762" max="762" width="3.7109375" style="2477" customWidth="1"/>
    <col min="763" max="763" width="25.5703125" style="2477" customWidth="1"/>
    <col min="764" max="764" width="12" style="2477" customWidth="1"/>
    <col min="765" max="770" width="9.7109375" style="2477" customWidth="1"/>
    <col min="771" max="771" width="10.85546875" style="2477" customWidth="1"/>
    <col min="772" max="1015" width="9.140625" style="2477"/>
    <col min="1016" max="1016" width="3.7109375" style="2477" customWidth="1"/>
    <col min="1017" max="1017" width="14.42578125" style="2477" customWidth="1"/>
    <col min="1018" max="1018" width="3.7109375" style="2477" customWidth="1"/>
    <col min="1019" max="1019" width="25.5703125" style="2477" customWidth="1"/>
    <col min="1020" max="1020" width="12" style="2477" customWidth="1"/>
    <col min="1021" max="1026" width="9.7109375" style="2477" customWidth="1"/>
    <col min="1027" max="1027" width="10.85546875" style="2477" customWidth="1"/>
    <col min="1028" max="1271" width="9.140625" style="2477"/>
    <col min="1272" max="1272" width="3.7109375" style="2477" customWidth="1"/>
    <col min="1273" max="1273" width="14.42578125" style="2477" customWidth="1"/>
    <col min="1274" max="1274" width="3.7109375" style="2477" customWidth="1"/>
    <col min="1275" max="1275" width="25.5703125" style="2477" customWidth="1"/>
    <col min="1276" max="1276" width="12" style="2477" customWidth="1"/>
    <col min="1277" max="1282" width="9.7109375" style="2477" customWidth="1"/>
    <col min="1283" max="1283" width="10.85546875" style="2477" customWidth="1"/>
    <col min="1284" max="1527" width="9.140625" style="2477"/>
    <col min="1528" max="1528" width="3.7109375" style="2477" customWidth="1"/>
    <col min="1529" max="1529" width="14.42578125" style="2477" customWidth="1"/>
    <col min="1530" max="1530" width="3.7109375" style="2477" customWidth="1"/>
    <col min="1531" max="1531" width="25.5703125" style="2477" customWidth="1"/>
    <col min="1532" max="1532" width="12" style="2477" customWidth="1"/>
    <col min="1533" max="1538" width="9.7109375" style="2477" customWidth="1"/>
    <col min="1539" max="1539" width="10.85546875" style="2477" customWidth="1"/>
    <col min="1540" max="1783" width="9.140625" style="2477"/>
    <col min="1784" max="1784" width="3.7109375" style="2477" customWidth="1"/>
    <col min="1785" max="1785" width="14.42578125" style="2477" customWidth="1"/>
    <col min="1786" max="1786" width="3.7109375" style="2477" customWidth="1"/>
    <col min="1787" max="1787" width="25.5703125" style="2477" customWidth="1"/>
    <col min="1788" max="1788" width="12" style="2477" customWidth="1"/>
    <col min="1789" max="1794" width="9.7109375" style="2477" customWidth="1"/>
    <col min="1795" max="1795" width="10.85546875" style="2477" customWidth="1"/>
    <col min="1796" max="2039" width="9.140625" style="2477"/>
    <col min="2040" max="2040" width="3.7109375" style="2477" customWidth="1"/>
    <col min="2041" max="2041" width="14.42578125" style="2477" customWidth="1"/>
    <col min="2042" max="2042" width="3.7109375" style="2477" customWidth="1"/>
    <col min="2043" max="2043" width="25.5703125" style="2477" customWidth="1"/>
    <col min="2044" max="2044" width="12" style="2477" customWidth="1"/>
    <col min="2045" max="2050" width="9.7109375" style="2477" customWidth="1"/>
    <col min="2051" max="2051" width="10.85546875" style="2477" customWidth="1"/>
    <col min="2052" max="2295" width="9.140625" style="2477"/>
    <col min="2296" max="2296" width="3.7109375" style="2477" customWidth="1"/>
    <col min="2297" max="2297" width="14.42578125" style="2477" customWidth="1"/>
    <col min="2298" max="2298" width="3.7109375" style="2477" customWidth="1"/>
    <col min="2299" max="2299" width="25.5703125" style="2477" customWidth="1"/>
    <col min="2300" max="2300" width="12" style="2477" customWidth="1"/>
    <col min="2301" max="2306" width="9.7109375" style="2477" customWidth="1"/>
    <col min="2307" max="2307" width="10.85546875" style="2477" customWidth="1"/>
    <col min="2308" max="2551" width="9.140625" style="2477"/>
    <col min="2552" max="2552" width="3.7109375" style="2477" customWidth="1"/>
    <col min="2553" max="2553" width="14.42578125" style="2477" customWidth="1"/>
    <col min="2554" max="2554" width="3.7109375" style="2477" customWidth="1"/>
    <col min="2555" max="2555" width="25.5703125" style="2477" customWidth="1"/>
    <col min="2556" max="2556" width="12" style="2477" customWidth="1"/>
    <col min="2557" max="2562" width="9.7109375" style="2477" customWidth="1"/>
    <col min="2563" max="2563" width="10.85546875" style="2477" customWidth="1"/>
    <col min="2564" max="2807" width="9.140625" style="2477"/>
    <col min="2808" max="2808" width="3.7109375" style="2477" customWidth="1"/>
    <col min="2809" max="2809" width="14.42578125" style="2477" customWidth="1"/>
    <col min="2810" max="2810" width="3.7109375" style="2477" customWidth="1"/>
    <col min="2811" max="2811" width="25.5703125" style="2477" customWidth="1"/>
    <col min="2812" max="2812" width="12" style="2477" customWidth="1"/>
    <col min="2813" max="2818" width="9.7109375" style="2477" customWidth="1"/>
    <col min="2819" max="2819" width="10.85546875" style="2477" customWidth="1"/>
    <col min="2820" max="3063" width="9.140625" style="2477"/>
    <col min="3064" max="3064" width="3.7109375" style="2477" customWidth="1"/>
    <col min="3065" max="3065" width="14.42578125" style="2477" customWidth="1"/>
    <col min="3066" max="3066" width="3.7109375" style="2477" customWidth="1"/>
    <col min="3067" max="3067" width="25.5703125" style="2477" customWidth="1"/>
    <col min="3068" max="3068" width="12" style="2477" customWidth="1"/>
    <col min="3069" max="3074" width="9.7109375" style="2477" customWidth="1"/>
    <col min="3075" max="3075" width="10.85546875" style="2477" customWidth="1"/>
    <col min="3076" max="3319" width="9.140625" style="2477"/>
    <col min="3320" max="3320" width="3.7109375" style="2477" customWidth="1"/>
    <col min="3321" max="3321" width="14.42578125" style="2477" customWidth="1"/>
    <col min="3322" max="3322" width="3.7109375" style="2477" customWidth="1"/>
    <col min="3323" max="3323" width="25.5703125" style="2477" customWidth="1"/>
    <col min="3324" max="3324" width="12" style="2477" customWidth="1"/>
    <col min="3325" max="3330" width="9.7109375" style="2477" customWidth="1"/>
    <col min="3331" max="3331" width="10.85546875" style="2477" customWidth="1"/>
    <col min="3332" max="3575" width="9.140625" style="2477"/>
    <col min="3576" max="3576" width="3.7109375" style="2477" customWidth="1"/>
    <col min="3577" max="3577" width="14.42578125" style="2477" customWidth="1"/>
    <col min="3578" max="3578" width="3.7109375" style="2477" customWidth="1"/>
    <col min="3579" max="3579" width="25.5703125" style="2477" customWidth="1"/>
    <col min="3580" max="3580" width="12" style="2477" customWidth="1"/>
    <col min="3581" max="3586" width="9.7109375" style="2477" customWidth="1"/>
    <col min="3587" max="3587" width="10.85546875" style="2477" customWidth="1"/>
    <col min="3588" max="3831" width="9.140625" style="2477"/>
    <col min="3832" max="3832" width="3.7109375" style="2477" customWidth="1"/>
    <col min="3833" max="3833" width="14.42578125" style="2477" customWidth="1"/>
    <col min="3834" max="3834" width="3.7109375" style="2477" customWidth="1"/>
    <col min="3835" max="3835" width="25.5703125" style="2477" customWidth="1"/>
    <col min="3836" max="3836" width="12" style="2477" customWidth="1"/>
    <col min="3837" max="3842" width="9.7109375" style="2477" customWidth="1"/>
    <col min="3843" max="3843" width="10.85546875" style="2477" customWidth="1"/>
    <col min="3844" max="4087" width="9.140625" style="2477"/>
    <col min="4088" max="4088" width="3.7109375" style="2477" customWidth="1"/>
    <col min="4089" max="4089" width="14.42578125" style="2477" customWidth="1"/>
    <col min="4090" max="4090" width="3.7109375" style="2477" customWidth="1"/>
    <col min="4091" max="4091" width="25.5703125" style="2477" customWidth="1"/>
    <col min="4092" max="4092" width="12" style="2477" customWidth="1"/>
    <col min="4093" max="4098" width="9.7109375" style="2477" customWidth="1"/>
    <col min="4099" max="4099" width="10.85546875" style="2477" customWidth="1"/>
    <col min="4100" max="4343" width="9.140625" style="2477"/>
    <col min="4344" max="4344" width="3.7109375" style="2477" customWidth="1"/>
    <col min="4345" max="4345" width="14.42578125" style="2477" customWidth="1"/>
    <col min="4346" max="4346" width="3.7109375" style="2477" customWidth="1"/>
    <col min="4347" max="4347" width="25.5703125" style="2477" customWidth="1"/>
    <col min="4348" max="4348" width="12" style="2477" customWidth="1"/>
    <col min="4349" max="4354" width="9.7109375" style="2477" customWidth="1"/>
    <col min="4355" max="4355" width="10.85546875" style="2477" customWidth="1"/>
    <col min="4356" max="4599" width="9.140625" style="2477"/>
    <col min="4600" max="4600" width="3.7109375" style="2477" customWidth="1"/>
    <col min="4601" max="4601" width="14.42578125" style="2477" customWidth="1"/>
    <col min="4602" max="4602" width="3.7109375" style="2477" customWidth="1"/>
    <col min="4603" max="4603" width="25.5703125" style="2477" customWidth="1"/>
    <col min="4604" max="4604" width="12" style="2477" customWidth="1"/>
    <col min="4605" max="4610" width="9.7109375" style="2477" customWidth="1"/>
    <col min="4611" max="4611" width="10.85546875" style="2477" customWidth="1"/>
    <col min="4612" max="4855" width="9.140625" style="2477"/>
    <col min="4856" max="4856" width="3.7109375" style="2477" customWidth="1"/>
    <col min="4857" max="4857" width="14.42578125" style="2477" customWidth="1"/>
    <col min="4858" max="4858" width="3.7109375" style="2477" customWidth="1"/>
    <col min="4859" max="4859" width="25.5703125" style="2477" customWidth="1"/>
    <col min="4860" max="4860" width="12" style="2477" customWidth="1"/>
    <col min="4861" max="4866" width="9.7109375" style="2477" customWidth="1"/>
    <col min="4867" max="4867" width="10.85546875" style="2477" customWidth="1"/>
    <col min="4868" max="5111" width="9.140625" style="2477"/>
    <col min="5112" max="5112" width="3.7109375" style="2477" customWidth="1"/>
    <col min="5113" max="5113" width="14.42578125" style="2477" customWidth="1"/>
    <col min="5114" max="5114" width="3.7109375" style="2477" customWidth="1"/>
    <col min="5115" max="5115" width="25.5703125" style="2477" customWidth="1"/>
    <col min="5116" max="5116" width="12" style="2477" customWidth="1"/>
    <col min="5117" max="5122" width="9.7109375" style="2477" customWidth="1"/>
    <col min="5123" max="5123" width="10.85546875" style="2477" customWidth="1"/>
    <col min="5124" max="5367" width="9.140625" style="2477"/>
    <col min="5368" max="5368" width="3.7109375" style="2477" customWidth="1"/>
    <col min="5369" max="5369" width="14.42578125" style="2477" customWidth="1"/>
    <col min="5370" max="5370" width="3.7109375" style="2477" customWidth="1"/>
    <col min="5371" max="5371" width="25.5703125" style="2477" customWidth="1"/>
    <col min="5372" max="5372" width="12" style="2477" customWidth="1"/>
    <col min="5373" max="5378" width="9.7109375" style="2477" customWidth="1"/>
    <col min="5379" max="5379" width="10.85546875" style="2477" customWidth="1"/>
    <col min="5380" max="5623" width="9.140625" style="2477"/>
    <col min="5624" max="5624" width="3.7109375" style="2477" customWidth="1"/>
    <col min="5625" max="5625" width="14.42578125" style="2477" customWidth="1"/>
    <col min="5626" max="5626" width="3.7109375" style="2477" customWidth="1"/>
    <col min="5627" max="5627" width="25.5703125" style="2477" customWidth="1"/>
    <col min="5628" max="5628" width="12" style="2477" customWidth="1"/>
    <col min="5629" max="5634" width="9.7109375" style="2477" customWidth="1"/>
    <col min="5635" max="5635" width="10.85546875" style="2477" customWidth="1"/>
    <col min="5636" max="5879" width="9.140625" style="2477"/>
    <col min="5880" max="5880" width="3.7109375" style="2477" customWidth="1"/>
    <col min="5881" max="5881" width="14.42578125" style="2477" customWidth="1"/>
    <col min="5882" max="5882" width="3.7109375" style="2477" customWidth="1"/>
    <col min="5883" max="5883" width="25.5703125" style="2477" customWidth="1"/>
    <col min="5884" max="5884" width="12" style="2477" customWidth="1"/>
    <col min="5885" max="5890" width="9.7109375" style="2477" customWidth="1"/>
    <col min="5891" max="5891" width="10.85546875" style="2477" customWidth="1"/>
    <col min="5892" max="6135" width="9.140625" style="2477"/>
    <col min="6136" max="6136" width="3.7109375" style="2477" customWidth="1"/>
    <col min="6137" max="6137" width="14.42578125" style="2477" customWidth="1"/>
    <col min="6138" max="6138" width="3.7109375" style="2477" customWidth="1"/>
    <col min="6139" max="6139" width="25.5703125" style="2477" customWidth="1"/>
    <col min="6140" max="6140" width="12" style="2477" customWidth="1"/>
    <col min="6141" max="6146" width="9.7109375" style="2477" customWidth="1"/>
    <col min="6147" max="6147" width="10.85546875" style="2477" customWidth="1"/>
    <col min="6148" max="6391" width="9.140625" style="2477"/>
    <col min="6392" max="6392" width="3.7109375" style="2477" customWidth="1"/>
    <col min="6393" max="6393" width="14.42578125" style="2477" customWidth="1"/>
    <col min="6394" max="6394" width="3.7109375" style="2477" customWidth="1"/>
    <col min="6395" max="6395" width="25.5703125" style="2477" customWidth="1"/>
    <col min="6396" max="6396" width="12" style="2477" customWidth="1"/>
    <col min="6397" max="6402" width="9.7109375" style="2477" customWidth="1"/>
    <col min="6403" max="6403" width="10.85546875" style="2477" customWidth="1"/>
    <col min="6404" max="6647" width="9.140625" style="2477"/>
    <col min="6648" max="6648" width="3.7109375" style="2477" customWidth="1"/>
    <col min="6649" max="6649" width="14.42578125" style="2477" customWidth="1"/>
    <col min="6650" max="6650" width="3.7109375" style="2477" customWidth="1"/>
    <col min="6651" max="6651" width="25.5703125" style="2477" customWidth="1"/>
    <col min="6652" max="6652" width="12" style="2477" customWidth="1"/>
    <col min="6653" max="6658" width="9.7109375" style="2477" customWidth="1"/>
    <col min="6659" max="6659" width="10.85546875" style="2477" customWidth="1"/>
    <col min="6660" max="6903" width="9.140625" style="2477"/>
    <col min="6904" max="6904" width="3.7109375" style="2477" customWidth="1"/>
    <col min="6905" max="6905" width="14.42578125" style="2477" customWidth="1"/>
    <col min="6906" max="6906" width="3.7109375" style="2477" customWidth="1"/>
    <col min="6907" max="6907" width="25.5703125" style="2477" customWidth="1"/>
    <col min="6908" max="6908" width="12" style="2477" customWidth="1"/>
    <col min="6909" max="6914" width="9.7109375" style="2477" customWidth="1"/>
    <col min="6915" max="6915" width="10.85546875" style="2477" customWidth="1"/>
    <col min="6916" max="7159" width="9.140625" style="2477"/>
    <col min="7160" max="7160" width="3.7109375" style="2477" customWidth="1"/>
    <col min="7161" max="7161" width="14.42578125" style="2477" customWidth="1"/>
    <col min="7162" max="7162" width="3.7109375" style="2477" customWidth="1"/>
    <col min="7163" max="7163" width="25.5703125" style="2477" customWidth="1"/>
    <col min="7164" max="7164" width="12" style="2477" customWidth="1"/>
    <col min="7165" max="7170" width="9.7109375" style="2477" customWidth="1"/>
    <col min="7171" max="7171" width="10.85546875" style="2477" customWidth="1"/>
    <col min="7172" max="7415" width="9.140625" style="2477"/>
    <col min="7416" max="7416" width="3.7109375" style="2477" customWidth="1"/>
    <col min="7417" max="7417" width="14.42578125" style="2477" customWidth="1"/>
    <col min="7418" max="7418" width="3.7109375" style="2477" customWidth="1"/>
    <col min="7419" max="7419" width="25.5703125" style="2477" customWidth="1"/>
    <col min="7420" max="7420" width="12" style="2477" customWidth="1"/>
    <col min="7421" max="7426" width="9.7109375" style="2477" customWidth="1"/>
    <col min="7427" max="7427" width="10.85546875" style="2477" customWidth="1"/>
    <col min="7428" max="7671" width="9.140625" style="2477"/>
    <col min="7672" max="7672" width="3.7109375" style="2477" customWidth="1"/>
    <col min="7673" max="7673" width="14.42578125" style="2477" customWidth="1"/>
    <col min="7674" max="7674" width="3.7109375" style="2477" customWidth="1"/>
    <col min="7675" max="7675" width="25.5703125" style="2477" customWidth="1"/>
    <col min="7676" max="7676" width="12" style="2477" customWidth="1"/>
    <col min="7677" max="7682" width="9.7109375" style="2477" customWidth="1"/>
    <col min="7683" max="7683" width="10.85546875" style="2477" customWidth="1"/>
    <col min="7684" max="7927" width="9.140625" style="2477"/>
    <col min="7928" max="7928" width="3.7109375" style="2477" customWidth="1"/>
    <col min="7929" max="7929" width="14.42578125" style="2477" customWidth="1"/>
    <col min="7930" max="7930" width="3.7109375" style="2477" customWidth="1"/>
    <col min="7931" max="7931" width="25.5703125" style="2477" customWidth="1"/>
    <col min="7932" max="7932" width="12" style="2477" customWidth="1"/>
    <col min="7933" max="7938" width="9.7109375" style="2477" customWidth="1"/>
    <col min="7939" max="7939" width="10.85546875" style="2477" customWidth="1"/>
    <col min="7940" max="8183" width="9.140625" style="2477"/>
    <col min="8184" max="8184" width="3.7109375" style="2477" customWidth="1"/>
    <col min="8185" max="8185" width="14.42578125" style="2477" customWidth="1"/>
    <col min="8186" max="8186" width="3.7109375" style="2477" customWidth="1"/>
    <col min="8187" max="8187" width="25.5703125" style="2477" customWidth="1"/>
    <col min="8188" max="8188" width="12" style="2477" customWidth="1"/>
    <col min="8189" max="8194" width="9.7109375" style="2477" customWidth="1"/>
    <col min="8195" max="8195" width="10.85546875" style="2477" customWidth="1"/>
    <col min="8196" max="8439" width="9.140625" style="2477"/>
    <col min="8440" max="8440" width="3.7109375" style="2477" customWidth="1"/>
    <col min="8441" max="8441" width="14.42578125" style="2477" customWidth="1"/>
    <col min="8442" max="8442" width="3.7109375" style="2477" customWidth="1"/>
    <col min="8443" max="8443" width="25.5703125" style="2477" customWidth="1"/>
    <col min="8444" max="8444" width="12" style="2477" customWidth="1"/>
    <col min="8445" max="8450" width="9.7109375" style="2477" customWidth="1"/>
    <col min="8451" max="8451" width="10.85546875" style="2477" customWidth="1"/>
    <col min="8452" max="8695" width="9.140625" style="2477"/>
    <col min="8696" max="8696" width="3.7109375" style="2477" customWidth="1"/>
    <col min="8697" max="8697" width="14.42578125" style="2477" customWidth="1"/>
    <col min="8698" max="8698" width="3.7109375" style="2477" customWidth="1"/>
    <col min="8699" max="8699" width="25.5703125" style="2477" customWidth="1"/>
    <col min="8700" max="8700" width="12" style="2477" customWidth="1"/>
    <col min="8701" max="8706" width="9.7109375" style="2477" customWidth="1"/>
    <col min="8707" max="8707" width="10.85546875" style="2477" customWidth="1"/>
    <col min="8708" max="8951" width="9.140625" style="2477"/>
    <col min="8952" max="8952" width="3.7109375" style="2477" customWidth="1"/>
    <col min="8953" max="8953" width="14.42578125" style="2477" customWidth="1"/>
    <col min="8954" max="8954" width="3.7109375" style="2477" customWidth="1"/>
    <col min="8955" max="8955" width="25.5703125" style="2477" customWidth="1"/>
    <col min="8956" max="8956" width="12" style="2477" customWidth="1"/>
    <col min="8957" max="8962" width="9.7109375" style="2477" customWidth="1"/>
    <col min="8963" max="8963" width="10.85546875" style="2477" customWidth="1"/>
    <col min="8964" max="9207" width="9.140625" style="2477"/>
    <col min="9208" max="9208" width="3.7109375" style="2477" customWidth="1"/>
    <col min="9209" max="9209" width="14.42578125" style="2477" customWidth="1"/>
    <col min="9210" max="9210" width="3.7109375" style="2477" customWidth="1"/>
    <col min="9211" max="9211" width="25.5703125" style="2477" customWidth="1"/>
    <col min="9212" max="9212" width="12" style="2477" customWidth="1"/>
    <col min="9213" max="9218" width="9.7109375" style="2477" customWidth="1"/>
    <col min="9219" max="9219" width="10.85546875" style="2477" customWidth="1"/>
    <col min="9220" max="9463" width="9.140625" style="2477"/>
    <col min="9464" max="9464" width="3.7109375" style="2477" customWidth="1"/>
    <col min="9465" max="9465" width="14.42578125" style="2477" customWidth="1"/>
    <col min="9466" max="9466" width="3.7109375" style="2477" customWidth="1"/>
    <col min="9467" max="9467" width="25.5703125" style="2477" customWidth="1"/>
    <col min="9468" max="9468" width="12" style="2477" customWidth="1"/>
    <col min="9469" max="9474" width="9.7109375" style="2477" customWidth="1"/>
    <col min="9475" max="9475" width="10.85546875" style="2477" customWidth="1"/>
    <col min="9476" max="9719" width="9.140625" style="2477"/>
    <col min="9720" max="9720" width="3.7109375" style="2477" customWidth="1"/>
    <col min="9721" max="9721" width="14.42578125" style="2477" customWidth="1"/>
    <col min="9722" max="9722" width="3.7109375" style="2477" customWidth="1"/>
    <col min="9723" max="9723" width="25.5703125" style="2477" customWidth="1"/>
    <col min="9724" max="9724" width="12" style="2477" customWidth="1"/>
    <col min="9725" max="9730" width="9.7109375" style="2477" customWidth="1"/>
    <col min="9731" max="9731" width="10.85546875" style="2477" customWidth="1"/>
    <col min="9732" max="9975" width="9.140625" style="2477"/>
    <col min="9976" max="9976" width="3.7109375" style="2477" customWidth="1"/>
    <col min="9977" max="9977" width="14.42578125" style="2477" customWidth="1"/>
    <col min="9978" max="9978" width="3.7109375" style="2477" customWidth="1"/>
    <col min="9979" max="9979" width="25.5703125" style="2477" customWidth="1"/>
    <col min="9980" max="9980" width="12" style="2477" customWidth="1"/>
    <col min="9981" max="9986" width="9.7109375" style="2477" customWidth="1"/>
    <col min="9987" max="9987" width="10.85546875" style="2477" customWidth="1"/>
    <col min="9988" max="10231" width="9.140625" style="2477"/>
    <col min="10232" max="10232" width="3.7109375" style="2477" customWidth="1"/>
    <col min="10233" max="10233" width="14.42578125" style="2477" customWidth="1"/>
    <col min="10234" max="10234" width="3.7109375" style="2477" customWidth="1"/>
    <col min="10235" max="10235" width="25.5703125" style="2477" customWidth="1"/>
    <col min="10236" max="10236" width="12" style="2477" customWidth="1"/>
    <col min="10237" max="10242" width="9.7109375" style="2477" customWidth="1"/>
    <col min="10243" max="10243" width="10.85546875" style="2477" customWidth="1"/>
    <col min="10244" max="10487" width="9.140625" style="2477"/>
    <col min="10488" max="10488" width="3.7109375" style="2477" customWidth="1"/>
    <col min="10489" max="10489" width="14.42578125" style="2477" customWidth="1"/>
    <col min="10490" max="10490" width="3.7109375" style="2477" customWidth="1"/>
    <col min="10491" max="10491" width="25.5703125" style="2477" customWidth="1"/>
    <col min="10492" max="10492" width="12" style="2477" customWidth="1"/>
    <col min="10493" max="10498" width="9.7109375" style="2477" customWidth="1"/>
    <col min="10499" max="10499" width="10.85546875" style="2477" customWidth="1"/>
    <col min="10500" max="10743" width="9.140625" style="2477"/>
    <col min="10744" max="10744" width="3.7109375" style="2477" customWidth="1"/>
    <col min="10745" max="10745" width="14.42578125" style="2477" customWidth="1"/>
    <col min="10746" max="10746" width="3.7109375" style="2477" customWidth="1"/>
    <col min="10747" max="10747" width="25.5703125" style="2477" customWidth="1"/>
    <col min="10748" max="10748" width="12" style="2477" customWidth="1"/>
    <col min="10749" max="10754" width="9.7109375" style="2477" customWidth="1"/>
    <col min="10755" max="10755" width="10.85546875" style="2477" customWidth="1"/>
    <col min="10756" max="10999" width="9.140625" style="2477"/>
    <col min="11000" max="11000" width="3.7109375" style="2477" customWidth="1"/>
    <col min="11001" max="11001" width="14.42578125" style="2477" customWidth="1"/>
    <col min="11002" max="11002" width="3.7109375" style="2477" customWidth="1"/>
    <col min="11003" max="11003" width="25.5703125" style="2477" customWidth="1"/>
    <col min="11004" max="11004" width="12" style="2477" customWidth="1"/>
    <col min="11005" max="11010" width="9.7109375" style="2477" customWidth="1"/>
    <col min="11011" max="11011" width="10.85546875" style="2477" customWidth="1"/>
    <col min="11012" max="11255" width="9.140625" style="2477"/>
    <col min="11256" max="11256" width="3.7109375" style="2477" customWidth="1"/>
    <col min="11257" max="11257" width="14.42578125" style="2477" customWidth="1"/>
    <col min="11258" max="11258" width="3.7109375" style="2477" customWidth="1"/>
    <col min="11259" max="11259" width="25.5703125" style="2477" customWidth="1"/>
    <col min="11260" max="11260" width="12" style="2477" customWidth="1"/>
    <col min="11261" max="11266" width="9.7109375" style="2477" customWidth="1"/>
    <col min="11267" max="11267" width="10.85546875" style="2477" customWidth="1"/>
    <col min="11268" max="11511" width="9.140625" style="2477"/>
    <col min="11512" max="11512" width="3.7109375" style="2477" customWidth="1"/>
    <col min="11513" max="11513" width="14.42578125" style="2477" customWidth="1"/>
    <col min="11514" max="11514" width="3.7109375" style="2477" customWidth="1"/>
    <col min="11515" max="11515" width="25.5703125" style="2477" customWidth="1"/>
    <col min="11516" max="11516" width="12" style="2477" customWidth="1"/>
    <col min="11517" max="11522" width="9.7109375" style="2477" customWidth="1"/>
    <col min="11523" max="11523" width="10.85546875" style="2477" customWidth="1"/>
    <col min="11524" max="11767" width="9.140625" style="2477"/>
    <col min="11768" max="11768" width="3.7109375" style="2477" customWidth="1"/>
    <col min="11769" max="11769" width="14.42578125" style="2477" customWidth="1"/>
    <col min="11770" max="11770" width="3.7109375" style="2477" customWidth="1"/>
    <col min="11771" max="11771" width="25.5703125" style="2477" customWidth="1"/>
    <col min="11772" max="11772" width="12" style="2477" customWidth="1"/>
    <col min="11773" max="11778" width="9.7109375" style="2477" customWidth="1"/>
    <col min="11779" max="11779" width="10.85546875" style="2477" customWidth="1"/>
    <col min="11780" max="12023" width="9.140625" style="2477"/>
    <col min="12024" max="12024" width="3.7109375" style="2477" customWidth="1"/>
    <col min="12025" max="12025" width="14.42578125" style="2477" customWidth="1"/>
    <col min="12026" max="12026" width="3.7109375" style="2477" customWidth="1"/>
    <col min="12027" max="12027" width="25.5703125" style="2477" customWidth="1"/>
    <col min="12028" max="12028" width="12" style="2477" customWidth="1"/>
    <col min="12029" max="12034" width="9.7109375" style="2477" customWidth="1"/>
    <col min="12035" max="12035" width="10.85546875" style="2477" customWidth="1"/>
    <col min="12036" max="12279" width="9.140625" style="2477"/>
    <col min="12280" max="12280" width="3.7109375" style="2477" customWidth="1"/>
    <col min="12281" max="12281" width="14.42578125" style="2477" customWidth="1"/>
    <col min="12282" max="12282" width="3.7109375" style="2477" customWidth="1"/>
    <col min="12283" max="12283" width="25.5703125" style="2477" customWidth="1"/>
    <col min="12284" max="12284" width="12" style="2477" customWidth="1"/>
    <col min="12285" max="12290" width="9.7109375" style="2477" customWidth="1"/>
    <col min="12291" max="12291" width="10.85546875" style="2477" customWidth="1"/>
    <col min="12292" max="12535" width="9.140625" style="2477"/>
    <col min="12536" max="12536" width="3.7109375" style="2477" customWidth="1"/>
    <col min="12537" max="12537" width="14.42578125" style="2477" customWidth="1"/>
    <col min="12538" max="12538" width="3.7109375" style="2477" customWidth="1"/>
    <col min="12539" max="12539" width="25.5703125" style="2477" customWidth="1"/>
    <col min="12540" max="12540" width="12" style="2477" customWidth="1"/>
    <col min="12541" max="12546" width="9.7109375" style="2477" customWidth="1"/>
    <col min="12547" max="12547" width="10.85546875" style="2477" customWidth="1"/>
    <col min="12548" max="12791" width="9.140625" style="2477"/>
    <col min="12792" max="12792" width="3.7109375" style="2477" customWidth="1"/>
    <col min="12793" max="12793" width="14.42578125" style="2477" customWidth="1"/>
    <col min="12794" max="12794" width="3.7109375" style="2477" customWidth="1"/>
    <col min="12795" max="12795" width="25.5703125" style="2477" customWidth="1"/>
    <col min="12796" max="12796" width="12" style="2477" customWidth="1"/>
    <col min="12797" max="12802" width="9.7109375" style="2477" customWidth="1"/>
    <col min="12803" max="12803" width="10.85546875" style="2477" customWidth="1"/>
    <col min="12804" max="13047" width="9.140625" style="2477"/>
    <col min="13048" max="13048" width="3.7109375" style="2477" customWidth="1"/>
    <col min="13049" max="13049" width="14.42578125" style="2477" customWidth="1"/>
    <col min="13050" max="13050" width="3.7109375" style="2477" customWidth="1"/>
    <col min="13051" max="13051" width="25.5703125" style="2477" customWidth="1"/>
    <col min="13052" max="13052" width="12" style="2477" customWidth="1"/>
    <col min="13053" max="13058" width="9.7109375" style="2477" customWidth="1"/>
    <col min="13059" max="13059" width="10.85546875" style="2477" customWidth="1"/>
    <col min="13060" max="13303" width="9.140625" style="2477"/>
    <col min="13304" max="13304" width="3.7109375" style="2477" customWidth="1"/>
    <col min="13305" max="13305" width="14.42578125" style="2477" customWidth="1"/>
    <col min="13306" max="13306" width="3.7109375" style="2477" customWidth="1"/>
    <col min="13307" max="13307" width="25.5703125" style="2477" customWidth="1"/>
    <col min="13308" max="13308" width="12" style="2477" customWidth="1"/>
    <col min="13309" max="13314" width="9.7109375" style="2477" customWidth="1"/>
    <col min="13315" max="13315" width="10.85546875" style="2477" customWidth="1"/>
    <col min="13316" max="13559" width="9.140625" style="2477"/>
    <col min="13560" max="13560" width="3.7109375" style="2477" customWidth="1"/>
    <col min="13561" max="13561" width="14.42578125" style="2477" customWidth="1"/>
    <col min="13562" max="13562" width="3.7109375" style="2477" customWidth="1"/>
    <col min="13563" max="13563" width="25.5703125" style="2477" customWidth="1"/>
    <col min="13564" max="13564" width="12" style="2477" customWidth="1"/>
    <col min="13565" max="13570" width="9.7109375" style="2477" customWidth="1"/>
    <col min="13571" max="13571" width="10.85546875" style="2477" customWidth="1"/>
    <col min="13572" max="13815" width="9.140625" style="2477"/>
    <col min="13816" max="13816" width="3.7109375" style="2477" customWidth="1"/>
    <col min="13817" max="13817" width="14.42578125" style="2477" customWidth="1"/>
    <col min="13818" max="13818" width="3.7109375" style="2477" customWidth="1"/>
    <col min="13819" max="13819" width="25.5703125" style="2477" customWidth="1"/>
    <col min="13820" max="13820" width="12" style="2477" customWidth="1"/>
    <col min="13821" max="13826" width="9.7109375" style="2477" customWidth="1"/>
    <col min="13827" max="13827" width="10.85546875" style="2477" customWidth="1"/>
    <col min="13828" max="14071" width="9.140625" style="2477"/>
    <col min="14072" max="14072" width="3.7109375" style="2477" customWidth="1"/>
    <col min="14073" max="14073" width="14.42578125" style="2477" customWidth="1"/>
    <col min="14074" max="14074" width="3.7109375" style="2477" customWidth="1"/>
    <col min="14075" max="14075" width="25.5703125" style="2477" customWidth="1"/>
    <col min="14076" max="14076" width="12" style="2477" customWidth="1"/>
    <col min="14077" max="14082" width="9.7109375" style="2477" customWidth="1"/>
    <col min="14083" max="14083" width="10.85546875" style="2477" customWidth="1"/>
    <col min="14084" max="14327" width="9.140625" style="2477"/>
    <col min="14328" max="14328" width="3.7109375" style="2477" customWidth="1"/>
    <col min="14329" max="14329" width="14.42578125" style="2477" customWidth="1"/>
    <col min="14330" max="14330" width="3.7109375" style="2477" customWidth="1"/>
    <col min="14331" max="14331" width="25.5703125" style="2477" customWidth="1"/>
    <col min="14332" max="14332" width="12" style="2477" customWidth="1"/>
    <col min="14333" max="14338" width="9.7109375" style="2477" customWidth="1"/>
    <col min="14339" max="14339" width="10.85546875" style="2477" customWidth="1"/>
    <col min="14340" max="14583" width="9.140625" style="2477"/>
    <col min="14584" max="14584" width="3.7109375" style="2477" customWidth="1"/>
    <col min="14585" max="14585" width="14.42578125" style="2477" customWidth="1"/>
    <col min="14586" max="14586" width="3.7109375" style="2477" customWidth="1"/>
    <col min="14587" max="14587" width="25.5703125" style="2477" customWidth="1"/>
    <col min="14588" max="14588" width="12" style="2477" customWidth="1"/>
    <col min="14589" max="14594" width="9.7109375" style="2477" customWidth="1"/>
    <col min="14595" max="14595" width="10.85546875" style="2477" customWidth="1"/>
    <col min="14596" max="14839" width="9.140625" style="2477"/>
    <col min="14840" max="14840" width="3.7109375" style="2477" customWidth="1"/>
    <col min="14841" max="14841" width="14.42578125" style="2477" customWidth="1"/>
    <col min="14842" max="14842" width="3.7109375" style="2477" customWidth="1"/>
    <col min="14843" max="14843" width="25.5703125" style="2477" customWidth="1"/>
    <col min="14844" max="14844" width="12" style="2477" customWidth="1"/>
    <col min="14845" max="14850" width="9.7109375" style="2477" customWidth="1"/>
    <col min="14851" max="14851" width="10.85546875" style="2477" customWidth="1"/>
    <col min="14852" max="15095" width="9.140625" style="2477"/>
    <col min="15096" max="15096" width="3.7109375" style="2477" customWidth="1"/>
    <col min="15097" max="15097" width="14.42578125" style="2477" customWidth="1"/>
    <col min="15098" max="15098" width="3.7109375" style="2477" customWidth="1"/>
    <col min="15099" max="15099" width="25.5703125" style="2477" customWidth="1"/>
    <col min="15100" max="15100" width="12" style="2477" customWidth="1"/>
    <col min="15101" max="15106" width="9.7109375" style="2477" customWidth="1"/>
    <col min="15107" max="15107" width="10.85546875" style="2477" customWidth="1"/>
    <col min="15108" max="15351" width="9.140625" style="2477"/>
    <col min="15352" max="15352" width="3.7109375" style="2477" customWidth="1"/>
    <col min="15353" max="15353" width="14.42578125" style="2477" customWidth="1"/>
    <col min="15354" max="15354" width="3.7109375" style="2477" customWidth="1"/>
    <col min="15355" max="15355" width="25.5703125" style="2477" customWidth="1"/>
    <col min="15356" max="15356" width="12" style="2477" customWidth="1"/>
    <col min="15357" max="15362" width="9.7109375" style="2477" customWidth="1"/>
    <col min="15363" max="15363" width="10.85546875" style="2477" customWidth="1"/>
    <col min="15364" max="15607" width="9.140625" style="2477"/>
    <col min="15608" max="15608" width="3.7109375" style="2477" customWidth="1"/>
    <col min="15609" max="15609" width="14.42578125" style="2477" customWidth="1"/>
    <col min="15610" max="15610" width="3.7109375" style="2477" customWidth="1"/>
    <col min="15611" max="15611" width="25.5703125" style="2477" customWidth="1"/>
    <col min="15612" max="15612" width="12" style="2477" customWidth="1"/>
    <col min="15613" max="15618" width="9.7109375" style="2477" customWidth="1"/>
    <col min="15619" max="15619" width="10.85546875" style="2477" customWidth="1"/>
    <col min="15620" max="15863" width="9.140625" style="2477"/>
    <col min="15864" max="15864" width="3.7109375" style="2477" customWidth="1"/>
    <col min="15865" max="15865" width="14.42578125" style="2477" customWidth="1"/>
    <col min="15866" max="15866" width="3.7109375" style="2477" customWidth="1"/>
    <col min="15867" max="15867" width="25.5703125" style="2477" customWidth="1"/>
    <col min="15868" max="15868" width="12" style="2477" customWidth="1"/>
    <col min="15869" max="15874" width="9.7109375" style="2477" customWidth="1"/>
    <col min="15875" max="15875" width="10.85546875" style="2477" customWidth="1"/>
    <col min="15876" max="16119" width="9.140625" style="2477"/>
    <col min="16120" max="16120" width="3.7109375" style="2477" customWidth="1"/>
    <col min="16121" max="16121" width="14.42578125" style="2477" customWidth="1"/>
    <col min="16122" max="16122" width="3.7109375" style="2477" customWidth="1"/>
    <col min="16123" max="16123" width="25.5703125" style="2477" customWidth="1"/>
    <col min="16124" max="16124" width="12" style="2477" customWidth="1"/>
    <col min="16125" max="16130" width="9.7109375" style="2477" customWidth="1"/>
    <col min="16131" max="16131" width="10.85546875" style="2477" customWidth="1"/>
    <col min="16132" max="16384" width="9.140625" style="2477"/>
  </cols>
  <sheetData>
    <row r="1" spans="1:22" x14ac:dyDescent="0.3">
      <c r="D1" s="2475"/>
      <c r="E1" s="2475"/>
      <c r="F1" s="2475"/>
      <c r="G1" s="2475"/>
      <c r="H1" s="2475"/>
      <c r="I1" s="2475"/>
      <c r="J1" s="2475"/>
      <c r="K1" s="2476"/>
    </row>
    <row r="2" spans="1:22" ht="12.75" customHeight="1" x14ac:dyDescent="0.3">
      <c r="A2" s="2473">
        <v>1</v>
      </c>
      <c r="B2" s="2478" t="s">
        <v>1063</v>
      </c>
      <c r="C2" s="2478" t="e">
        <f>1+#REF!</f>
        <v>#REF!</v>
      </c>
      <c r="D2" s="2479" t="s">
        <v>1064</v>
      </c>
      <c r="E2" s="2480"/>
      <c r="F2" s="2480"/>
      <c r="G2" s="2480"/>
      <c r="H2" s="2480"/>
      <c r="I2" s="2480"/>
      <c r="J2" s="2480"/>
      <c r="K2" s="2481"/>
      <c r="L2" s="2482"/>
      <c r="M2" s="2482"/>
      <c r="N2" s="2482"/>
      <c r="O2" s="2482"/>
      <c r="P2" s="2482"/>
      <c r="Q2" s="2482"/>
      <c r="R2" s="2482"/>
      <c r="S2" s="2482"/>
      <c r="T2" s="2482"/>
      <c r="U2" s="2482"/>
      <c r="V2" s="2482"/>
    </row>
    <row r="3" spans="1:22" ht="15" customHeight="1" x14ac:dyDescent="0.3">
      <c r="A3" s="2473">
        <v>2</v>
      </c>
      <c r="B3" s="2473" t="s">
        <v>1065</v>
      </c>
      <c r="C3" s="2473"/>
      <c r="D3" s="4401" t="s">
        <v>1032</v>
      </c>
      <c r="E3" s="4402"/>
      <c r="F3" s="4402"/>
      <c r="G3" s="4402"/>
      <c r="H3" s="4402"/>
      <c r="I3" s="4402"/>
      <c r="J3" s="4402"/>
      <c r="K3" s="4403"/>
    </row>
    <row r="4" spans="1:22" ht="15" customHeight="1" x14ac:dyDescent="0.3">
      <c r="A4" s="2473">
        <v>3</v>
      </c>
      <c r="B4" s="2473" t="s">
        <v>4</v>
      </c>
      <c r="C4" s="2473"/>
      <c r="D4" s="4401" t="s">
        <v>1066</v>
      </c>
      <c r="E4" s="4402"/>
      <c r="F4" s="4402"/>
      <c r="G4" s="4402"/>
      <c r="H4" s="4402"/>
      <c r="I4" s="4402"/>
      <c r="J4" s="4402"/>
      <c r="K4" s="4403"/>
    </row>
    <row r="5" spans="1:22" ht="15" customHeight="1" x14ac:dyDescent="0.3">
      <c r="A5" s="2473">
        <v>4</v>
      </c>
      <c r="B5" s="2473" t="s">
        <v>39</v>
      </c>
      <c r="C5" s="2473"/>
      <c r="D5" s="4404"/>
      <c r="E5" s="4405"/>
      <c r="F5" s="4405"/>
      <c r="G5" s="4405"/>
      <c r="H5" s="4405"/>
      <c r="I5" s="4405"/>
      <c r="J5" s="4405"/>
      <c r="K5" s="4406"/>
    </row>
    <row r="6" spans="1:22" s="2485" customFormat="1" ht="14.25" hidden="1" customHeight="1" x14ac:dyDescent="0.3">
      <c r="A6" s="2483"/>
      <c r="B6" s="2484"/>
      <c r="C6" s="2484"/>
      <c r="K6" s="2486"/>
    </row>
    <row r="7" spans="1:22" ht="15" hidden="1" customHeight="1" x14ac:dyDescent="0.3">
      <c r="A7" s="2473">
        <v>5</v>
      </c>
      <c r="B7" s="2473" t="s">
        <v>6</v>
      </c>
      <c r="C7" s="2487"/>
      <c r="D7" s="2488"/>
      <c r="E7" s="2489"/>
      <c r="F7" s="2489"/>
      <c r="G7" s="2489"/>
      <c r="H7" s="2489"/>
      <c r="I7" s="2489"/>
      <c r="J7" s="2489"/>
      <c r="K7" s="2490"/>
    </row>
    <row r="8" spans="1:22" hidden="1" x14ac:dyDescent="0.3">
      <c r="B8" s="2473"/>
      <c r="C8" s="2487"/>
      <c r="D8" s="4407" t="s">
        <v>1067</v>
      </c>
      <c r="E8" s="4407"/>
      <c r="F8" s="4407"/>
      <c r="G8" s="4407"/>
      <c r="H8" s="4407"/>
      <c r="I8" s="4407"/>
      <c r="J8" s="4407"/>
      <c r="K8" s="2490"/>
    </row>
    <row r="9" spans="1:22" ht="63.75" x14ac:dyDescent="0.3">
      <c r="D9" s="2491"/>
      <c r="E9" s="2492" t="s">
        <v>1068</v>
      </c>
      <c r="F9" s="2492" t="s">
        <v>1731</v>
      </c>
      <c r="G9" s="2493" t="s">
        <v>721</v>
      </c>
      <c r="H9" s="2494" t="s">
        <v>1069</v>
      </c>
      <c r="I9" s="2494" t="s">
        <v>1070</v>
      </c>
      <c r="J9" s="2495" t="s">
        <v>1732</v>
      </c>
      <c r="K9" s="2496" t="s">
        <v>1733</v>
      </c>
    </row>
    <row r="10" spans="1:22" hidden="1" x14ac:dyDescent="0.3">
      <c r="D10" s="2497" t="s">
        <v>1071</v>
      </c>
      <c r="E10" s="2498"/>
      <c r="F10" s="2498"/>
      <c r="G10" s="2499"/>
      <c r="H10" s="2500"/>
      <c r="I10" s="2500"/>
      <c r="J10" s="2501"/>
      <c r="K10" s="2502"/>
    </row>
    <row r="11" spans="1:22" hidden="1" x14ac:dyDescent="0.3">
      <c r="D11" s="2503" t="s">
        <v>1072</v>
      </c>
      <c r="E11" s="2504">
        <v>202455</v>
      </c>
      <c r="F11" s="2504">
        <v>847266</v>
      </c>
      <c r="G11" s="2505">
        <v>1049721</v>
      </c>
      <c r="H11" s="2506">
        <v>10274</v>
      </c>
      <c r="I11" s="2506">
        <v>216302</v>
      </c>
      <c r="J11" s="2507">
        <v>345459</v>
      </c>
      <c r="K11" s="2508">
        <f t="shared" ref="K11:K16" si="0">+J11/G11</f>
        <v>0.32909601694164448</v>
      </c>
      <c r="L11" s="2509">
        <v>1049721</v>
      </c>
      <c r="M11" s="2509">
        <v>202455</v>
      </c>
      <c r="N11" s="2510">
        <v>0</v>
      </c>
      <c r="O11" s="2477">
        <v>397959</v>
      </c>
      <c r="P11" s="2511"/>
    </row>
    <row r="12" spans="1:22" hidden="1" x14ac:dyDescent="0.3">
      <c r="D12" s="2503" t="s">
        <v>1073</v>
      </c>
      <c r="E12" s="2504">
        <v>114105</v>
      </c>
      <c r="F12" s="2504">
        <v>597256</v>
      </c>
      <c r="G12" s="2512">
        <v>711361</v>
      </c>
      <c r="H12" s="2506">
        <v>6554</v>
      </c>
      <c r="I12" s="2506">
        <v>30739</v>
      </c>
      <c r="J12" s="2507">
        <v>76795</v>
      </c>
      <c r="K12" s="2508">
        <f t="shared" si="0"/>
        <v>0.10795503267679842</v>
      </c>
      <c r="L12" s="2509">
        <v>711361</v>
      </c>
      <c r="M12" s="2509">
        <v>114105</v>
      </c>
      <c r="N12" s="2510">
        <v>0</v>
      </c>
      <c r="O12" s="2477">
        <v>2172314</v>
      </c>
    </row>
    <row r="13" spans="1:22" hidden="1" x14ac:dyDescent="0.3">
      <c r="D13" s="2503" t="s">
        <v>1074</v>
      </c>
      <c r="E13" s="2504">
        <v>21392</v>
      </c>
      <c r="F13" s="2504">
        <v>158969</v>
      </c>
      <c r="G13" s="2505">
        <v>180361</v>
      </c>
      <c r="H13" s="2506">
        <v>3783</v>
      </c>
      <c r="I13" s="2506">
        <v>35073</v>
      </c>
      <c r="J13" s="2507">
        <v>44534</v>
      </c>
      <c r="K13" s="2508">
        <f t="shared" si="0"/>
        <v>0.24691590754098725</v>
      </c>
      <c r="L13" s="2509">
        <v>180361</v>
      </c>
      <c r="M13" s="2509">
        <v>21392</v>
      </c>
      <c r="N13" s="2510">
        <v>0</v>
      </c>
      <c r="O13" s="2477">
        <v>2570273</v>
      </c>
    </row>
    <row r="14" spans="1:22" hidden="1" x14ac:dyDescent="0.3">
      <c r="D14" s="2503" t="s">
        <v>1075</v>
      </c>
      <c r="E14" s="2504">
        <v>8142</v>
      </c>
      <c r="F14" s="2504">
        <v>129425</v>
      </c>
      <c r="G14" s="2505">
        <v>137567</v>
      </c>
      <c r="H14" s="2506">
        <v>1760</v>
      </c>
      <c r="I14" s="2506">
        <v>4158</v>
      </c>
      <c r="J14" s="2507">
        <v>118655</v>
      </c>
      <c r="K14" s="2508">
        <f t="shared" si="0"/>
        <v>0.8625251695537447</v>
      </c>
      <c r="L14" s="2509">
        <v>137567</v>
      </c>
      <c r="M14" s="2509">
        <v>8142</v>
      </c>
      <c r="N14" s="2510">
        <v>0</v>
      </c>
      <c r="O14" s="2477">
        <v>30256</v>
      </c>
    </row>
    <row r="15" spans="1:22" hidden="1" x14ac:dyDescent="0.3">
      <c r="D15" s="2503" t="s">
        <v>1076</v>
      </c>
      <c r="E15" s="2504">
        <v>115685</v>
      </c>
      <c r="F15" s="2504">
        <v>656737</v>
      </c>
      <c r="G15" s="2505">
        <v>772422</v>
      </c>
      <c r="H15" s="2506">
        <v>19998</v>
      </c>
      <c r="I15" s="2506">
        <v>100811</v>
      </c>
      <c r="J15" s="2507">
        <v>172131</v>
      </c>
      <c r="K15" s="2513">
        <f t="shared" si="0"/>
        <v>0.22284580190621189</v>
      </c>
      <c r="L15" s="2509">
        <v>772422</v>
      </c>
      <c r="M15" s="2509">
        <v>115685</v>
      </c>
      <c r="N15" s="2510">
        <v>0</v>
      </c>
      <c r="O15" s="2477">
        <v>440315</v>
      </c>
    </row>
    <row r="16" spans="1:22" hidden="1" x14ac:dyDescent="0.3">
      <c r="D16" s="2514" t="s">
        <v>1077</v>
      </c>
      <c r="E16" s="2515">
        <v>461779</v>
      </c>
      <c r="F16" s="2515">
        <v>2389653</v>
      </c>
      <c r="G16" s="2516">
        <v>2851432</v>
      </c>
      <c r="H16" s="2517">
        <v>42369</v>
      </c>
      <c r="I16" s="2517">
        <v>387083</v>
      </c>
      <c r="J16" s="2515">
        <v>757574</v>
      </c>
      <c r="K16" s="2518">
        <f t="shared" si="0"/>
        <v>0.26568194507180953</v>
      </c>
      <c r="L16" s="2509">
        <v>2851432</v>
      </c>
      <c r="M16" s="2509">
        <v>461779</v>
      </c>
      <c r="N16" s="2510">
        <v>0</v>
      </c>
      <c r="O16" s="2477">
        <v>1353729</v>
      </c>
    </row>
    <row r="17" spans="4:15" hidden="1" x14ac:dyDescent="0.3">
      <c r="D17" s="2497" t="s">
        <v>142</v>
      </c>
      <c r="E17" s="2498"/>
      <c r="F17" s="2498"/>
      <c r="G17" s="2519"/>
      <c r="H17" s="2520"/>
      <c r="I17" s="2520"/>
      <c r="J17" s="2501"/>
      <c r="K17" s="2502"/>
      <c r="L17" s="2509">
        <v>0</v>
      </c>
      <c r="M17" s="2509">
        <v>0</v>
      </c>
      <c r="N17" s="2510">
        <v>0</v>
      </c>
      <c r="O17" s="2477">
        <v>745973</v>
      </c>
    </row>
    <row r="18" spans="4:15" ht="18" hidden="1" customHeight="1" x14ac:dyDescent="0.3">
      <c r="D18" s="2521" t="s">
        <v>1072</v>
      </c>
      <c r="E18" s="2522">
        <v>170987</v>
      </c>
      <c r="F18" s="2522">
        <v>756136</v>
      </c>
      <c r="G18" s="2523">
        <v>927123</v>
      </c>
      <c r="H18" s="2524">
        <v>6490</v>
      </c>
      <c r="I18" s="2524">
        <v>140065</v>
      </c>
      <c r="J18" s="2525">
        <v>333129</v>
      </c>
      <c r="K18" s="2508">
        <f t="shared" ref="K18:K23" si="1">+J18/G18</f>
        <v>0.35931478347533174</v>
      </c>
      <c r="L18" s="2509">
        <v>927123</v>
      </c>
      <c r="M18" s="2509">
        <v>170987</v>
      </c>
      <c r="N18" s="2510">
        <v>0</v>
      </c>
      <c r="O18" s="2526">
        <v>0.29023103771467079</v>
      </c>
    </row>
    <row r="19" spans="4:15" hidden="1" x14ac:dyDescent="0.3">
      <c r="D19" s="2521" t="s">
        <v>1073</v>
      </c>
      <c r="E19" s="2522">
        <v>106873</v>
      </c>
      <c r="F19" s="2522">
        <v>570698</v>
      </c>
      <c r="G19" s="2523">
        <v>677571</v>
      </c>
      <c r="H19" s="2524">
        <v>5341</v>
      </c>
      <c r="I19" s="2524">
        <v>21584</v>
      </c>
      <c r="J19" s="2525">
        <v>70539</v>
      </c>
      <c r="K19" s="2508">
        <f t="shared" si="1"/>
        <v>0.10410569519651815</v>
      </c>
      <c r="L19" s="2509">
        <v>677571</v>
      </c>
      <c r="M19" s="2509">
        <v>106873</v>
      </c>
      <c r="N19" s="2510">
        <v>0</v>
      </c>
    </row>
    <row r="20" spans="4:15" hidden="1" x14ac:dyDescent="0.3">
      <c r="D20" s="2521" t="s">
        <v>1074</v>
      </c>
      <c r="E20" s="2522">
        <v>16757</v>
      </c>
      <c r="F20" s="2522">
        <v>151887</v>
      </c>
      <c r="G20" s="2523">
        <v>168644</v>
      </c>
      <c r="H20" s="2524">
        <v>2786</v>
      </c>
      <c r="I20" s="2524">
        <v>24472</v>
      </c>
      <c r="J20" s="2525">
        <v>46141</v>
      </c>
      <c r="K20" s="2508">
        <f t="shared" si="1"/>
        <v>0.27360000948744101</v>
      </c>
      <c r="L20" s="2509">
        <v>168644</v>
      </c>
      <c r="M20" s="2509">
        <v>16757</v>
      </c>
      <c r="N20" s="2510">
        <v>0</v>
      </c>
    </row>
    <row r="21" spans="4:15" hidden="1" x14ac:dyDescent="0.3">
      <c r="D21" s="2521" t="s">
        <v>1075</v>
      </c>
      <c r="E21" s="2522">
        <v>5613</v>
      </c>
      <c r="F21" s="2522">
        <v>142259</v>
      </c>
      <c r="G21" s="2523">
        <v>147872</v>
      </c>
      <c r="H21" s="2524">
        <v>1393</v>
      </c>
      <c r="I21" s="2524">
        <v>2812</v>
      </c>
      <c r="J21" s="2525">
        <v>134730</v>
      </c>
      <c r="K21" s="2508">
        <f t="shared" si="1"/>
        <v>0.9111258385630816</v>
      </c>
      <c r="L21" s="2509">
        <v>147872</v>
      </c>
      <c r="M21" s="2509">
        <v>5613</v>
      </c>
      <c r="N21" s="2510">
        <v>0</v>
      </c>
    </row>
    <row r="22" spans="4:15" hidden="1" x14ac:dyDescent="0.3">
      <c r="D22" s="2521" t="s">
        <v>1076</v>
      </c>
      <c r="E22" s="2522">
        <v>97729</v>
      </c>
      <c r="F22" s="2522">
        <v>551334</v>
      </c>
      <c r="G22" s="2523">
        <v>649063</v>
      </c>
      <c r="H22" s="2524">
        <v>14246</v>
      </c>
      <c r="I22" s="2524">
        <v>251382</v>
      </c>
      <c r="J22" s="2525">
        <v>161434</v>
      </c>
      <c r="K22" s="2513">
        <f t="shared" si="1"/>
        <v>0.24871853733766985</v>
      </c>
      <c r="L22" s="2509">
        <v>649063</v>
      </c>
      <c r="M22" s="2509">
        <v>97729</v>
      </c>
      <c r="N22" s="2510">
        <v>0</v>
      </c>
    </row>
    <row r="23" spans="4:15" hidden="1" x14ac:dyDescent="0.3">
      <c r="D23" s="2514" t="s">
        <v>1077</v>
      </c>
      <c r="E23" s="2527">
        <v>397959</v>
      </c>
      <c r="F23" s="2527">
        <v>2172314</v>
      </c>
      <c r="G23" s="2528">
        <v>2570273</v>
      </c>
      <c r="H23" s="2529">
        <v>30256</v>
      </c>
      <c r="I23" s="2529">
        <v>440315</v>
      </c>
      <c r="J23" s="2527">
        <v>745973</v>
      </c>
      <c r="K23" s="2518">
        <f t="shared" si="1"/>
        <v>0.29023103771467079</v>
      </c>
      <c r="L23" s="2509">
        <v>2570273</v>
      </c>
      <c r="M23" s="2509">
        <v>397959</v>
      </c>
      <c r="N23" s="2510">
        <v>0</v>
      </c>
    </row>
    <row r="24" spans="4:15" hidden="1" x14ac:dyDescent="0.3">
      <c r="D24" s="2530" t="s">
        <v>143</v>
      </c>
      <c r="E24" s="2531"/>
      <c r="F24" s="2531"/>
      <c r="G24" s="2532"/>
      <c r="H24" s="2524"/>
      <c r="I24" s="2524"/>
      <c r="J24" s="2531"/>
      <c r="K24" s="2533"/>
      <c r="L24" s="2509">
        <v>0</v>
      </c>
      <c r="M24" s="2509">
        <v>0</v>
      </c>
      <c r="N24" s="2510">
        <v>0</v>
      </c>
    </row>
    <row r="25" spans="4:15" ht="17.25" hidden="1" customHeight="1" x14ac:dyDescent="0.3">
      <c r="D25" s="2521" t="s">
        <v>1072</v>
      </c>
      <c r="E25" s="2522">
        <v>168073</v>
      </c>
      <c r="F25" s="2522">
        <v>730346</v>
      </c>
      <c r="G25" s="2523">
        <v>898419</v>
      </c>
      <c r="H25" s="2524">
        <v>6888</v>
      </c>
      <c r="I25" s="2524"/>
      <c r="J25" s="2525">
        <v>340001</v>
      </c>
      <c r="K25" s="2508">
        <f t="shared" ref="K25:K30" si="2">+J25/G25</f>
        <v>0.37844368830133823</v>
      </c>
      <c r="L25" s="2509">
        <v>898419</v>
      </c>
      <c r="M25" s="2509">
        <v>168073</v>
      </c>
      <c r="N25" s="2510">
        <v>0</v>
      </c>
      <c r="O25" s="2477">
        <v>392170</v>
      </c>
    </row>
    <row r="26" spans="4:15" hidden="1" x14ac:dyDescent="0.3">
      <c r="D26" s="2521" t="s">
        <v>1073</v>
      </c>
      <c r="E26" s="2522">
        <v>106009</v>
      </c>
      <c r="F26" s="2522">
        <v>547258</v>
      </c>
      <c r="G26" s="2523">
        <v>653267</v>
      </c>
      <c r="H26" s="2524">
        <v>6163</v>
      </c>
      <c r="I26" s="2524">
        <v>18872</v>
      </c>
      <c r="J26" s="2525">
        <v>71528</v>
      </c>
      <c r="K26" s="2508">
        <f t="shared" si="2"/>
        <v>0.10949274951895627</v>
      </c>
      <c r="L26" s="2509">
        <v>653267</v>
      </c>
      <c r="M26" s="2509">
        <v>106009</v>
      </c>
      <c r="N26" s="2510">
        <v>0</v>
      </c>
      <c r="O26" s="2477">
        <v>2097243</v>
      </c>
    </row>
    <row r="27" spans="4:15" hidden="1" x14ac:dyDescent="0.3">
      <c r="D27" s="2521" t="s">
        <v>1074</v>
      </c>
      <c r="E27" s="2522">
        <v>16730</v>
      </c>
      <c r="F27" s="2522">
        <v>151194</v>
      </c>
      <c r="G27" s="2523">
        <v>167924</v>
      </c>
      <c r="H27" s="2524">
        <v>2896</v>
      </c>
      <c r="I27" s="2524">
        <v>21297</v>
      </c>
      <c r="J27" s="2525">
        <v>48905</v>
      </c>
      <c r="K27" s="2508">
        <f t="shared" si="2"/>
        <v>0.29123293871036898</v>
      </c>
      <c r="L27" s="2509">
        <v>167924</v>
      </c>
      <c r="M27" s="2509">
        <v>16730</v>
      </c>
      <c r="N27" s="2510">
        <v>0</v>
      </c>
      <c r="O27" s="2477">
        <v>2489413</v>
      </c>
    </row>
    <row r="28" spans="4:15" hidden="1" x14ac:dyDescent="0.3">
      <c r="D28" s="2521" t="s">
        <v>1075</v>
      </c>
      <c r="E28" s="2522">
        <v>4686</v>
      </c>
      <c r="F28" s="2522">
        <v>157304</v>
      </c>
      <c r="G28" s="2523">
        <v>161990</v>
      </c>
      <c r="H28" s="2524">
        <v>831</v>
      </c>
      <c r="I28" s="2524">
        <v>1873</v>
      </c>
      <c r="J28" s="2525">
        <v>153368</v>
      </c>
      <c r="K28" s="2508">
        <f t="shared" si="2"/>
        <v>0.94677449225260824</v>
      </c>
      <c r="L28" s="2509">
        <v>161990</v>
      </c>
      <c r="M28" s="2509">
        <v>4686</v>
      </c>
      <c r="N28" s="2510">
        <v>0</v>
      </c>
      <c r="O28" s="2477">
        <v>28474</v>
      </c>
    </row>
    <row r="29" spans="4:15" hidden="1" x14ac:dyDescent="0.3">
      <c r="D29" s="2521" t="s">
        <v>1076</v>
      </c>
      <c r="E29" s="2522">
        <v>99509</v>
      </c>
      <c r="F29" s="2522">
        <v>542342</v>
      </c>
      <c r="G29" s="2523">
        <v>641851</v>
      </c>
      <c r="H29" s="2524">
        <v>11723</v>
      </c>
      <c r="I29" s="2524">
        <v>54453</v>
      </c>
      <c r="J29" s="2525">
        <v>168882</v>
      </c>
      <c r="K29" s="2513">
        <f t="shared" si="2"/>
        <v>0.26311714089407046</v>
      </c>
      <c r="L29" s="2509">
        <v>641851</v>
      </c>
      <c r="M29" s="2509">
        <v>99509</v>
      </c>
      <c r="N29" s="2510">
        <v>0</v>
      </c>
      <c r="O29" s="2477">
        <v>182393</v>
      </c>
    </row>
    <row r="30" spans="4:15" hidden="1" x14ac:dyDescent="0.3">
      <c r="D30" s="2514" t="s">
        <v>1077</v>
      </c>
      <c r="E30" s="2527">
        <v>395007</v>
      </c>
      <c r="F30" s="2527">
        <v>2128444</v>
      </c>
      <c r="G30" s="2528">
        <v>2523451</v>
      </c>
      <c r="H30" s="2529">
        <v>28501</v>
      </c>
      <c r="I30" s="2529">
        <v>96495</v>
      </c>
      <c r="J30" s="2527">
        <v>782684</v>
      </c>
      <c r="K30" s="2518">
        <f t="shared" si="2"/>
        <v>0.31016413633551831</v>
      </c>
      <c r="L30" s="2509">
        <v>2523451</v>
      </c>
      <c r="M30" s="2509">
        <v>395007</v>
      </c>
      <c r="N30" s="2510">
        <v>0</v>
      </c>
      <c r="O30" s="2477">
        <v>1428661</v>
      </c>
    </row>
    <row r="31" spans="4:15" x14ac:dyDescent="0.3">
      <c r="D31" s="2530" t="s">
        <v>144</v>
      </c>
      <c r="E31" s="2531"/>
      <c r="F31" s="2531"/>
      <c r="G31" s="2534"/>
      <c r="H31" s="2524"/>
      <c r="I31" s="2524"/>
      <c r="J31" s="2525"/>
      <c r="K31" s="2508"/>
      <c r="L31" s="2509">
        <v>0</v>
      </c>
      <c r="M31" s="2509">
        <v>0</v>
      </c>
      <c r="N31" s="2510">
        <v>0</v>
      </c>
      <c r="O31" s="2477">
        <v>849885</v>
      </c>
    </row>
    <row r="32" spans="4:15" x14ac:dyDescent="0.3">
      <c r="D32" s="2521" t="s">
        <v>1072</v>
      </c>
      <c r="E32" s="2522">
        <v>159933</v>
      </c>
      <c r="F32" s="2522">
        <v>692550</v>
      </c>
      <c r="G32" s="2523">
        <v>852483</v>
      </c>
      <c r="H32" s="2524">
        <v>7102</v>
      </c>
      <c r="I32" s="2524">
        <v>94988</v>
      </c>
      <c r="J32" s="2525">
        <v>354768</v>
      </c>
      <c r="K32" s="2508">
        <f t="shared" ref="K32:K37" si="3">+J32/G32</f>
        <v>0.41615844538835378</v>
      </c>
      <c r="L32" s="2509">
        <v>852483</v>
      </c>
      <c r="M32" s="2509">
        <v>159933</v>
      </c>
      <c r="N32" s="2510">
        <v>0</v>
      </c>
      <c r="O32" s="2526">
        <v>0.34139975970238767</v>
      </c>
    </row>
    <row r="33" spans="4:15" x14ac:dyDescent="0.3">
      <c r="D33" s="2521" t="s">
        <v>1073</v>
      </c>
      <c r="E33" s="2522">
        <v>102611</v>
      </c>
      <c r="F33" s="2522">
        <v>521513</v>
      </c>
      <c r="G33" s="2523">
        <v>624124</v>
      </c>
      <c r="H33" s="2524">
        <v>6042</v>
      </c>
      <c r="I33" s="2524">
        <v>17603</v>
      </c>
      <c r="J33" s="2525">
        <v>73694</v>
      </c>
      <c r="K33" s="2508">
        <f t="shared" si="3"/>
        <v>0.11807589517467683</v>
      </c>
      <c r="L33" s="2509">
        <v>624124</v>
      </c>
      <c r="M33" s="2509">
        <v>102611</v>
      </c>
      <c r="N33" s="2510">
        <v>0</v>
      </c>
    </row>
    <row r="34" spans="4:15" x14ac:dyDescent="0.3">
      <c r="D34" s="2521" t="s">
        <v>1074</v>
      </c>
      <c r="E34" s="2522">
        <v>15669</v>
      </c>
      <c r="F34" s="2522">
        <v>144364</v>
      </c>
      <c r="G34" s="2523">
        <v>160033</v>
      </c>
      <c r="H34" s="2524">
        <v>2970</v>
      </c>
      <c r="I34" s="2524">
        <v>18595</v>
      </c>
      <c r="J34" s="2525">
        <v>49608</v>
      </c>
      <c r="K34" s="2508">
        <f t="shared" si="3"/>
        <v>0.30998606537401663</v>
      </c>
      <c r="L34" s="2509">
        <v>160033</v>
      </c>
      <c r="M34" s="2509">
        <v>15669</v>
      </c>
      <c r="N34" s="2510">
        <v>0</v>
      </c>
    </row>
    <row r="35" spans="4:15" x14ac:dyDescent="0.3">
      <c r="D35" s="2521" t="s">
        <v>1075</v>
      </c>
      <c r="E35" s="2522">
        <v>4518</v>
      </c>
      <c r="F35" s="2522">
        <v>171015</v>
      </c>
      <c r="G35" s="2523">
        <v>175533</v>
      </c>
      <c r="H35" s="2524">
        <v>660</v>
      </c>
      <c r="I35" s="2524">
        <v>1310</v>
      </c>
      <c r="J35" s="2525">
        <v>168227</v>
      </c>
      <c r="K35" s="2508">
        <f t="shared" si="3"/>
        <v>0.9583781966923598</v>
      </c>
      <c r="L35" s="2509">
        <v>175533</v>
      </c>
      <c r="M35" s="2509">
        <v>4518</v>
      </c>
      <c r="N35" s="2510">
        <v>0</v>
      </c>
    </row>
    <row r="36" spans="4:15" x14ac:dyDescent="0.3">
      <c r="D36" s="2521" t="s">
        <v>1076</v>
      </c>
      <c r="E36" s="2522">
        <v>96311</v>
      </c>
      <c r="F36" s="2522">
        <v>527574</v>
      </c>
      <c r="G36" s="2523">
        <v>623885</v>
      </c>
      <c r="H36" s="2524">
        <v>11976</v>
      </c>
      <c r="I36" s="2524">
        <v>48326</v>
      </c>
      <c r="J36" s="2525">
        <v>179027</v>
      </c>
      <c r="K36" s="2513">
        <f t="shared" si="3"/>
        <v>0.28695512794825967</v>
      </c>
      <c r="L36" s="2509">
        <v>623885</v>
      </c>
      <c r="M36" s="2509">
        <v>96311</v>
      </c>
      <c r="N36" s="2510">
        <v>0</v>
      </c>
    </row>
    <row r="37" spans="4:15" x14ac:dyDescent="0.3">
      <c r="D37" s="2514" t="s">
        <v>1077</v>
      </c>
      <c r="E37" s="2527">
        <v>379042</v>
      </c>
      <c r="F37" s="2527">
        <v>2057016</v>
      </c>
      <c r="G37" s="2528">
        <v>2436058</v>
      </c>
      <c r="H37" s="2529">
        <v>28750</v>
      </c>
      <c r="I37" s="2529">
        <v>180822</v>
      </c>
      <c r="J37" s="2527">
        <v>825324</v>
      </c>
      <c r="K37" s="2518">
        <f t="shared" si="3"/>
        <v>0.33879488912004557</v>
      </c>
      <c r="L37" s="2509">
        <v>2436058</v>
      </c>
      <c r="M37" s="2509">
        <v>379042</v>
      </c>
      <c r="N37" s="2510">
        <v>0</v>
      </c>
    </row>
    <row r="38" spans="4:15" x14ac:dyDescent="0.3">
      <c r="D38" s="2530" t="s">
        <v>145</v>
      </c>
      <c r="E38" s="2531"/>
      <c r="F38" s="2531"/>
      <c r="G38" s="2534"/>
      <c r="H38" s="2524"/>
      <c r="I38" s="2524"/>
      <c r="J38" s="2525"/>
      <c r="K38" s="2508"/>
      <c r="L38" s="2509">
        <v>0</v>
      </c>
      <c r="M38" s="2509">
        <v>0</v>
      </c>
      <c r="N38" s="2510">
        <v>0</v>
      </c>
    </row>
    <row r="39" spans="4:15" x14ac:dyDescent="0.3">
      <c r="D39" s="2521" t="s">
        <v>1072</v>
      </c>
      <c r="E39" s="2535">
        <v>163549</v>
      </c>
      <c r="F39" s="2535">
        <v>684199</v>
      </c>
      <c r="G39" s="2536">
        <v>847748</v>
      </c>
      <c r="H39" s="2537">
        <v>7122</v>
      </c>
      <c r="I39" s="2537">
        <v>96488</v>
      </c>
      <c r="J39" s="2535">
        <v>338965</v>
      </c>
      <c r="K39" s="2508">
        <f t="shared" ref="K39:K44" si="4">+J39/G39</f>
        <v>0.39984169824051485</v>
      </c>
      <c r="L39" s="2509">
        <v>847748</v>
      </c>
      <c r="M39" s="2509">
        <v>163549</v>
      </c>
      <c r="N39" s="2510">
        <v>0</v>
      </c>
    </row>
    <row r="40" spans="4:15" x14ac:dyDescent="0.3">
      <c r="D40" s="2521" t="s">
        <v>1073</v>
      </c>
      <c r="E40" s="2535">
        <v>108316</v>
      </c>
      <c r="F40" s="2535">
        <v>532184</v>
      </c>
      <c r="G40" s="2536">
        <v>640500</v>
      </c>
      <c r="H40" s="2537">
        <v>6005</v>
      </c>
      <c r="I40" s="2537">
        <v>17769</v>
      </c>
      <c r="J40" s="2535">
        <v>74574</v>
      </c>
      <c r="K40" s="2508">
        <f t="shared" si="4"/>
        <v>0.11643091334894613</v>
      </c>
      <c r="L40" s="2509">
        <v>640500</v>
      </c>
      <c r="M40" s="2509">
        <v>108316</v>
      </c>
      <c r="N40" s="2510">
        <v>0</v>
      </c>
    </row>
    <row r="41" spans="4:15" x14ac:dyDescent="0.3">
      <c r="D41" s="2521" t="s">
        <v>1074</v>
      </c>
      <c r="E41" s="2535">
        <v>16518</v>
      </c>
      <c r="F41" s="2535">
        <v>141107</v>
      </c>
      <c r="G41" s="2536">
        <v>157625</v>
      </c>
      <c r="H41" s="2537">
        <v>3057</v>
      </c>
      <c r="I41" s="2537">
        <v>18386</v>
      </c>
      <c r="J41" s="2535">
        <v>48197</v>
      </c>
      <c r="K41" s="2508">
        <f t="shared" si="4"/>
        <v>0.30577002379064233</v>
      </c>
      <c r="L41" s="2509">
        <v>157625</v>
      </c>
      <c r="M41" s="2509">
        <v>16518</v>
      </c>
      <c r="N41" s="2510">
        <v>0</v>
      </c>
    </row>
    <row r="42" spans="4:15" x14ac:dyDescent="0.3">
      <c r="D42" s="2521" t="s">
        <v>1075</v>
      </c>
      <c r="E42" s="2535">
        <v>4354</v>
      </c>
      <c r="F42" s="2535">
        <v>187382</v>
      </c>
      <c r="G42" s="2536">
        <v>191736</v>
      </c>
      <c r="H42" s="2537">
        <v>580</v>
      </c>
      <c r="I42" s="2537">
        <v>1295</v>
      </c>
      <c r="J42" s="2535">
        <v>184139</v>
      </c>
      <c r="K42" s="2508">
        <f t="shared" si="4"/>
        <v>0.9603778111570076</v>
      </c>
      <c r="L42" s="2509">
        <v>191736</v>
      </c>
      <c r="M42" s="2509">
        <v>4354</v>
      </c>
      <c r="N42" s="2510">
        <v>0</v>
      </c>
    </row>
    <row r="43" spans="4:15" x14ac:dyDescent="0.3">
      <c r="D43" s="2521" t="s">
        <v>1076</v>
      </c>
      <c r="E43" s="2535">
        <v>99433</v>
      </c>
      <c r="F43" s="2535">
        <v>552371</v>
      </c>
      <c r="G43" s="2536">
        <v>651804</v>
      </c>
      <c r="H43" s="2537">
        <v>11710</v>
      </c>
      <c r="I43" s="2537">
        <v>48455</v>
      </c>
      <c r="J43" s="2535">
        <v>204010</v>
      </c>
      <c r="K43" s="2513">
        <f t="shared" si="4"/>
        <v>0.31299286288516182</v>
      </c>
      <c r="L43" s="2509">
        <v>651804</v>
      </c>
      <c r="M43" s="2509">
        <v>99433</v>
      </c>
      <c r="N43" s="2510">
        <v>0</v>
      </c>
    </row>
    <row r="44" spans="4:15" x14ac:dyDescent="0.3">
      <c r="D44" s="2514" t="s">
        <v>1077</v>
      </c>
      <c r="E44" s="2538">
        <v>392170</v>
      </c>
      <c r="F44" s="2538">
        <v>2097243</v>
      </c>
      <c r="G44" s="2539">
        <v>2489413</v>
      </c>
      <c r="H44" s="2540">
        <v>28474</v>
      </c>
      <c r="I44" s="2540">
        <v>182393</v>
      </c>
      <c r="J44" s="2538">
        <v>849885</v>
      </c>
      <c r="K44" s="2518">
        <f t="shared" si="4"/>
        <v>0.34139975970238767</v>
      </c>
      <c r="L44" s="2509">
        <v>2489413</v>
      </c>
      <c r="M44" s="2509">
        <v>392170</v>
      </c>
      <c r="N44" s="2510">
        <v>0</v>
      </c>
    </row>
    <row r="45" spans="4:15" x14ac:dyDescent="0.3">
      <c r="D45" s="2541" t="s">
        <v>8</v>
      </c>
      <c r="E45" s="2531"/>
      <c r="F45" s="2531"/>
      <c r="G45" s="2534"/>
      <c r="H45" s="2524"/>
      <c r="I45" s="2524"/>
      <c r="J45" s="2525"/>
      <c r="K45" s="2508"/>
      <c r="L45" s="2509">
        <v>0</v>
      </c>
      <c r="M45" s="2509">
        <v>0</v>
      </c>
      <c r="N45" s="2510">
        <v>0</v>
      </c>
    </row>
    <row r="46" spans="4:15" x14ac:dyDescent="0.3">
      <c r="D46" s="2521" t="s">
        <v>1072</v>
      </c>
      <c r="E46" s="2535">
        <v>130492</v>
      </c>
      <c r="F46" s="2535">
        <v>676445</v>
      </c>
      <c r="G46" s="2536">
        <v>665251</v>
      </c>
      <c r="H46" s="2537">
        <v>8450</v>
      </c>
      <c r="I46" s="2537">
        <v>97198</v>
      </c>
      <c r="J46" s="2535">
        <v>353355</v>
      </c>
      <c r="K46" s="2508">
        <f t="shared" ref="K46:K51" si="5">+J46/G46</f>
        <v>0.53116041915006518</v>
      </c>
      <c r="L46" s="2542">
        <v>665251</v>
      </c>
      <c r="M46" s="2509">
        <v>-11194</v>
      </c>
      <c r="N46" s="2510">
        <v>-141686</v>
      </c>
      <c r="O46" s="2477">
        <v>-50920</v>
      </c>
    </row>
    <row r="47" spans="4:15" x14ac:dyDescent="0.3">
      <c r="D47" s="2521" t="s">
        <v>1073</v>
      </c>
      <c r="E47" s="2535">
        <v>60375</v>
      </c>
      <c r="F47" s="2535">
        <v>553368</v>
      </c>
      <c r="G47" s="2536">
        <v>573448</v>
      </c>
      <c r="H47" s="2537">
        <v>6400</v>
      </c>
      <c r="I47" s="2537">
        <v>18860</v>
      </c>
      <c r="J47" s="2535">
        <v>76132</v>
      </c>
      <c r="K47" s="2508">
        <f t="shared" si="5"/>
        <v>0.13276181972907744</v>
      </c>
      <c r="L47" s="2542">
        <v>573448</v>
      </c>
      <c r="M47" s="2509">
        <v>20080</v>
      </c>
      <c r="N47" s="2510">
        <v>-40295</v>
      </c>
      <c r="O47" s="2477">
        <v>2071487</v>
      </c>
    </row>
    <row r="48" spans="4:15" x14ac:dyDescent="0.3">
      <c r="D48" s="2521" t="s">
        <v>1074</v>
      </c>
      <c r="E48" s="2535">
        <v>130607</v>
      </c>
      <c r="F48" s="2535">
        <v>138835</v>
      </c>
      <c r="G48" s="2536">
        <v>135890</v>
      </c>
      <c r="H48" s="2537">
        <v>3091</v>
      </c>
      <c r="I48" s="2537">
        <v>18141</v>
      </c>
      <c r="J48" s="2535">
        <v>49983</v>
      </c>
      <c r="K48" s="2508">
        <f t="shared" si="5"/>
        <v>0.36781955993818527</v>
      </c>
      <c r="L48" s="2542">
        <v>135890</v>
      </c>
      <c r="M48" s="2509">
        <v>-2945</v>
      </c>
      <c r="N48" s="2510">
        <v>-133552</v>
      </c>
      <c r="O48" s="2477">
        <v>2020567</v>
      </c>
    </row>
    <row r="49" spans="4:18" x14ac:dyDescent="0.3">
      <c r="D49" s="2521" t="s">
        <v>1075</v>
      </c>
      <c r="E49" s="2535">
        <v>3063</v>
      </c>
      <c r="F49" s="2535">
        <v>212321</v>
      </c>
      <c r="G49" s="2536">
        <v>211881</v>
      </c>
      <c r="H49" s="2543">
        <v>452</v>
      </c>
      <c r="I49" s="2543">
        <v>1170</v>
      </c>
      <c r="J49" s="2535">
        <v>209462</v>
      </c>
      <c r="K49" s="2508">
        <f t="shared" si="5"/>
        <v>0.98858321416266681</v>
      </c>
      <c r="L49" s="2542">
        <v>211881</v>
      </c>
      <c r="M49" s="2509">
        <v>-440</v>
      </c>
      <c r="N49" s="2510">
        <v>-3503</v>
      </c>
      <c r="O49" s="2477">
        <v>25730</v>
      </c>
    </row>
    <row r="50" spans="4:18" x14ac:dyDescent="0.3">
      <c r="D50" s="2521" t="s">
        <v>1076</v>
      </c>
      <c r="E50" s="2535">
        <v>71865</v>
      </c>
      <c r="F50" s="2535">
        <v>540918</v>
      </c>
      <c r="G50" s="2536">
        <v>551180</v>
      </c>
      <c r="H50" s="2537">
        <v>11739</v>
      </c>
      <c r="I50" s="2537">
        <v>49298</v>
      </c>
      <c r="J50" s="2535">
        <v>201758</v>
      </c>
      <c r="K50" s="2513">
        <f t="shared" si="5"/>
        <v>0.36604738923763563</v>
      </c>
      <c r="L50" s="2542">
        <v>551180</v>
      </c>
      <c r="M50" s="2509">
        <v>10262</v>
      </c>
      <c r="N50" s="2510">
        <v>-61603</v>
      </c>
      <c r="O50" s="2477">
        <v>182582</v>
      </c>
    </row>
    <row r="51" spans="4:18" x14ac:dyDescent="0.3">
      <c r="D51" s="2514" t="s">
        <v>1077</v>
      </c>
      <c r="E51" s="2540">
        <v>280002</v>
      </c>
      <c r="F51" s="2538">
        <v>2121887</v>
      </c>
      <c r="G51" s="2539">
        <v>2137650</v>
      </c>
      <c r="H51" s="2540">
        <v>30132</v>
      </c>
      <c r="I51" s="2540">
        <v>184667</v>
      </c>
      <c r="J51" s="2538">
        <v>890690</v>
      </c>
      <c r="K51" s="2518">
        <f t="shared" si="5"/>
        <v>0.41666783617523917</v>
      </c>
      <c r="L51" s="2542">
        <v>2137650</v>
      </c>
      <c r="M51" s="2509">
        <v>15763</v>
      </c>
      <c r="N51" s="2510">
        <v>-264239</v>
      </c>
      <c r="O51" s="2477">
        <v>1011503</v>
      </c>
    </row>
    <row r="52" spans="4:18" x14ac:dyDescent="0.3">
      <c r="D52" s="2541" t="s">
        <v>9</v>
      </c>
      <c r="E52" s="2544"/>
      <c r="F52" s="2544"/>
      <c r="G52" s="2545"/>
      <c r="H52" s="2546"/>
      <c r="I52" s="2546"/>
      <c r="J52" s="2544"/>
      <c r="K52" s="2508"/>
      <c r="L52" s="2509">
        <v>0</v>
      </c>
      <c r="M52" s="2509">
        <v>0</v>
      </c>
      <c r="N52" s="2510">
        <v>0</v>
      </c>
      <c r="O52" s="2477">
        <v>800752</v>
      </c>
    </row>
    <row r="53" spans="4:18" x14ac:dyDescent="0.3">
      <c r="D53" s="2547" t="s">
        <v>1072</v>
      </c>
      <c r="E53" s="2525">
        <v>121621</v>
      </c>
      <c r="F53" s="2525">
        <v>638468</v>
      </c>
      <c r="G53" s="2536">
        <v>633641</v>
      </c>
      <c r="H53" s="2524">
        <v>5129</v>
      </c>
      <c r="I53" s="2524">
        <v>95200</v>
      </c>
      <c r="J53" s="2525">
        <v>342961</v>
      </c>
      <c r="K53" s="2508">
        <f t="shared" ref="K53:K58" si="6">+J53/G53</f>
        <v>0.54125443271505469</v>
      </c>
      <c r="L53" s="2542">
        <v>633641</v>
      </c>
      <c r="M53" s="2509">
        <v>-4827</v>
      </c>
      <c r="N53" s="2510">
        <v>-126448</v>
      </c>
      <c r="O53" s="2511">
        <v>0.34310000000000002</v>
      </c>
    </row>
    <row r="54" spans="4:18" x14ac:dyDescent="0.3">
      <c r="D54" s="2521" t="s">
        <v>1073</v>
      </c>
      <c r="E54" s="2525">
        <v>65663</v>
      </c>
      <c r="F54" s="2535">
        <v>534451</v>
      </c>
      <c r="G54" s="2536">
        <v>555145</v>
      </c>
      <c r="H54" s="2537">
        <v>6208</v>
      </c>
      <c r="I54" s="2537">
        <v>18672</v>
      </c>
      <c r="J54" s="2535">
        <v>71670</v>
      </c>
      <c r="K54" s="2508">
        <f t="shared" si="6"/>
        <v>0.12910140593898892</v>
      </c>
      <c r="L54" s="2542">
        <v>555145</v>
      </c>
      <c r="M54" s="2509">
        <v>20694</v>
      </c>
      <c r="N54" s="2510">
        <v>-44969</v>
      </c>
    </row>
    <row r="55" spans="4:18" x14ac:dyDescent="0.3">
      <c r="D55" s="2521" t="s">
        <v>1074</v>
      </c>
      <c r="E55" s="2525">
        <v>11279</v>
      </c>
      <c r="F55" s="2535">
        <v>131860</v>
      </c>
      <c r="G55" s="2536">
        <v>127392</v>
      </c>
      <c r="H55" s="2537">
        <v>2723</v>
      </c>
      <c r="I55" s="2537">
        <v>17506</v>
      </c>
      <c r="J55" s="2535">
        <v>46324</v>
      </c>
      <c r="K55" s="2508">
        <f t="shared" si="6"/>
        <v>0.36363350916855064</v>
      </c>
      <c r="L55" s="2542">
        <v>127392</v>
      </c>
      <c r="M55" s="2509">
        <v>-4468</v>
      </c>
      <c r="N55" s="2510">
        <v>-15747</v>
      </c>
    </row>
    <row r="56" spans="4:18" x14ac:dyDescent="0.3">
      <c r="D56" s="2521" t="s">
        <v>1075</v>
      </c>
      <c r="E56" s="2525">
        <v>2021</v>
      </c>
      <c r="F56" s="2535">
        <v>534866</v>
      </c>
      <c r="G56" s="2536">
        <v>232448</v>
      </c>
      <c r="H56" s="2537">
        <v>367</v>
      </c>
      <c r="I56" s="2537">
        <v>1132</v>
      </c>
      <c r="J56" s="2535">
        <v>230257</v>
      </c>
      <c r="K56" s="2508">
        <f t="shared" si="6"/>
        <v>0.99057423595814975</v>
      </c>
      <c r="L56" s="2542">
        <v>232448</v>
      </c>
      <c r="M56" s="2509">
        <v>-302418</v>
      </c>
      <c r="N56" s="2510">
        <v>-304439</v>
      </c>
    </row>
    <row r="57" spans="4:18" x14ac:dyDescent="0.3">
      <c r="D57" s="2521" t="s">
        <v>1076</v>
      </c>
      <c r="E57" s="2525">
        <v>79084</v>
      </c>
      <c r="F57" s="2535">
        <v>534866</v>
      </c>
      <c r="G57" s="2536">
        <v>471941</v>
      </c>
      <c r="H57" s="2543">
        <v>11303</v>
      </c>
      <c r="I57" s="2543">
        <v>50072</v>
      </c>
      <c r="J57" s="2535">
        <v>109540</v>
      </c>
      <c r="K57" s="2513">
        <f t="shared" si="6"/>
        <v>0.23210528434698405</v>
      </c>
      <c r="L57" s="2542">
        <v>471941</v>
      </c>
      <c r="M57" s="2509">
        <v>-62925</v>
      </c>
      <c r="N57" s="2510">
        <v>-142009</v>
      </c>
    </row>
    <row r="58" spans="4:18" x14ac:dyDescent="0.3">
      <c r="D58" s="2514" t="s">
        <v>1077</v>
      </c>
      <c r="E58" s="2548">
        <v>279638</v>
      </c>
      <c r="F58" s="2538">
        <v>2374511</v>
      </c>
      <c r="G58" s="2539">
        <v>2020567</v>
      </c>
      <c r="H58" s="2540">
        <v>25730</v>
      </c>
      <c r="I58" s="2540">
        <v>182582</v>
      </c>
      <c r="J58" s="2538">
        <v>800752</v>
      </c>
      <c r="K58" s="2518">
        <f t="shared" si="6"/>
        <v>0.39630064234445084</v>
      </c>
      <c r="L58" s="2542">
        <v>2020567</v>
      </c>
      <c r="M58" s="2509">
        <v>-353944</v>
      </c>
      <c r="N58" s="2510">
        <v>-633582</v>
      </c>
    </row>
    <row r="59" spans="4:18" x14ac:dyDescent="0.3">
      <c r="D59" s="2541" t="s">
        <v>10</v>
      </c>
      <c r="E59" s="2544"/>
      <c r="F59" s="2544"/>
      <c r="G59" s="2545"/>
      <c r="H59" s="2546"/>
      <c r="I59" s="2546"/>
      <c r="J59" s="2544"/>
      <c r="K59" s="2508"/>
      <c r="L59" s="2509">
        <v>0</v>
      </c>
      <c r="M59" s="2509">
        <v>0</v>
      </c>
      <c r="N59" s="2510">
        <v>0</v>
      </c>
      <c r="Q59" s="2549"/>
    </row>
    <row r="60" spans="4:18" x14ac:dyDescent="0.3">
      <c r="D60" s="2547" t="s">
        <v>1072</v>
      </c>
      <c r="E60" s="2535">
        <v>137216</v>
      </c>
      <c r="F60" s="2535">
        <v>623486</v>
      </c>
      <c r="G60" s="2536">
        <v>650613</v>
      </c>
      <c r="H60" s="2537">
        <v>5966</v>
      </c>
      <c r="I60" s="2537">
        <v>90868</v>
      </c>
      <c r="J60" s="2535">
        <v>352741</v>
      </c>
      <c r="K60" s="2508">
        <f t="shared" ref="K60:K66" si="7">+J60/G60</f>
        <v>0.54216715620499434</v>
      </c>
      <c r="L60" s="2509">
        <v>650613</v>
      </c>
      <c r="M60" s="2509">
        <v>27127</v>
      </c>
      <c r="N60" s="2510">
        <v>27127</v>
      </c>
      <c r="O60" s="2537">
        <v>13250</v>
      </c>
      <c r="P60" s="2537"/>
      <c r="Q60" s="2550"/>
      <c r="R60" s="2551"/>
    </row>
    <row r="61" spans="4:18" x14ac:dyDescent="0.3">
      <c r="D61" s="2521" t="s">
        <v>1073</v>
      </c>
      <c r="E61" s="2535">
        <v>89199</v>
      </c>
      <c r="F61" s="2535">
        <v>536093</v>
      </c>
      <c r="G61" s="2536">
        <v>574878</v>
      </c>
      <c r="H61" s="2537">
        <v>6325</v>
      </c>
      <c r="I61" s="2537">
        <v>20539</v>
      </c>
      <c r="J61" s="2535">
        <v>75027</v>
      </c>
      <c r="K61" s="2508">
        <f t="shared" si="7"/>
        <v>0.13050942982685021</v>
      </c>
      <c r="L61" s="2509">
        <v>574878</v>
      </c>
      <c r="M61" s="2509">
        <v>38785</v>
      </c>
      <c r="N61" s="2510">
        <v>38785</v>
      </c>
      <c r="O61" s="2537">
        <v>2085757</v>
      </c>
      <c r="P61" s="2537"/>
      <c r="Q61" s="2550"/>
      <c r="R61" s="2551"/>
    </row>
    <row r="62" spans="4:18" x14ac:dyDescent="0.3">
      <c r="D62" s="2521" t="s">
        <v>1074</v>
      </c>
      <c r="E62" s="2535">
        <v>13631</v>
      </c>
      <c r="F62" s="2535">
        <v>128639</v>
      </c>
      <c r="G62" s="2536">
        <v>124301</v>
      </c>
      <c r="H62" s="2537">
        <v>2513</v>
      </c>
      <c r="I62" s="2537">
        <v>16524</v>
      </c>
      <c r="J62" s="2535">
        <v>47039</v>
      </c>
      <c r="K62" s="2508">
        <f t="shared" si="7"/>
        <v>0.37842817032847686</v>
      </c>
      <c r="L62" s="2509">
        <v>124301</v>
      </c>
      <c r="M62" s="2509">
        <v>-4338</v>
      </c>
      <c r="N62" s="2510">
        <v>-4338</v>
      </c>
      <c r="O62" s="2537">
        <v>2099007</v>
      </c>
      <c r="P62" s="2537"/>
      <c r="Q62" s="2550"/>
      <c r="R62" s="2551"/>
    </row>
    <row r="63" spans="4:18" x14ac:dyDescent="0.3">
      <c r="D63" s="2521" t="s">
        <v>1078</v>
      </c>
      <c r="E63" s="2535">
        <v>18817</v>
      </c>
      <c r="F63" s="2535">
        <v>42192</v>
      </c>
      <c r="G63" s="2536">
        <v>47675</v>
      </c>
      <c r="H63" s="2537">
        <v>254</v>
      </c>
      <c r="I63" s="2537">
        <v>1270</v>
      </c>
      <c r="J63" s="2535">
        <v>11078</v>
      </c>
      <c r="K63" s="2508">
        <f t="shared" si="7"/>
        <v>0.23236497115888829</v>
      </c>
      <c r="L63" s="2509">
        <v>47675</v>
      </c>
      <c r="M63" s="2509">
        <v>5483</v>
      </c>
      <c r="N63" s="2510"/>
      <c r="O63" s="2537"/>
      <c r="P63" s="2537"/>
      <c r="Q63" s="2550"/>
      <c r="R63" s="2551"/>
    </row>
    <row r="64" spans="4:18" x14ac:dyDescent="0.3">
      <c r="D64" s="2521" t="s">
        <v>1075</v>
      </c>
      <c r="E64" s="2535">
        <v>2539</v>
      </c>
      <c r="F64" s="2535">
        <v>260209</v>
      </c>
      <c r="G64" s="2536">
        <v>260880</v>
      </c>
      <c r="H64" s="2537">
        <v>318</v>
      </c>
      <c r="I64" s="2537">
        <v>816</v>
      </c>
      <c r="J64" s="2535">
        <v>259108</v>
      </c>
      <c r="K64" s="2508">
        <f t="shared" si="7"/>
        <v>0.99320760502913219</v>
      </c>
      <c r="L64" s="2509">
        <v>260880</v>
      </c>
      <c r="M64" s="2509">
        <v>671</v>
      </c>
      <c r="N64" s="2510">
        <v>671</v>
      </c>
      <c r="O64" s="2537">
        <v>25986</v>
      </c>
      <c r="P64" s="2537"/>
      <c r="Q64" s="2550"/>
      <c r="R64" s="2551"/>
    </row>
    <row r="65" spans="1:18" x14ac:dyDescent="0.3">
      <c r="D65" s="2521" t="s">
        <v>1076</v>
      </c>
      <c r="E65" s="2535">
        <v>93825</v>
      </c>
      <c r="F65" s="2535">
        <v>537330</v>
      </c>
      <c r="G65" s="2536">
        <v>488335</v>
      </c>
      <c r="H65" s="2543"/>
      <c r="I65" s="2543">
        <v>50668</v>
      </c>
      <c r="J65" s="2535">
        <v>120089</v>
      </c>
      <c r="K65" s="2513">
        <f t="shared" si="7"/>
        <v>0.24591520165460187</v>
      </c>
      <c r="L65" s="2509">
        <v>488335</v>
      </c>
      <c r="M65" s="2509">
        <v>-48995</v>
      </c>
      <c r="N65" s="2510">
        <v>-48995</v>
      </c>
      <c r="O65" s="2543">
        <v>179415</v>
      </c>
      <c r="P65" s="2543"/>
      <c r="Q65" s="2552"/>
      <c r="R65" s="2551"/>
    </row>
    <row r="66" spans="1:18" x14ac:dyDescent="0.3">
      <c r="D66" s="2514" t="s">
        <v>1077</v>
      </c>
      <c r="E66" s="2538">
        <v>336798</v>
      </c>
      <c r="F66" s="2538">
        <v>2085757</v>
      </c>
      <c r="G66" s="2539">
        <v>2099007</v>
      </c>
      <c r="H66" s="2540">
        <v>25986</v>
      </c>
      <c r="I66" s="2540">
        <v>179415</v>
      </c>
      <c r="J66" s="2538">
        <v>854004</v>
      </c>
      <c r="K66" s="2518">
        <f t="shared" si="7"/>
        <v>0.40686095853896626</v>
      </c>
      <c r="L66" s="2509">
        <v>2099007</v>
      </c>
      <c r="M66" s="2509">
        <v>13250</v>
      </c>
      <c r="N66" s="2510">
        <v>13250</v>
      </c>
      <c r="O66" s="2540">
        <v>1039602</v>
      </c>
      <c r="P66" s="2540"/>
      <c r="Q66" s="2548"/>
      <c r="R66" s="2553"/>
    </row>
    <row r="67" spans="1:18" x14ac:dyDescent="0.3">
      <c r="D67" s="2541" t="s">
        <v>1079</v>
      </c>
      <c r="E67" s="2544"/>
      <c r="F67" s="2544"/>
      <c r="G67" s="2545"/>
      <c r="H67" s="2546"/>
      <c r="I67" s="2546"/>
      <c r="J67" s="2544"/>
      <c r="K67" s="2508"/>
      <c r="L67" s="2509"/>
      <c r="M67" s="2509"/>
      <c r="N67" s="2510"/>
      <c r="O67" s="2546"/>
      <c r="P67" s="2546"/>
      <c r="Q67" s="2554"/>
      <c r="R67" s="2555"/>
    </row>
    <row r="68" spans="1:18" x14ac:dyDescent="0.3">
      <c r="D68" s="2547" t="s">
        <v>1072</v>
      </c>
      <c r="E68" s="2535">
        <v>124549</v>
      </c>
      <c r="F68" s="2535">
        <v>613909</v>
      </c>
      <c r="G68" s="2536">
        <f t="shared" ref="G68:G74" si="8">SUM(E68:F68)</f>
        <v>738458</v>
      </c>
      <c r="H68" s="2537">
        <v>5435</v>
      </c>
      <c r="I68" s="2537">
        <v>82381</v>
      </c>
      <c r="J68" s="2535">
        <v>346593</v>
      </c>
      <c r="K68" s="2508">
        <f t="shared" ref="K68:K74" si="9">+J68/G68</f>
        <v>0.4693469364540705</v>
      </c>
      <c r="L68" s="2509"/>
      <c r="M68" s="2509"/>
      <c r="N68" s="2510"/>
      <c r="O68" s="2546"/>
      <c r="P68" s="2546"/>
      <c r="Q68" s="2554"/>
      <c r="R68" s="2555"/>
    </row>
    <row r="69" spans="1:18" x14ac:dyDescent="0.3">
      <c r="D69" s="2521" t="s">
        <v>1073</v>
      </c>
      <c r="E69" s="2535">
        <v>87337</v>
      </c>
      <c r="F69" s="2535">
        <v>563665</v>
      </c>
      <c r="G69" s="2536">
        <f t="shared" si="8"/>
        <v>651002</v>
      </c>
      <c r="H69" s="2537">
        <v>5943</v>
      </c>
      <c r="I69" s="2537">
        <v>19976</v>
      </c>
      <c r="J69" s="2535">
        <v>76076</v>
      </c>
      <c r="K69" s="2508">
        <f t="shared" si="9"/>
        <v>0.11685985603730864</v>
      </c>
      <c r="L69" s="2509"/>
      <c r="M69" s="2509"/>
      <c r="N69" s="2510"/>
      <c r="O69" s="2546"/>
      <c r="P69" s="2546"/>
      <c r="Q69" s="2554"/>
      <c r="R69" s="2555"/>
    </row>
    <row r="70" spans="1:18" x14ac:dyDescent="0.3">
      <c r="D70" s="2521" t="s">
        <v>1074</v>
      </c>
      <c r="E70" s="2535">
        <v>11548</v>
      </c>
      <c r="F70" s="2535">
        <v>121113</v>
      </c>
      <c r="G70" s="2536">
        <f t="shared" si="8"/>
        <v>132661</v>
      </c>
      <c r="H70" s="2537">
        <v>2291</v>
      </c>
      <c r="I70" s="2537">
        <v>16000</v>
      </c>
      <c r="J70" s="2535">
        <v>46399</v>
      </c>
      <c r="K70" s="2508">
        <f t="shared" si="9"/>
        <v>0.34975614536299288</v>
      </c>
      <c r="L70" s="2509"/>
      <c r="M70" s="2509"/>
      <c r="N70" s="2510"/>
      <c r="O70" s="2546"/>
      <c r="P70" s="2546"/>
      <c r="Q70" s="2554"/>
      <c r="R70" s="2555"/>
    </row>
    <row r="71" spans="1:18" x14ac:dyDescent="0.3">
      <c r="D71" s="2521" t="s">
        <v>1078</v>
      </c>
      <c r="E71" s="2535">
        <v>18027</v>
      </c>
      <c r="F71" s="2535">
        <v>44317</v>
      </c>
      <c r="G71" s="2536">
        <f t="shared" si="8"/>
        <v>62344</v>
      </c>
      <c r="H71" s="2537">
        <v>231</v>
      </c>
      <c r="I71" s="2537">
        <v>1234</v>
      </c>
      <c r="J71" s="2535">
        <v>11193</v>
      </c>
      <c r="K71" s="2508">
        <f t="shared" si="9"/>
        <v>0.17953612216091364</v>
      </c>
      <c r="L71" s="2509"/>
      <c r="M71" s="2509"/>
      <c r="N71" s="2510"/>
      <c r="O71" s="2546"/>
      <c r="P71" s="2546"/>
      <c r="Q71" s="2554"/>
      <c r="R71" s="2555"/>
    </row>
    <row r="72" spans="1:18" x14ac:dyDescent="0.3">
      <c r="D72" s="2521" t="s">
        <v>1075</v>
      </c>
      <c r="E72" s="2535">
        <v>3879</v>
      </c>
      <c r="F72" s="2535">
        <v>292762</v>
      </c>
      <c r="G72" s="2536">
        <f t="shared" si="8"/>
        <v>296641</v>
      </c>
      <c r="H72" s="2537">
        <v>293</v>
      </c>
      <c r="I72" s="2537">
        <v>752</v>
      </c>
      <c r="J72" s="2535">
        <v>293082</v>
      </c>
      <c r="K72" s="2508">
        <f t="shared" si="9"/>
        <v>0.98800233278609495</v>
      </c>
      <c r="L72" s="2509"/>
      <c r="M72" s="2509"/>
      <c r="N72" s="2510"/>
      <c r="O72" s="2546"/>
      <c r="P72" s="2546"/>
      <c r="Q72" s="2554"/>
      <c r="R72" s="2555"/>
    </row>
    <row r="73" spans="1:18" x14ac:dyDescent="0.3">
      <c r="D73" s="2521" t="s">
        <v>1076</v>
      </c>
      <c r="E73" s="2535">
        <v>94886</v>
      </c>
      <c r="F73" s="2535">
        <v>454385</v>
      </c>
      <c r="G73" s="2536">
        <f t="shared" si="8"/>
        <v>549271</v>
      </c>
      <c r="H73" s="2543">
        <v>10132</v>
      </c>
      <c r="I73" s="2543">
        <v>4919</v>
      </c>
      <c r="J73" s="2535">
        <v>117064</v>
      </c>
      <c r="K73" s="2513">
        <f t="shared" si="9"/>
        <v>0.21312612535524358</v>
      </c>
      <c r="L73" s="2509"/>
      <c r="M73" s="2509"/>
      <c r="N73" s="2510"/>
      <c r="O73" s="2546"/>
      <c r="P73" s="2546"/>
      <c r="Q73" s="2554"/>
      <c r="R73" s="2555"/>
    </row>
    <row r="74" spans="1:18" x14ac:dyDescent="0.3">
      <c r="D74" s="2514" t="s">
        <v>1077</v>
      </c>
      <c r="E74" s="2538">
        <v>324014</v>
      </c>
      <c r="F74" s="2538">
        <v>2123207</v>
      </c>
      <c r="G74" s="2539">
        <f t="shared" si="8"/>
        <v>2447221</v>
      </c>
      <c r="H74" s="2540">
        <v>24832</v>
      </c>
      <c r="I74" s="2540">
        <v>170675</v>
      </c>
      <c r="J74" s="2538">
        <v>963129</v>
      </c>
      <c r="K74" s="2518">
        <f t="shared" si="9"/>
        <v>0.39356028736268606</v>
      </c>
      <c r="L74" s="2509"/>
      <c r="M74" s="2509"/>
      <c r="N74" s="2510"/>
      <c r="O74" s="2546"/>
      <c r="P74" s="2546"/>
      <c r="Q74" s="2554"/>
      <c r="R74" s="2555"/>
    </row>
    <row r="75" spans="1:18" s="2562" customFormat="1" x14ac:dyDescent="0.3">
      <c r="A75" s="2556"/>
      <c r="B75" s="2557"/>
      <c r="C75" s="2557"/>
      <c r="D75" s="2558" t="s">
        <v>1080</v>
      </c>
      <c r="E75" s="2544"/>
      <c r="F75" s="2544"/>
      <c r="G75" s="2559"/>
      <c r="H75" s="2546"/>
      <c r="I75" s="2546"/>
      <c r="J75" s="2544"/>
      <c r="K75" s="2508"/>
      <c r="L75" s="2560">
        <v>0</v>
      </c>
      <c r="M75" s="2560">
        <v>0</v>
      </c>
      <c r="N75" s="2561">
        <v>0</v>
      </c>
      <c r="Q75" s="2563"/>
    </row>
    <row r="76" spans="1:18" x14ac:dyDescent="0.3">
      <c r="D76" s="2547" t="s">
        <v>1072</v>
      </c>
      <c r="E76" s="2535">
        <v>137238</v>
      </c>
      <c r="F76" s="2535">
        <v>617417</v>
      </c>
      <c r="G76" s="2536">
        <f t="shared" ref="G76:G82" si="10">SUM(E76:F76)</f>
        <v>754655</v>
      </c>
      <c r="H76" s="2537">
        <v>4980</v>
      </c>
      <c r="I76" s="2537">
        <v>87520</v>
      </c>
      <c r="J76" s="2535">
        <v>333671</v>
      </c>
      <c r="K76" s="2508">
        <f t="shared" ref="K76:K82" si="11">+J76/G76</f>
        <v>0.44215038660049955</v>
      </c>
      <c r="L76" s="2509">
        <v>0</v>
      </c>
      <c r="M76" s="2509">
        <v>0</v>
      </c>
      <c r="N76" s="2510">
        <v>0</v>
      </c>
      <c r="O76" s="2537">
        <v>13250</v>
      </c>
      <c r="P76" s="2537"/>
      <c r="Q76" s="2550"/>
      <c r="R76" s="2551"/>
    </row>
    <row r="77" spans="1:18" x14ac:dyDescent="0.3">
      <c r="D77" s="2521" t="s">
        <v>1073</v>
      </c>
      <c r="E77" s="2535">
        <v>110805</v>
      </c>
      <c r="F77" s="2535">
        <v>562768</v>
      </c>
      <c r="G77" s="2536">
        <f t="shared" si="10"/>
        <v>673573</v>
      </c>
      <c r="H77" s="2537">
        <v>5756</v>
      </c>
      <c r="I77" s="2537">
        <v>21649</v>
      </c>
      <c r="J77" s="2535">
        <v>71844</v>
      </c>
      <c r="K77" s="2508">
        <f t="shared" si="11"/>
        <v>0.10666104490530351</v>
      </c>
      <c r="L77" s="2509">
        <v>0</v>
      </c>
      <c r="M77" s="2509">
        <v>0</v>
      </c>
      <c r="N77" s="2510">
        <v>0</v>
      </c>
      <c r="O77" s="2537">
        <v>2085757</v>
      </c>
      <c r="P77" s="2537"/>
      <c r="Q77" s="2550"/>
      <c r="R77" s="2551"/>
    </row>
    <row r="78" spans="1:18" x14ac:dyDescent="0.3">
      <c r="D78" s="2521" t="s">
        <v>1074</v>
      </c>
      <c r="E78" s="2535">
        <v>13059</v>
      </c>
      <c r="F78" s="2535">
        <v>119733</v>
      </c>
      <c r="G78" s="2536">
        <f t="shared" si="10"/>
        <v>132792</v>
      </c>
      <c r="H78" s="2537">
        <v>1936</v>
      </c>
      <c r="I78" s="2537">
        <v>16954</v>
      </c>
      <c r="J78" s="2535">
        <v>45357</v>
      </c>
      <c r="K78" s="2508">
        <f t="shared" si="11"/>
        <v>0.34156425085848546</v>
      </c>
      <c r="L78" s="2509">
        <v>0</v>
      </c>
      <c r="M78" s="2509">
        <v>0</v>
      </c>
      <c r="N78" s="2510">
        <v>0</v>
      </c>
      <c r="O78" s="2537">
        <v>2099007</v>
      </c>
      <c r="P78" s="2537"/>
      <c r="Q78" s="2550"/>
      <c r="R78" s="2551"/>
    </row>
    <row r="79" spans="1:18" x14ac:dyDescent="0.3">
      <c r="D79" s="2521" t="s">
        <v>1078</v>
      </c>
      <c r="E79" s="2535">
        <v>24235</v>
      </c>
      <c r="F79" s="2535">
        <v>49120</v>
      </c>
      <c r="G79" s="2536">
        <f t="shared" si="10"/>
        <v>73355</v>
      </c>
      <c r="H79" s="2537">
        <v>212</v>
      </c>
      <c r="I79" s="2537">
        <v>1741</v>
      </c>
      <c r="J79" s="2535">
        <v>10807</v>
      </c>
      <c r="K79" s="2508">
        <f t="shared" si="11"/>
        <v>0.14732465407947651</v>
      </c>
      <c r="L79" s="2509">
        <v>0</v>
      </c>
      <c r="M79" s="2509">
        <v>0</v>
      </c>
      <c r="N79" s="2510"/>
      <c r="O79" s="2537"/>
      <c r="P79" s="2537"/>
      <c r="Q79" s="2550"/>
      <c r="R79" s="2551"/>
    </row>
    <row r="80" spans="1:18" x14ac:dyDescent="0.3">
      <c r="D80" s="2521" t="s">
        <v>1075</v>
      </c>
      <c r="E80" s="2535">
        <v>2331</v>
      </c>
      <c r="F80" s="2535">
        <v>345909</v>
      </c>
      <c r="G80" s="2536">
        <f t="shared" si="10"/>
        <v>348240</v>
      </c>
      <c r="H80" s="2537">
        <v>287</v>
      </c>
      <c r="I80" s="2537">
        <v>637</v>
      </c>
      <c r="J80" s="2535">
        <v>345376</v>
      </c>
      <c r="K80" s="2508">
        <f t="shared" si="11"/>
        <v>0.99177578681369172</v>
      </c>
      <c r="L80" s="2509">
        <v>0</v>
      </c>
      <c r="M80" s="2509">
        <v>0</v>
      </c>
      <c r="N80" s="2510">
        <v>0</v>
      </c>
      <c r="O80" s="2537">
        <v>25986</v>
      </c>
      <c r="P80" s="2537"/>
      <c r="Q80" s="2550"/>
      <c r="R80" s="2551"/>
    </row>
    <row r="81" spans="1:18" x14ac:dyDescent="0.3">
      <c r="D81" s="2521" t="s">
        <v>1076</v>
      </c>
      <c r="E81" s="2535">
        <v>101125</v>
      </c>
      <c r="F81" s="2535">
        <v>447773</v>
      </c>
      <c r="G81" s="2536">
        <f t="shared" si="10"/>
        <v>548898</v>
      </c>
      <c r="H81" s="2543">
        <v>9007</v>
      </c>
      <c r="I81" s="2543">
        <v>51412</v>
      </c>
      <c r="J81" s="2535">
        <v>111138</v>
      </c>
      <c r="K81" s="2513">
        <f t="shared" si="11"/>
        <v>0.20247477673447525</v>
      </c>
      <c r="L81" s="2509">
        <v>0</v>
      </c>
      <c r="M81" s="2509">
        <v>0</v>
      </c>
      <c r="N81" s="2510">
        <v>0</v>
      </c>
      <c r="O81" s="2543">
        <v>179415</v>
      </c>
      <c r="P81" s="2543"/>
      <c r="Q81" s="2552"/>
      <c r="R81" s="2551"/>
    </row>
    <row r="82" spans="1:18" x14ac:dyDescent="0.3">
      <c r="D82" s="2514" t="s">
        <v>1077</v>
      </c>
      <c r="E82" s="2538">
        <v>366269</v>
      </c>
      <c r="F82" s="2538">
        <v>2169927</v>
      </c>
      <c r="G82" s="2539">
        <f t="shared" si="10"/>
        <v>2536196</v>
      </c>
      <c r="H82" s="2540">
        <v>22608</v>
      </c>
      <c r="I82" s="2540">
        <v>180893</v>
      </c>
      <c r="J82" s="2538">
        <v>990097</v>
      </c>
      <c r="K82" s="2518">
        <f t="shared" si="11"/>
        <v>0.39038662627020942</v>
      </c>
      <c r="L82" s="2509">
        <v>0</v>
      </c>
      <c r="M82" s="2509">
        <v>0</v>
      </c>
      <c r="N82" s="2510">
        <v>0</v>
      </c>
      <c r="O82" s="2540">
        <v>1039602</v>
      </c>
      <c r="P82" s="2540"/>
      <c r="Q82" s="2548"/>
      <c r="R82" s="2553"/>
    </row>
    <row r="83" spans="1:18" x14ac:dyDescent="0.3">
      <c r="D83" s="2558" t="s">
        <v>1081</v>
      </c>
      <c r="E83" s="2544"/>
      <c r="F83" s="2544"/>
      <c r="G83" s="2559"/>
      <c r="H83" s="2546"/>
      <c r="I83" s="2546"/>
      <c r="J83" s="2544"/>
      <c r="K83" s="2508"/>
      <c r="L83" s="2509"/>
      <c r="M83" s="2509"/>
      <c r="N83" s="2510"/>
      <c r="O83" s="2546"/>
      <c r="P83" s="2546"/>
      <c r="Q83" s="2554"/>
      <c r="R83" s="2555"/>
    </row>
    <row r="84" spans="1:18" x14ac:dyDescent="0.3">
      <c r="D84" s="2547" t="s">
        <v>1072</v>
      </c>
      <c r="E84" s="2535">
        <v>146493</v>
      </c>
      <c r="F84" s="2535">
        <v>624700</v>
      </c>
      <c r="G84" s="2536">
        <v>771193</v>
      </c>
      <c r="H84" s="2535">
        <v>4910</v>
      </c>
      <c r="I84" s="2535">
        <v>91747</v>
      </c>
      <c r="J84" s="2535">
        <v>322076</v>
      </c>
      <c r="K84" s="2564">
        <v>0.41699999999999998</v>
      </c>
      <c r="L84" s="2565">
        <v>0.41699999999999998</v>
      </c>
      <c r="M84" s="2509"/>
      <c r="N84" s="2510"/>
      <c r="O84" s="2546"/>
      <c r="P84" s="2546"/>
      <c r="Q84" s="2554"/>
      <c r="R84" s="2555"/>
    </row>
    <row r="85" spans="1:18" x14ac:dyDescent="0.3">
      <c r="D85" s="2521" t="s">
        <v>1073</v>
      </c>
      <c r="E85" s="2535">
        <v>105792</v>
      </c>
      <c r="F85" s="2535">
        <v>558788</v>
      </c>
      <c r="G85" s="2536">
        <v>664580</v>
      </c>
      <c r="H85" s="2535">
        <v>5917</v>
      </c>
      <c r="I85" s="2535">
        <v>23803</v>
      </c>
      <c r="J85" s="2535">
        <v>68288</v>
      </c>
      <c r="K85" s="2564">
        <v>0.10199999999999999</v>
      </c>
      <c r="L85" s="2565">
        <v>0.10199999999999999</v>
      </c>
      <c r="M85" s="2509"/>
      <c r="N85" s="2510"/>
      <c r="O85" s="2546"/>
      <c r="P85" s="2546"/>
      <c r="Q85" s="2554"/>
      <c r="R85" s="2555"/>
    </row>
    <row r="86" spans="1:18" x14ac:dyDescent="0.3">
      <c r="D86" s="2521" t="s">
        <v>1074</v>
      </c>
      <c r="E86" s="2535">
        <v>14356</v>
      </c>
      <c r="F86" s="2535">
        <v>122398</v>
      </c>
      <c r="G86" s="2536">
        <v>136754</v>
      </c>
      <c r="H86" s="2535">
        <v>1952</v>
      </c>
      <c r="I86" s="2535">
        <v>17495</v>
      </c>
      <c r="J86" s="2535">
        <v>45517</v>
      </c>
      <c r="K86" s="2564">
        <v>0.33300000000000002</v>
      </c>
      <c r="L86" s="2565">
        <v>0.33300000000000002</v>
      </c>
      <c r="M86" s="2509"/>
      <c r="N86" s="2510"/>
      <c r="O86" s="2546"/>
      <c r="P86" s="2546"/>
      <c r="Q86" s="2554"/>
      <c r="R86" s="2555"/>
    </row>
    <row r="87" spans="1:18" x14ac:dyDescent="0.3">
      <c r="D87" s="2521" t="s">
        <v>1078</v>
      </c>
      <c r="E87" s="2535">
        <v>24066</v>
      </c>
      <c r="F87" s="2535">
        <v>52324</v>
      </c>
      <c r="G87" s="2536">
        <v>76390</v>
      </c>
      <c r="H87" s="2535">
        <v>221</v>
      </c>
      <c r="I87" s="2535">
        <v>1781</v>
      </c>
      <c r="J87" s="2535">
        <v>10811</v>
      </c>
      <c r="K87" s="2564">
        <v>0.14099999999999999</v>
      </c>
      <c r="L87" s="2565">
        <v>0.14099999999999999</v>
      </c>
      <c r="M87" s="2509"/>
      <c r="N87" s="2510"/>
      <c r="O87" s="2546"/>
      <c r="P87" s="2546"/>
      <c r="Q87" s="2554"/>
      <c r="R87" s="2555"/>
    </row>
    <row r="88" spans="1:18" x14ac:dyDescent="0.3">
      <c r="D88" s="2521" t="s">
        <v>1075</v>
      </c>
      <c r="E88" s="2535">
        <v>1773</v>
      </c>
      <c r="F88" s="2535">
        <v>350802</v>
      </c>
      <c r="G88" s="2536">
        <v>352575</v>
      </c>
      <c r="H88" s="2535">
        <v>279</v>
      </c>
      <c r="I88" s="2535">
        <v>498</v>
      </c>
      <c r="J88" s="2535">
        <v>350464</v>
      </c>
      <c r="K88" s="2564">
        <v>0.99399999999999999</v>
      </c>
      <c r="L88" s="2565">
        <v>0.99399999999999999</v>
      </c>
      <c r="M88" s="2509"/>
      <c r="N88" s="2510"/>
      <c r="O88" s="2546"/>
      <c r="P88" s="2546"/>
      <c r="Q88" s="2554"/>
      <c r="R88" s="2555"/>
    </row>
    <row r="89" spans="1:18" x14ac:dyDescent="0.3">
      <c r="D89" s="2521" t="s">
        <v>1076</v>
      </c>
      <c r="E89" s="2535">
        <v>107609</v>
      </c>
      <c r="F89" s="2535">
        <v>435452</v>
      </c>
      <c r="G89" s="2536">
        <v>543061</v>
      </c>
      <c r="H89" s="2535">
        <v>8868</v>
      </c>
      <c r="I89" s="2535">
        <v>52621</v>
      </c>
      <c r="J89" s="2535">
        <v>103124</v>
      </c>
      <c r="K89" s="2566">
        <v>0.19</v>
      </c>
      <c r="L89" s="2567">
        <v>0.19</v>
      </c>
      <c r="M89" s="2509"/>
      <c r="N89" s="2510"/>
      <c r="O89" s="2546"/>
      <c r="P89" s="2546"/>
      <c r="Q89" s="2554"/>
      <c r="R89" s="2555"/>
    </row>
    <row r="90" spans="1:18" x14ac:dyDescent="0.3">
      <c r="D90" s="2514" t="s">
        <v>1077</v>
      </c>
      <c r="E90" s="2538">
        <v>400089</v>
      </c>
      <c r="F90" s="2538">
        <v>2144464</v>
      </c>
      <c r="G90" s="2539">
        <v>2544553</v>
      </c>
      <c r="H90" s="2538">
        <v>22207</v>
      </c>
      <c r="I90" s="2538">
        <v>187945</v>
      </c>
      <c r="J90" s="2538">
        <v>900280</v>
      </c>
      <c r="K90" s="2568">
        <v>0.35399999999999998</v>
      </c>
      <c r="L90" s="2569">
        <v>0.35399999999999998</v>
      </c>
      <c r="M90" s="2509"/>
      <c r="N90" s="2510"/>
      <c r="O90" s="2546"/>
      <c r="P90" s="2546"/>
      <c r="Q90" s="2554"/>
      <c r="R90" s="2555"/>
    </row>
    <row r="91" spans="1:18" x14ac:dyDescent="0.3">
      <c r="D91" s="2570"/>
      <c r="E91" s="2571"/>
      <c r="F91" s="2571"/>
      <c r="G91" s="2559"/>
      <c r="H91" s="2572"/>
      <c r="I91" s="2572"/>
      <c r="J91" s="2571"/>
      <c r="K91" s="2573"/>
      <c r="L91" s="2509"/>
      <c r="M91" s="2509"/>
      <c r="N91" s="2510"/>
      <c r="O91" s="2546"/>
      <c r="P91" s="2546"/>
      <c r="Q91" s="2554"/>
      <c r="R91" s="2555"/>
    </row>
    <row r="92" spans="1:18" x14ac:dyDescent="0.3">
      <c r="D92" s="2558" t="s">
        <v>1082</v>
      </c>
      <c r="E92" s="2544"/>
      <c r="F92" s="2544"/>
      <c r="G92" s="2546"/>
      <c r="H92" s="2546"/>
      <c r="I92" s="2546"/>
      <c r="J92" s="2544"/>
      <c r="K92" s="2564"/>
      <c r="L92" s="2509"/>
      <c r="M92" s="2509"/>
      <c r="N92" s="2510"/>
      <c r="O92" s="2546"/>
      <c r="P92" s="2546"/>
      <c r="Q92" s="2554"/>
      <c r="R92" s="2555"/>
    </row>
    <row r="93" spans="1:18" x14ac:dyDescent="0.3">
      <c r="D93" s="2547" t="s">
        <v>1072</v>
      </c>
      <c r="E93" s="2535">
        <v>155632</v>
      </c>
      <c r="F93" s="2535">
        <v>630510</v>
      </c>
      <c r="G93" s="2536">
        <v>786142</v>
      </c>
      <c r="H93" s="2535">
        <v>5143</v>
      </c>
      <c r="I93" s="2535">
        <v>97385</v>
      </c>
      <c r="J93" s="2535">
        <v>314862</v>
      </c>
      <c r="K93" s="2564">
        <v>0.4</v>
      </c>
      <c r="L93" s="2565">
        <v>0.4</v>
      </c>
      <c r="O93" s="2477">
        <v>854004</v>
      </c>
    </row>
    <row r="94" spans="1:18" ht="16.5" customHeight="1" x14ac:dyDescent="0.3">
      <c r="A94" s="2574">
        <v>7</v>
      </c>
      <c r="B94" s="2574" t="s">
        <v>29</v>
      </c>
      <c r="C94" s="2574"/>
      <c r="D94" s="2521" t="s">
        <v>1073</v>
      </c>
      <c r="E94" s="2535">
        <v>110380</v>
      </c>
      <c r="F94" s="2535">
        <v>548514</v>
      </c>
      <c r="G94" s="2536">
        <v>658894</v>
      </c>
      <c r="H94" s="2535">
        <v>5587</v>
      </c>
      <c r="I94" s="2535">
        <v>26065</v>
      </c>
      <c r="J94" s="2535">
        <v>65115</v>
      </c>
      <c r="K94" s="2564">
        <v>9.8000000000000004E-2</v>
      </c>
      <c r="L94" s="2565">
        <v>9.8000000000000004E-2</v>
      </c>
      <c r="O94" s="2511">
        <v>0.40686095853896626</v>
      </c>
    </row>
    <row r="95" spans="1:18" ht="18.75" customHeight="1" x14ac:dyDescent="0.3">
      <c r="A95" s="2575">
        <v>8</v>
      </c>
      <c r="B95" s="2575" t="s">
        <v>32</v>
      </c>
      <c r="C95" s="2575"/>
      <c r="D95" s="2521" t="s">
        <v>1074</v>
      </c>
      <c r="E95" s="2535">
        <v>14868</v>
      </c>
      <c r="F95" s="2535">
        <v>121576</v>
      </c>
      <c r="G95" s="2536">
        <v>136444</v>
      </c>
      <c r="H95" s="2535">
        <v>1874</v>
      </c>
      <c r="I95" s="2535">
        <v>18089</v>
      </c>
      <c r="J95" s="2535">
        <v>45092</v>
      </c>
      <c r="K95" s="2564">
        <v>0.33</v>
      </c>
      <c r="L95" s="2565">
        <v>0.33</v>
      </c>
    </row>
    <row r="96" spans="1:18" ht="18.75" customHeight="1" x14ac:dyDescent="0.3">
      <c r="A96" s="2575"/>
      <c r="B96" s="2575"/>
      <c r="C96" s="2575"/>
      <c r="D96" s="2521" t="s">
        <v>1078</v>
      </c>
      <c r="E96" s="2535">
        <v>21805</v>
      </c>
      <c r="F96" s="2535">
        <v>55320</v>
      </c>
      <c r="G96" s="2536">
        <v>77125</v>
      </c>
      <c r="H96" s="2535">
        <v>285</v>
      </c>
      <c r="I96" s="2535">
        <v>2130</v>
      </c>
      <c r="J96" s="2535">
        <v>10271</v>
      </c>
      <c r="K96" s="2564">
        <v>0.13300000000000001</v>
      </c>
      <c r="L96" s="2565"/>
    </row>
    <row r="97" spans="1:12" ht="18.75" customHeight="1" x14ac:dyDescent="0.3">
      <c r="A97" s="2575"/>
      <c r="B97" s="2575"/>
      <c r="C97" s="2575"/>
      <c r="D97" s="2521" t="s">
        <v>1075</v>
      </c>
      <c r="E97" s="2535">
        <v>1316</v>
      </c>
      <c r="F97" s="2535">
        <v>350299</v>
      </c>
      <c r="G97" s="2536">
        <v>351545</v>
      </c>
      <c r="H97" s="2535">
        <v>183</v>
      </c>
      <c r="I97" s="2535">
        <v>407</v>
      </c>
      <c r="J97" s="2535">
        <v>349927</v>
      </c>
      <c r="K97" s="2564">
        <v>0.995</v>
      </c>
      <c r="L97" s="2565"/>
    </row>
    <row r="98" spans="1:12" ht="18.75" customHeight="1" x14ac:dyDescent="0.3">
      <c r="A98" s="2575"/>
      <c r="B98" s="2575"/>
      <c r="C98" s="2575"/>
      <c r="D98" s="2521" t="s">
        <v>1076</v>
      </c>
      <c r="E98" s="2535">
        <v>108085</v>
      </c>
      <c r="F98" s="2535">
        <v>416811</v>
      </c>
      <c r="G98" s="2536">
        <v>524896</v>
      </c>
      <c r="H98" s="2535">
        <v>8123</v>
      </c>
      <c r="I98" s="2535">
        <v>52982</v>
      </c>
      <c r="J98" s="2535">
        <v>93376</v>
      </c>
      <c r="K98" s="2564">
        <v>0.17799999999999999</v>
      </c>
      <c r="L98" s="2565"/>
    </row>
    <row r="99" spans="1:12" ht="18.75" customHeight="1" x14ac:dyDescent="0.3">
      <c r="A99" s="2575"/>
      <c r="B99" s="2575"/>
      <c r="C99" s="2575"/>
      <c r="D99" s="2514" t="s">
        <v>1077</v>
      </c>
      <c r="E99" s="2538">
        <v>412086</v>
      </c>
      <c r="F99" s="2538">
        <v>2122960</v>
      </c>
      <c r="G99" s="2539">
        <v>2535046</v>
      </c>
      <c r="H99" s="2540">
        <v>21195</v>
      </c>
      <c r="I99" s="2540">
        <v>197058</v>
      </c>
      <c r="J99" s="2538">
        <v>878643</v>
      </c>
      <c r="K99" s="2553">
        <v>0.34699999999999998</v>
      </c>
      <c r="L99" s="2565"/>
    </row>
    <row r="100" spans="1:12" ht="18.75" customHeight="1" x14ac:dyDescent="0.3">
      <c r="A100" s="2575"/>
      <c r="B100" s="2575"/>
      <c r="C100" s="2575"/>
      <c r="D100" s="2576" t="s">
        <v>1083</v>
      </c>
      <c r="E100" s="2577"/>
      <c r="F100" s="2577"/>
      <c r="G100" s="2578"/>
      <c r="H100" s="2578"/>
      <c r="I100" s="2578"/>
      <c r="J100" s="2577"/>
      <c r="K100" s="2579"/>
      <c r="L100" s="2565"/>
    </row>
    <row r="101" spans="1:12" ht="18.75" customHeight="1" x14ac:dyDescent="0.3">
      <c r="A101" s="2575"/>
      <c r="B101" s="2575"/>
      <c r="C101" s="2575"/>
      <c r="D101" s="2580" t="s">
        <v>1072</v>
      </c>
      <c r="E101" s="2581">
        <v>163572</v>
      </c>
      <c r="F101" s="2581">
        <v>615577</v>
      </c>
      <c r="G101" s="2582">
        <f>SUM(E101:F101)</f>
        <v>779149</v>
      </c>
      <c r="H101" s="2581">
        <v>4354</v>
      </c>
      <c r="I101" s="2581">
        <v>101736</v>
      </c>
      <c r="J101" s="2581">
        <v>301259</v>
      </c>
      <c r="K101" s="2579">
        <v>0.3866</v>
      </c>
      <c r="L101" s="2565"/>
    </row>
    <row r="102" spans="1:12" ht="18.75" customHeight="1" x14ac:dyDescent="0.3">
      <c r="A102" s="2575"/>
      <c r="B102" s="2575"/>
      <c r="C102" s="2575"/>
      <c r="D102" s="2583" t="s">
        <v>1073</v>
      </c>
      <c r="E102" s="2581">
        <v>115914</v>
      </c>
      <c r="F102" s="2581">
        <v>543597</v>
      </c>
      <c r="G102" s="2582">
        <f>SUM(E102:F102)</f>
        <v>659511</v>
      </c>
      <c r="H102" s="2581">
        <v>5247</v>
      </c>
      <c r="I102" s="2581">
        <v>27456</v>
      </c>
      <c r="J102" s="2581">
        <v>62479</v>
      </c>
      <c r="K102" s="2579">
        <v>9.4700000000000006E-2</v>
      </c>
      <c r="L102" s="2565"/>
    </row>
    <row r="103" spans="1:12" ht="18.75" customHeight="1" x14ac:dyDescent="0.3">
      <c r="A103" s="2575"/>
      <c r="B103" s="2575"/>
      <c r="C103" s="2575"/>
      <c r="D103" s="2583" t="s">
        <v>1074</v>
      </c>
      <c r="E103" s="2581">
        <v>15402</v>
      </c>
      <c r="F103" s="2581">
        <v>116986</v>
      </c>
      <c r="G103" s="2582">
        <f>SUM(E103:F103)</f>
        <v>132388</v>
      </c>
      <c r="H103" s="2581">
        <v>1588</v>
      </c>
      <c r="I103" s="2581">
        <v>18410</v>
      </c>
      <c r="J103" s="2581">
        <v>43194</v>
      </c>
      <c r="K103" s="2579">
        <v>0.32629999999999998</v>
      </c>
      <c r="L103" s="2565"/>
    </row>
    <row r="104" spans="1:12" ht="18.75" customHeight="1" x14ac:dyDescent="0.3">
      <c r="A104" s="2575"/>
      <c r="B104" s="2575"/>
      <c r="C104" s="2575"/>
      <c r="D104" s="2583" t="s">
        <v>1084</v>
      </c>
      <c r="E104" s="2581">
        <v>12775</v>
      </c>
      <c r="F104" s="2581">
        <v>16741</v>
      </c>
      <c r="G104" s="2582">
        <f>SUM(E104:F104)</f>
        <v>29516</v>
      </c>
      <c r="H104" s="2581">
        <v>100</v>
      </c>
      <c r="I104" s="2581">
        <v>424</v>
      </c>
      <c r="J104" s="2581">
        <v>2034</v>
      </c>
      <c r="K104" s="2579">
        <v>6.8900000000000003E-2</v>
      </c>
      <c r="L104" s="2565"/>
    </row>
    <row r="105" spans="1:12" ht="18.75" customHeight="1" x14ac:dyDescent="0.3">
      <c r="A105" s="2575"/>
      <c r="B105" s="2575"/>
      <c r="C105" s="2575"/>
      <c r="D105" s="2583" t="s">
        <v>1085</v>
      </c>
      <c r="E105" s="2581"/>
      <c r="F105" s="2581"/>
      <c r="G105" s="2582"/>
      <c r="H105" s="2581"/>
      <c r="I105" s="2581"/>
      <c r="J105" s="2581"/>
      <c r="K105" s="2579"/>
      <c r="L105" s="2565"/>
    </row>
    <row r="106" spans="1:12" ht="18.75" customHeight="1" x14ac:dyDescent="0.3">
      <c r="A106" s="2575"/>
      <c r="B106" s="2575"/>
      <c r="C106" s="2575"/>
      <c r="D106" s="2583" t="s">
        <v>1086</v>
      </c>
      <c r="E106" s="2581"/>
      <c r="F106" s="2581"/>
      <c r="G106" s="2582"/>
      <c r="H106" s="2581"/>
      <c r="I106" s="2581"/>
      <c r="J106" s="2581"/>
      <c r="K106" s="2579"/>
      <c r="L106" s="2565"/>
    </row>
    <row r="107" spans="1:12" ht="18.75" customHeight="1" x14ac:dyDescent="0.3">
      <c r="A107" s="2575"/>
      <c r="B107" s="2575"/>
      <c r="C107" s="2575"/>
      <c r="D107" s="2583" t="s">
        <v>1087</v>
      </c>
      <c r="E107" s="2581">
        <v>396</v>
      </c>
      <c r="F107" s="2581">
        <v>16134</v>
      </c>
      <c r="G107" s="2582">
        <f>SUM(E107:F107)</f>
        <v>16530</v>
      </c>
      <c r="H107" s="2581">
        <v>68</v>
      </c>
      <c r="I107" s="2581">
        <v>61</v>
      </c>
      <c r="J107" s="2581">
        <v>16204</v>
      </c>
      <c r="K107" s="2579">
        <v>0.98029999999999995</v>
      </c>
      <c r="L107" s="2565"/>
    </row>
    <row r="108" spans="1:12" ht="18.75" customHeight="1" x14ac:dyDescent="0.3">
      <c r="A108" s="2575"/>
      <c r="B108" s="2575"/>
      <c r="C108" s="2575"/>
      <c r="D108" s="2583" t="s">
        <v>1088</v>
      </c>
      <c r="E108" s="2581">
        <v>592</v>
      </c>
      <c r="F108" s="2581">
        <v>292689</v>
      </c>
      <c r="G108" s="2582">
        <f>SUM(E108:F108)</f>
        <v>293281</v>
      </c>
      <c r="H108" s="2581">
        <v>100</v>
      </c>
      <c r="I108" s="2581">
        <v>232</v>
      </c>
      <c r="J108" s="2581">
        <v>292502</v>
      </c>
      <c r="K108" s="2579">
        <v>0.99729999999999996</v>
      </c>
      <c r="L108" s="2565"/>
    </row>
    <row r="109" spans="1:12" ht="18.75" customHeight="1" x14ac:dyDescent="0.3">
      <c r="A109" s="2575"/>
      <c r="B109" s="2575"/>
      <c r="C109" s="2575"/>
      <c r="D109" s="2583" t="s">
        <v>1089</v>
      </c>
      <c r="E109" s="2581">
        <v>470</v>
      </c>
      <c r="F109" s="2581">
        <v>75038</v>
      </c>
      <c r="G109" s="2582">
        <f>SUM(E109:F109)</f>
        <v>75508</v>
      </c>
      <c r="H109" s="2581">
        <v>20</v>
      </c>
      <c r="I109" s="2581">
        <v>113</v>
      </c>
      <c r="J109" s="2581">
        <v>75049</v>
      </c>
      <c r="K109" s="2579">
        <v>0.99399999999999999</v>
      </c>
      <c r="L109" s="2565"/>
    </row>
    <row r="110" spans="1:12" ht="18.75" customHeight="1" x14ac:dyDescent="0.3">
      <c r="A110" s="2575"/>
      <c r="B110" s="2575"/>
      <c r="C110" s="2575"/>
      <c r="D110" s="2583" t="s">
        <v>1090</v>
      </c>
      <c r="E110" s="2581">
        <v>62363</v>
      </c>
      <c r="F110" s="2581">
        <v>329924</v>
      </c>
      <c r="G110" s="2582">
        <f>SUM(E110:F110)</f>
        <v>392287</v>
      </c>
      <c r="H110" s="2581">
        <v>4838</v>
      </c>
      <c r="I110" s="2581">
        <v>36775</v>
      </c>
      <c r="J110" s="2581">
        <v>65187</v>
      </c>
      <c r="K110" s="2579">
        <v>0.16600000000000001</v>
      </c>
      <c r="L110" s="2565"/>
    </row>
    <row r="111" spans="1:12" ht="18.75" customHeight="1" x14ac:dyDescent="0.3">
      <c r="A111" s="2575"/>
      <c r="B111" s="2575"/>
      <c r="C111" s="2575"/>
      <c r="D111" s="2583" t="s">
        <v>1091</v>
      </c>
      <c r="E111" s="2581">
        <v>47825</v>
      </c>
      <c r="F111" s="2581">
        <v>73552</v>
      </c>
      <c r="G111" s="2582">
        <f>SUM(E111:F111)</f>
        <v>121377</v>
      </c>
      <c r="H111" s="2581">
        <v>2513</v>
      </c>
      <c r="I111" s="2581">
        <v>16379</v>
      </c>
      <c r="J111" s="2581">
        <v>20446</v>
      </c>
      <c r="K111" s="2579">
        <v>0.16850000000000001</v>
      </c>
      <c r="L111" s="2565"/>
    </row>
    <row r="112" spans="1:12" ht="18.75" customHeight="1" x14ac:dyDescent="0.3">
      <c r="A112" s="2575"/>
      <c r="B112" s="2575"/>
      <c r="C112" s="2575"/>
      <c r="D112" s="2584" t="s">
        <v>1077</v>
      </c>
      <c r="E112" s="2585"/>
      <c r="F112" s="2585"/>
      <c r="G112" s="2586"/>
      <c r="H112" s="2587"/>
      <c r="I112" s="2587"/>
      <c r="J112" s="2585"/>
      <c r="K112" s="2588"/>
      <c r="L112" s="2565"/>
    </row>
    <row r="113" spans="1:26" ht="18.75" customHeight="1" x14ac:dyDescent="0.3">
      <c r="A113" s="2575"/>
      <c r="B113" s="2575"/>
      <c r="C113" s="2575"/>
      <c r="D113" s="2576" t="s">
        <v>1092</v>
      </c>
      <c r="E113" s="2577"/>
      <c r="F113" s="2577"/>
      <c r="G113" s="2578"/>
      <c r="H113" s="2578"/>
      <c r="I113" s="2578"/>
      <c r="J113" s="2577"/>
      <c r="K113" s="2579"/>
      <c r="L113" s="2565"/>
    </row>
    <row r="114" spans="1:26" ht="18.75" customHeight="1" x14ac:dyDescent="0.3">
      <c r="A114" s="2575"/>
      <c r="B114" s="2575"/>
      <c r="C114" s="2575"/>
      <c r="D114" s="2580" t="s">
        <v>1072</v>
      </c>
      <c r="E114" s="2581">
        <v>163861</v>
      </c>
      <c r="F114" s="2581">
        <v>601985</v>
      </c>
      <c r="G114" s="2582">
        <f>SUM(E114:F114)</f>
        <v>765846</v>
      </c>
      <c r="H114" s="2581">
        <v>3693</v>
      </c>
      <c r="I114" s="2581">
        <v>97655</v>
      </c>
      <c r="J114" s="2581">
        <v>290180</v>
      </c>
      <c r="K114" s="2579">
        <v>0.37890000000000001</v>
      </c>
      <c r="L114" s="2565"/>
    </row>
    <row r="115" spans="1:26" ht="18.75" customHeight="1" x14ac:dyDescent="0.3">
      <c r="A115" s="2575"/>
      <c r="B115" s="2575"/>
      <c r="C115" s="2575"/>
      <c r="D115" s="2583" t="s">
        <v>1073</v>
      </c>
      <c r="E115" s="2581">
        <v>116476</v>
      </c>
      <c r="F115" s="2581">
        <v>510627</v>
      </c>
      <c r="G115" s="2582">
        <f>SUM(E115:F115)</f>
        <v>627103</v>
      </c>
      <c r="H115" s="2581">
        <v>4776</v>
      </c>
      <c r="I115" s="2581">
        <v>30696</v>
      </c>
      <c r="J115" s="2581">
        <v>56978</v>
      </c>
      <c r="K115" s="2579">
        <v>9.0899999999999995E-2</v>
      </c>
      <c r="L115" s="2565"/>
    </row>
    <row r="116" spans="1:26" ht="18.75" customHeight="1" x14ac:dyDescent="0.3">
      <c r="A116" s="2575"/>
      <c r="B116" s="2575"/>
      <c r="C116" s="2575"/>
      <c r="D116" s="2583" t="s">
        <v>1074</v>
      </c>
      <c r="E116" s="2581">
        <v>15193</v>
      </c>
      <c r="F116" s="2581">
        <v>112063</v>
      </c>
      <c r="G116" s="2582">
        <f>SUM(E116:F116)</f>
        <v>127256</v>
      </c>
      <c r="H116" s="2581">
        <v>1225</v>
      </c>
      <c r="I116" s="2581">
        <v>17691</v>
      </c>
      <c r="J116" s="2581">
        <v>42515</v>
      </c>
      <c r="K116" s="2579">
        <v>0.33410000000000001</v>
      </c>
      <c r="L116" s="2565"/>
    </row>
    <row r="117" spans="1:26" ht="18.75" customHeight="1" x14ac:dyDescent="0.3">
      <c r="A117" s="2575"/>
      <c r="B117" s="2575"/>
      <c r="C117" s="2575"/>
      <c r="D117" s="2583" t="s">
        <v>1084</v>
      </c>
      <c r="E117" s="2581">
        <v>11475</v>
      </c>
      <c r="F117" s="2581">
        <v>16356</v>
      </c>
      <c r="G117" s="2582">
        <f>SUM(E117:F117)</f>
        <v>27831</v>
      </c>
      <c r="H117" s="2581">
        <v>157</v>
      </c>
      <c r="I117" s="2581">
        <v>547</v>
      </c>
      <c r="J117" s="2581">
        <v>354</v>
      </c>
      <c r="K117" s="2579">
        <v>1.2699999999999999E-2</v>
      </c>
      <c r="L117" s="2565"/>
    </row>
    <row r="118" spans="1:26" ht="18.75" customHeight="1" x14ac:dyDescent="0.3">
      <c r="A118" s="2575"/>
      <c r="B118" s="2575"/>
      <c r="C118" s="2575"/>
      <c r="D118" s="2583" t="s">
        <v>1085</v>
      </c>
      <c r="E118" s="2581"/>
      <c r="F118" s="2581"/>
      <c r="G118" s="2582"/>
      <c r="H118" s="2581"/>
      <c r="I118" s="2581"/>
      <c r="J118" s="2581"/>
      <c r="K118" s="2579"/>
      <c r="L118" s="2565"/>
    </row>
    <row r="119" spans="1:26" ht="12.75" customHeight="1" x14ac:dyDescent="0.3">
      <c r="A119" s="2473">
        <v>9</v>
      </c>
      <c r="B119" s="2473" t="s">
        <v>31</v>
      </c>
      <c r="C119" s="2473"/>
      <c r="D119" s="2583" t="s">
        <v>1086</v>
      </c>
      <c r="E119" s="2581"/>
      <c r="F119" s="2581"/>
      <c r="G119" s="2582"/>
      <c r="H119" s="2581"/>
      <c r="I119" s="2581"/>
      <c r="J119" s="2581"/>
      <c r="K119" s="2579"/>
      <c r="L119" s="2565">
        <v>0.13300000000000001</v>
      </c>
    </row>
    <row r="120" spans="1:26" ht="12.75" customHeight="1" x14ac:dyDescent="0.3">
      <c r="B120" s="2473"/>
      <c r="C120" s="2473"/>
      <c r="D120" s="2583" t="s">
        <v>1087</v>
      </c>
      <c r="E120" s="2581">
        <v>303</v>
      </c>
      <c r="F120" s="2581">
        <v>17536</v>
      </c>
      <c r="G120" s="2582">
        <f>SUM(E120:F120)</f>
        <v>17839</v>
      </c>
      <c r="H120" s="2581">
        <v>56</v>
      </c>
      <c r="I120" s="2581">
        <v>72</v>
      </c>
      <c r="J120" s="2581">
        <v>17585</v>
      </c>
      <c r="K120" s="2579">
        <v>0.98570000000000002</v>
      </c>
      <c r="L120" s="2565"/>
    </row>
    <row r="121" spans="1:26" ht="12.75" customHeight="1" x14ac:dyDescent="0.3">
      <c r="B121" s="2473"/>
      <c r="C121" s="2473"/>
      <c r="D121" s="2583" t="s">
        <v>1088</v>
      </c>
      <c r="E121" s="2581">
        <v>631</v>
      </c>
      <c r="F121" s="2581">
        <v>323423</v>
      </c>
      <c r="G121" s="2582">
        <f>SUM(E121:F121)</f>
        <v>324054</v>
      </c>
      <c r="H121" s="2581">
        <v>66</v>
      </c>
      <c r="I121" s="2581">
        <v>165</v>
      </c>
      <c r="J121" s="2581">
        <v>323208</v>
      </c>
      <c r="K121" s="2579">
        <v>0.99739999999999995</v>
      </c>
      <c r="L121" s="2565"/>
    </row>
    <row r="122" spans="1:26" ht="12.75" customHeight="1" x14ac:dyDescent="0.3">
      <c r="B122" s="2473"/>
      <c r="C122" s="2473"/>
      <c r="D122" s="2583" t="s">
        <v>1089</v>
      </c>
      <c r="E122" s="2581">
        <v>545</v>
      </c>
      <c r="F122" s="2581">
        <v>86099</v>
      </c>
      <c r="G122" s="2582">
        <f>SUM(E122:F122)</f>
        <v>86644</v>
      </c>
      <c r="H122" s="2581">
        <v>27</v>
      </c>
      <c r="I122" s="2581">
        <v>58</v>
      </c>
      <c r="J122" s="2581">
        <v>86203</v>
      </c>
      <c r="K122" s="2579">
        <v>0.99490000000000001</v>
      </c>
      <c r="L122" s="2565"/>
    </row>
    <row r="123" spans="1:26" ht="14.25" customHeight="1" x14ac:dyDescent="0.3">
      <c r="A123" s="2473">
        <v>10</v>
      </c>
      <c r="B123" s="2473" t="s">
        <v>157</v>
      </c>
      <c r="C123" s="2473"/>
      <c r="D123" s="2583" t="s">
        <v>1090</v>
      </c>
      <c r="E123" s="2581">
        <v>63210</v>
      </c>
      <c r="F123" s="2581">
        <v>304267</v>
      </c>
      <c r="G123" s="2582">
        <f>SUM(E123:F123)</f>
        <v>367477</v>
      </c>
      <c r="H123" s="2581">
        <v>3796</v>
      </c>
      <c r="I123" s="2581">
        <v>36519</v>
      </c>
      <c r="J123" s="2581">
        <v>60920</v>
      </c>
      <c r="K123" s="2579">
        <v>0.1658</v>
      </c>
      <c r="L123" s="2565">
        <v>0.995</v>
      </c>
      <c r="Z123" s="2589"/>
    </row>
    <row r="124" spans="1:26" x14ac:dyDescent="0.3">
      <c r="B124" s="2473"/>
      <c r="C124" s="2473"/>
      <c r="D124" s="2583" t="s">
        <v>1091</v>
      </c>
      <c r="E124" s="2581">
        <v>50153</v>
      </c>
      <c r="F124" s="2581">
        <v>73861</v>
      </c>
      <c r="G124" s="2582">
        <f>SUM(E124:F124)</f>
        <v>124014</v>
      </c>
      <c r="H124" s="2581">
        <v>2085</v>
      </c>
      <c r="I124" s="2581">
        <v>17779</v>
      </c>
      <c r="J124" s="2581">
        <v>16983</v>
      </c>
      <c r="K124" s="2579">
        <v>0.13689999999999999</v>
      </c>
      <c r="L124" s="2565">
        <v>0.17799999999999999</v>
      </c>
    </row>
    <row r="125" spans="1:26" x14ac:dyDescent="0.3">
      <c r="D125" s="2584" t="s">
        <v>1077</v>
      </c>
      <c r="E125" s="2585"/>
      <c r="F125" s="2585"/>
      <c r="G125" s="2586"/>
      <c r="H125" s="2587"/>
      <c r="I125" s="2587"/>
      <c r="J125" s="2585"/>
      <c r="K125" s="2588"/>
      <c r="L125" s="2590">
        <v>0.34699999999999998</v>
      </c>
    </row>
    <row r="126" spans="1:26" ht="22.5" customHeight="1" x14ac:dyDescent="0.3">
      <c r="D126" s="2589"/>
      <c r="E126" s="2544"/>
      <c r="F126" s="2589"/>
      <c r="G126" s="2544"/>
      <c r="H126" s="2589"/>
      <c r="I126" s="2544"/>
      <c r="J126" s="2589"/>
      <c r="K126" s="2544"/>
      <c r="L126" s="2589"/>
      <c r="M126" s="2544"/>
      <c r="N126" s="2589"/>
      <c r="O126" s="2544"/>
      <c r="P126" s="2589"/>
      <c r="Q126" s="2544"/>
      <c r="R126" s="2589"/>
      <c r="S126" s="2544"/>
      <c r="T126" s="2589"/>
    </row>
    <row r="127" spans="1:26" ht="20.25" customHeight="1" x14ac:dyDescent="0.3">
      <c r="D127" s="2591" t="s">
        <v>1092</v>
      </c>
      <c r="E127" s="2592"/>
      <c r="F127" s="2591"/>
      <c r="G127" s="2592"/>
      <c r="H127" s="2591"/>
      <c r="I127" s="2592"/>
      <c r="J127" s="2591"/>
      <c r="K127" s="2593"/>
      <c r="L127" s="2589"/>
      <c r="M127" s="2544"/>
      <c r="N127" s="2589"/>
      <c r="O127" s="2544"/>
      <c r="P127" s="2589"/>
      <c r="Q127" s="2544"/>
      <c r="R127" s="2589"/>
      <c r="S127" s="2544"/>
      <c r="T127" s="2589"/>
    </row>
    <row r="128" spans="1:26" ht="12.75" customHeight="1" x14ac:dyDescent="0.3">
      <c r="D128" s="2594" t="s">
        <v>1093</v>
      </c>
      <c r="E128" s="2592">
        <v>163861</v>
      </c>
      <c r="F128" s="2592">
        <v>601985</v>
      </c>
      <c r="G128" s="2595">
        <f>SUM(E128:F128)</f>
        <v>765846</v>
      </c>
      <c r="H128" s="2592">
        <v>3693</v>
      </c>
      <c r="I128" s="2592">
        <v>97655</v>
      </c>
      <c r="J128" s="2592">
        <v>290180</v>
      </c>
      <c r="K128" s="2596">
        <v>0.37890000000000001</v>
      </c>
      <c r="L128" s="2589"/>
      <c r="M128" s="2544"/>
      <c r="N128" s="2589"/>
      <c r="O128" s="2544"/>
      <c r="P128" s="2589"/>
      <c r="Q128" s="2544"/>
      <c r="R128" s="2589"/>
      <c r="S128" s="2544"/>
      <c r="T128" s="2589"/>
    </row>
    <row r="129" spans="4:20" ht="12.75" customHeight="1" x14ac:dyDescent="0.3">
      <c r="D129" s="2594" t="s">
        <v>1094</v>
      </c>
      <c r="E129" s="2592">
        <v>28980</v>
      </c>
      <c r="F129" s="2591">
        <v>163409</v>
      </c>
      <c r="G129" s="2592">
        <f>SUM(E129:F129)</f>
        <v>192389</v>
      </c>
      <c r="H129" s="2591">
        <v>1203</v>
      </c>
      <c r="I129" s="2592">
        <v>34032</v>
      </c>
      <c r="J129" s="2591">
        <v>107140</v>
      </c>
      <c r="K129" s="2593">
        <v>0.55689999999999995</v>
      </c>
      <c r="L129" s="2589"/>
      <c r="M129" s="2544"/>
      <c r="N129" s="2589"/>
      <c r="O129" s="2544"/>
      <c r="P129" s="2589"/>
      <c r="Q129" s="2544"/>
      <c r="R129" s="2589"/>
      <c r="S129" s="2544"/>
      <c r="T129" s="2589"/>
    </row>
    <row r="130" spans="4:20" ht="12.75" customHeight="1" x14ac:dyDescent="0.3">
      <c r="D130" s="2594" t="s">
        <v>1095</v>
      </c>
      <c r="E130" s="2592">
        <v>12218</v>
      </c>
      <c r="F130" s="2591">
        <v>43120</v>
      </c>
      <c r="G130" s="2592">
        <f>SUM(E130:F130)</f>
        <v>55338</v>
      </c>
      <c r="H130" s="2591">
        <v>877</v>
      </c>
      <c r="I130" s="2592">
        <v>11052</v>
      </c>
      <c r="J130" s="2591">
        <v>26628</v>
      </c>
      <c r="K130" s="2593">
        <v>0.48120000000000002</v>
      </c>
      <c r="L130" s="2589"/>
      <c r="M130" s="2544"/>
      <c r="N130" s="2589"/>
      <c r="O130" s="2544"/>
      <c r="P130" s="2589"/>
      <c r="Q130" s="2544"/>
      <c r="R130" s="2589"/>
      <c r="S130" s="2544"/>
      <c r="T130" s="2589"/>
    </row>
    <row r="131" spans="4:20" ht="12.75" customHeight="1" x14ac:dyDescent="0.3">
      <c r="D131" s="2594" t="s">
        <v>1096</v>
      </c>
      <c r="E131" s="2592">
        <v>16547</v>
      </c>
      <c r="F131" s="2591">
        <v>116017</v>
      </c>
      <c r="G131" s="2592">
        <f>SUM(E131:F131)</f>
        <v>132564</v>
      </c>
      <c r="H131" s="2591">
        <v>1379</v>
      </c>
      <c r="I131" s="2592">
        <v>18473</v>
      </c>
      <c r="J131" s="2591">
        <v>43854</v>
      </c>
      <c r="K131" s="2593">
        <v>0.33079999999999998</v>
      </c>
      <c r="L131" s="2589"/>
      <c r="M131" s="2544"/>
      <c r="N131" s="2589"/>
      <c r="O131" s="2544"/>
      <c r="P131" s="2589"/>
      <c r="Q131" s="2544"/>
      <c r="R131" s="2589"/>
      <c r="S131" s="2544"/>
      <c r="T131" s="2589"/>
    </row>
    <row r="132" spans="4:20" ht="12.75" customHeight="1" x14ac:dyDescent="0.3">
      <c r="D132" s="2594" t="s">
        <v>1097</v>
      </c>
      <c r="E132" s="2592">
        <v>116476</v>
      </c>
      <c r="F132" s="2591">
        <v>510627</v>
      </c>
      <c r="G132" s="2592">
        <v>627103</v>
      </c>
      <c r="H132" s="2591">
        <v>4776</v>
      </c>
      <c r="I132" s="2592">
        <v>30696</v>
      </c>
      <c r="J132" s="2591">
        <v>56978</v>
      </c>
      <c r="K132" s="2593">
        <v>9.0899999999999995E-2</v>
      </c>
      <c r="L132" s="2589"/>
      <c r="M132" s="2544"/>
      <c r="N132" s="2589"/>
      <c r="O132" s="2544"/>
      <c r="P132" s="2589"/>
      <c r="Q132" s="2544"/>
      <c r="R132" s="2589"/>
      <c r="S132" s="2544"/>
      <c r="T132" s="2589"/>
    </row>
    <row r="133" spans="4:20" ht="12.75" customHeight="1" x14ac:dyDescent="0.3">
      <c r="D133" s="2594" t="s">
        <v>1098</v>
      </c>
      <c r="E133" s="2592">
        <v>113513</v>
      </c>
      <c r="F133" s="2591">
        <v>440274</v>
      </c>
      <c r="G133" s="2592">
        <f>SUM(E133:F133)</f>
        <v>553787</v>
      </c>
      <c r="H133" s="2591">
        <v>5906</v>
      </c>
      <c r="I133" s="2592">
        <v>54360</v>
      </c>
      <c r="J133" s="2591">
        <v>139940</v>
      </c>
      <c r="K133" s="2593">
        <v>0.25269999999999998</v>
      </c>
      <c r="L133" s="2589"/>
      <c r="M133" s="2544"/>
      <c r="N133" s="2589"/>
      <c r="O133" s="2544"/>
      <c r="P133" s="2589"/>
      <c r="Q133" s="2544"/>
      <c r="R133" s="2589"/>
      <c r="S133" s="2544"/>
      <c r="T133" s="2589"/>
    </row>
    <row r="134" spans="4:20" ht="12.75" customHeight="1" x14ac:dyDescent="0.3">
      <c r="D134" s="2594" t="s">
        <v>1099</v>
      </c>
      <c r="E134" s="2592">
        <v>434</v>
      </c>
      <c r="F134" s="2592">
        <v>2456</v>
      </c>
      <c r="G134" s="2592">
        <f>SUM(E134:F134)</f>
        <v>2890</v>
      </c>
      <c r="H134" s="2592">
        <v>58</v>
      </c>
      <c r="I134" s="2592">
        <v>326</v>
      </c>
      <c r="J134" s="2592">
        <v>851</v>
      </c>
      <c r="K134" s="2593">
        <v>0.29449999999999998</v>
      </c>
      <c r="L134" s="2589"/>
      <c r="M134" s="2544"/>
      <c r="N134" s="2589"/>
      <c r="O134" s="2544"/>
      <c r="P134" s="2589"/>
      <c r="Q134" s="2544"/>
      <c r="R134" s="2589"/>
      <c r="S134" s="2544"/>
      <c r="T134" s="2589"/>
    </row>
    <row r="135" spans="4:20" ht="12.75" customHeight="1" x14ac:dyDescent="0.3">
      <c r="D135" s="2594" t="s">
        <v>1100</v>
      </c>
      <c r="E135" s="2592"/>
      <c r="F135" s="2592"/>
      <c r="G135" s="2592"/>
      <c r="H135" s="2592"/>
      <c r="I135" s="2592"/>
      <c r="J135" s="2592"/>
      <c r="K135" s="2593"/>
      <c r="L135" s="2589"/>
      <c r="M135" s="2544"/>
      <c r="N135" s="2589"/>
      <c r="O135" s="2544"/>
      <c r="P135" s="2589"/>
      <c r="Q135" s="2544"/>
      <c r="R135" s="2589"/>
      <c r="S135" s="2544"/>
      <c r="T135" s="2589"/>
    </row>
    <row r="136" spans="4:20" ht="12.75" customHeight="1" x14ac:dyDescent="0.3">
      <c r="D136" s="2589"/>
      <c r="E136" s="2544"/>
      <c r="F136" s="2589"/>
      <c r="G136" s="2544"/>
      <c r="H136" s="2589"/>
      <c r="I136" s="2544"/>
      <c r="J136" s="2589"/>
      <c r="K136" s="2544"/>
      <c r="L136" s="2589"/>
      <c r="M136" s="2544"/>
      <c r="N136" s="2589"/>
      <c r="O136" s="2544"/>
      <c r="P136" s="2589"/>
      <c r="Q136" s="2544"/>
      <c r="R136" s="2589"/>
      <c r="S136" s="2544"/>
      <c r="T136" s="2589"/>
    </row>
    <row r="137" spans="4:20" ht="12.75" customHeight="1" x14ac:dyDescent="0.3">
      <c r="D137" s="2589"/>
      <c r="E137" s="2544"/>
      <c r="F137" s="2589"/>
      <c r="G137" s="2544"/>
      <c r="H137" s="2589"/>
      <c r="I137" s="2544"/>
      <c r="J137" s="2589"/>
      <c r="K137" s="2544"/>
      <c r="L137" s="2589"/>
      <c r="M137" s="2544"/>
      <c r="N137" s="2589"/>
      <c r="O137" s="2544"/>
      <c r="P137" s="2589"/>
      <c r="Q137" s="2544"/>
      <c r="R137" s="2589"/>
      <c r="S137" s="2544"/>
      <c r="T137" s="2589"/>
    </row>
    <row r="138" spans="4:20" ht="12.75" customHeight="1" x14ac:dyDescent="0.3">
      <c r="D138" s="2589"/>
      <c r="E138" s="2544"/>
      <c r="F138" s="2589"/>
      <c r="G138" s="2544"/>
      <c r="H138" s="2589"/>
      <c r="I138" s="2544"/>
      <c r="J138" s="2589"/>
      <c r="K138" s="2544"/>
      <c r="L138" s="2589"/>
      <c r="M138" s="2544"/>
      <c r="N138" s="2589"/>
      <c r="O138" s="2544"/>
      <c r="P138" s="2589"/>
      <c r="Q138" s="2544"/>
      <c r="R138" s="2589"/>
      <c r="S138" s="2544"/>
      <c r="T138" s="2589"/>
    </row>
    <row r="139" spans="4:20" ht="12.75" customHeight="1" x14ac:dyDescent="0.3">
      <c r="D139" s="2589"/>
      <c r="E139" s="2544"/>
      <c r="F139" s="2589"/>
      <c r="G139" s="2544"/>
      <c r="H139" s="2589"/>
      <c r="I139" s="2544"/>
      <c r="J139" s="2589"/>
      <c r="K139" s="2544"/>
      <c r="L139" s="2589"/>
      <c r="M139" s="2544"/>
      <c r="N139" s="2589"/>
      <c r="O139" s="2544"/>
      <c r="P139" s="2589"/>
      <c r="Q139" s="2544"/>
      <c r="R139" s="2589"/>
      <c r="S139" s="2544"/>
      <c r="T139" s="2589"/>
    </row>
    <row r="140" spans="4:20" ht="12.75" customHeight="1" x14ac:dyDescent="0.3">
      <c r="D140" s="2589"/>
      <c r="E140" s="2544"/>
      <c r="F140" s="2589"/>
      <c r="G140" s="2544"/>
      <c r="H140" s="2589"/>
      <c r="I140" s="2544"/>
      <c r="J140" s="2589"/>
      <c r="K140" s="2544"/>
      <c r="L140" s="2589"/>
      <c r="M140" s="2544"/>
      <c r="N140" s="2589"/>
      <c r="O140" s="2544"/>
      <c r="P140" s="2589"/>
      <c r="Q140" s="2544"/>
      <c r="R140" s="2589"/>
      <c r="S140" s="2544"/>
      <c r="T140" s="2589"/>
    </row>
    <row r="141" spans="4:20" ht="12.75" customHeight="1" x14ac:dyDescent="0.3">
      <c r="D141" s="2589"/>
      <c r="E141" s="2544"/>
      <c r="F141" s="2589"/>
      <c r="G141" s="2544"/>
      <c r="H141" s="2589"/>
      <c r="I141" s="2544"/>
      <c r="J141" s="2589"/>
      <c r="K141" s="2544"/>
      <c r="L141" s="2589"/>
      <c r="M141" s="2544"/>
      <c r="N141" s="2589"/>
      <c r="O141" s="2544"/>
      <c r="P141" s="2589"/>
      <c r="Q141" s="2544"/>
      <c r="R141" s="2589"/>
      <c r="S141" s="2544"/>
      <c r="T141" s="2589"/>
    </row>
    <row r="142" spans="4:20" ht="12.75" customHeight="1" x14ac:dyDescent="0.3">
      <c r="D142" s="2589"/>
      <c r="E142" s="2544"/>
      <c r="F142" s="2589"/>
      <c r="G142" s="2544"/>
      <c r="H142" s="2589"/>
      <c r="I142" s="2544"/>
      <c r="J142" s="2589"/>
      <c r="K142" s="2544"/>
      <c r="L142" s="2589"/>
      <c r="M142" s="2544"/>
      <c r="N142" s="2589"/>
      <c r="O142" s="2544"/>
      <c r="P142" s="2589"/>
      <c r="Q142" s="2544"/>
      <c r="R142" s="2589"/>
      <c r="S142" s="2544"/>
      <c r="T142" s="2589"/>
    </row>
    <row r="143" spans="4:20" ht="12.75" customHeight="1" x14ac:dyDescent="0.3">
      <c r="D143" s="2589"/>
      <c r="E143" s="2544"/>
      <c r="F143" s="2589"/>
      <c r="G143" s="2544"/>
      <c r="H143" s="2589"/>
      <c r="I143" s="2544"/>
      <c r="J143" s="2589"/>
      <c r="K143" s="2544"/>
      <c r="L143" s="2589"/>
      <c r="M143" s="2544"/>
      <c r="N143" s="2589"/>
      <c r="O143" s="2544"/>
      <c r="P143" s="2589"/>
      <c r="Q143" s="2544"/>
      <c r="R143" s="2589"/>
      <c r="S143" s="2544"/>
      <c r="T143" s="2589"/>
    </row>
    <row r="144" spans="4:20" ht="18.75" customHeight="1" x14ac:dyDescent="0.3">
      <c r="D144" s="2589"/>
      <c r="E144" s="2544"/>
      <c r="F144" s="2589"/>
      <c r="G144" s="2544"/>
      <c r="H144" s="2589"/>
      <c r="I144" s="2544"/>
      <c r="J144" s="2589"/>
      <c r="K144" s="2544"/>
      <c r="L144" s="2589"/>
      <c r="M144" s="2544"/>
      <c r="N144" s="2589"/>
      <c r="O144" s="2544"/>
      <c r="P144" s="2589"/>
      <c r="Q144" s="2544"/>
      <c r="R144" s="2589"/>
      <c r="S144" s="2544"/>
      <c r="T144" s="2589"/>
    </row>
    <row r="145" spans="4:67" x14ac:dyDescent="0.3">
      <c r="D145" s="2597"/>
      <c r="E145" s="2598"/>
      <c r="F145" s="2598"/>
      <c r="G145" s="2598"/>
      <c r="H145" s="2599"/>
      <c r="I145" s="2599"/>
      <c r="J145" s="2598"/>
      <c r="K145" s="2600"/>
    </row>
    <row r="146" spans="4:67" x14ac:dyDescent="0.3">
      <c r="D146" s="4401" t="s">
        <v>673</v>
      </c>
      <c r="E146" s="4402"/>
      <c r="F146" s="4402"/>
      <c r="G146" s="4402"/>
      <c r="H146" s="4402"/>
      <c r="I146" s="4402"/>
      <c r="J146" s="4402"/>
      <c r="K146" s="4403"/>
    </row>
    <row r="147" spans="4:67" x14ac:dyDescent="0.3">
      <c r="D147" s="4401" t="s">
        <v>1101</v>
      </c>
      <c r="E147" s="4402"/>
      <c r="F147" s="4402"/>
      <c r="G147" s="4402"/>
      <c r="H147" s="4402"/>
      <c r="I147" s="4402"/>
      <c r="J147" s="4402"/>
      <c r="K147" s="4403"/>
    </row>
    <row r="148" spans="4:67" x14ac:dyDescent="0.3">
      <c r="D148" s="4394" t="s">
        <v>1102</v>
      </c>
      <c r="E148" s="4395"/>
      <c r="F148" s="4395"/>
      <c r="G148" s="4395"/>
      <c r="H148" s="4395"/>
      <c r="I148" s="4395"/>
      <c r="J148" s="4395"/>
      <c r="K148" s="4396"/>
    </row>
    <row r="149" spans="4:67" ht="14.45" customHeight="1" x14ac:dyDescent="0.3">
      <c r="D149" s="4397" t="s">
        <v>1103</v>
      </c>
      <c r="E149" s="4398"/>
      <c r="F149" s="4398"/>
      <c r="G149" s="4398"/>
      <c r="H149" s="4398"/>
      <c r="I149" s="4398"/>
      <c r="J149" s="4398"/>
      <c r="K149" s="4399"/>
      <c r="L149" s="2601"/>
      <c r="M149" s="2601"/>
      <c r="N149" s="2601"/>
      <c r="O149" s="2601"/>
      <c r="P149" s="2602"/>
      <c r="Q149" s="4400" t="s">
        <v>143</v>
      </c>
      <c r="R149" s="4391"/>
      <c r="S149" s="4391"/>
      <c r="T149" s="4391"/>
      <c r="U149" s="4391"/>
      <c r="V149" s="4392"/>
      <c r="W149" s="4393" t="s">
        <v>144</v>
      </c>
      <c r="X149" s="4391"/>
      <c r="Y149" s="4391"/>
      <c r="Z149" s="4391"/>
      <c r="AA149" s="4391"/>
      <c r="AB149" s="4392"/>
      <c r="AC149" s="4400" t="s">
        <v>145</v>
      </c>
      <c r="AD149" s="4391"/>
      <c r="AE149" s="4391"/>
      <c r="AF149" s="4391"/>
      <c r="AG149" s="4391"/>
      <c r="AH149" s="4392"/>
      <c r="AI149" s="4393" t="s">
        <v>8</v>
      </c>
      <c r="AJ149" s="4391"/>
      <c r="AK149" s="4391"/>
      <c r="AL149" s="4391"/>
      <c r="AM149" s="4391"/>
      <c r="AN149" s="4392"/>
      <c r="AO149" s="4386" t="s">
        <v>9</v>
      </c>
      <c r="AP149" s="4387"/>
      <c r="AQ149" s="4387"/>
      <c r="AR149" s="4387"/>
      <c r="AS149" s="4387"/>
      <c r="AT149" s="4387"/>
      <c r="AU149" s="4388" t="s">
        <v>10</v>
      </c>
      <c r="AV149" s="4387"/>
      <c r="AW149" s="4387"/>
      <c r="AX149" s="4387"/>
      <c r="AY149" s="4387"/>
      <c r="AZ149" s="4387"/>
      <c r="BA149" s="4389"/>
      <c r="BB149" s="4388" t="s">
        <v>11</v>
      </c>
      <c r="BC149" s="4387" t="s">
        <v>1079</v>
      </c>
      <c r="BD149" s="4387"/>
      <c r="BE149" s="4387"/>
      <c r="BF149" s="4387"/>
      <c r="BG149" s="4387"/>
      <c r="BH149" s="4389"/>
      <c r="BI149" s="4388" t="s">
        <v>12</v>
      </c>
      <c r="BJ149" s="4387" t="s">
        <v>1080</v>
      </c>
      <c r="BK149" s="4387"/>
      <c r="BL149" s="4387"/>
      <c r="BM149" s="4387"/>
      <c r="BN149" s="4387"/>
      <c r="BO149" s="4389"/>
    </row>
    <row r="150" spans="4:67" x14ac:dyDescent="0.3">
      <c r="L150" s="2604" t="s">
        <v>1073</v>
      </c>
      <c r="M150" s="2604" t="s">
        <v>1074</v>
      </c>
      <c r="N150" s="2604" t="s">
        <v>1075</v>
      </c>
      <c r="O150" s="2604" t="s">
        <v>1076</v>
      </c>
      <c r="P150" s="2605" t="s">
        <v>1077</v>
      </c>
      <c r="Q150" s="2606" t="s">
        <v>1072</v>
      </c>
      <c r="R150" s="2604" t="s">
        <v>1073</v>
      </c>
      <c r="S150" s="2604" t="s">
        <v>1074</v>
      </c>
      <c r="T150" s="2604" t="s">
        <v>1075</v>
      </c>
      <c r="U150" s="2604" t="s">
        <v>1076</v>
      </c>
      <c r="V150" s="2605" t="s">
        <v>1077</v>
      </c>
      <c r="W150" s="2606" t="s">
        <v>1072</v>
      </c>
      <c r="X150" s="2604" t="s">
        <v>1073</v>
      </c>
      <c r="Y150" s="2604" t="s">
        <v>1074</v>
      </c>
      <c r="Z150" s="2604" t="s">
        <v>1075</v>
      </c>
      <c r="AA150" s="2604" t="s">
        <v>1076</v>
      </c>
      <c r="AB150" s="2605" t="s">
        <v>1077</v>
      </c>
      <c r="AC150" s="2606" t="s">
        <v>1072</v>
      </c>
      <c r="AD150" s="2604" t="s">
        <v>1073</v>
      </c>
      <c r="AE150" s="2604" t="s">
        <v>1074</v>
      </c>
      <c r="AF150" s="2604" t="s">
        <v>1075</v>
      </c>
      <c r="AG150" s="2604" t="s">
        <v>1076</v>
      </c>
      <c r="AH150" s="2605" t="s">
        <v>1077</v>
      </c>
      <c r="AI150" s="2606" t="s">
        <v>1072</v>
      </c>
      <c r="AJ150" s="2604" t="s">
        <v>1073</v>
      </c>
      <c r="AK150" s="2604" t="s">
        <v>1074</v>
      </c>
      <c r="AL150" s="2604" t="s">
        <v>1075</v>
      </c>
      <c r="AM150" s="2604" t="s">
        <v>1076</v>
      </c>
      <c r="AN150" s="2605" t="s">
        <v>1077</v>
      </c>
      <c r="AO150" s="2606" t="s">
        <v>1072</v>
      </c>
      <c r="AP150" s="2604" t="s">
        <v>1073</v>
      </c>
      <c r="AQ150" s="2604" t="s">
        <v>1074</v>
      </c>
      <c r="AR150" s="2604" t="s">
        <v>1075</v>
      </c>
      <c r="AS150" s="2604" t="s">
        <v>1076</v>
      </c>
      <c r="AT150" s="2605" t="s">
        <v>1077</v>
      </c>
      <c r="AU150" s="2607" t="s">
        <v>1072</v>
      </c>
      <c r="AV150" s="2521" t="s">
        <v>1073</v>
      </c>
      <c r="AW150" s="2521" t="s">
        <v>1074</v>
      </c>
      <c r="AX150" s="2521" t="s">
        <v>1078</v>
      </c>
      <c r="AY150" s="2521" t="s">
        <v>1075</v>
      </c>
      <c r="AZ150" s="2521" t="s">
        <v>1076</v>
      </c>
      <c r="BA150" s="2608" t="s">
        <v>1077</v>
      </c>
      <c r="BB150" s="2607" t="s">
        <v>1072</v>
      </c>
      <c r="BC150" s="2521" t="s">
        <v>1073</v>
      </c>
      <c r="BD150" s="2521" t="s">
        <v>1074</v>
      </c>
      <c r="BE150" s="2521" t="s">
        <v>1078</v>
      </c>
      <c r="BF150" s="2521" t="s">
        <v>1075</v>
      </c>
      <c r="BG150" s="2521" t="s">
        <v>1076</v>
      </c>
      <c r="BH150" s="2608" t="s">
        <v>1077</v>
      </c>
      <c r="BI150" s="2607" t="s">
        <v>1072</v>
      </c>
      <c r="BJ150" s="2521" t="s">
        <v>1073</v>
      </c>
      <c r="BK150" s="2521" t="s">
        <v>1074</v>
      </c>
      <c r="BL150" s="2521" t="s">
        <v>1078</v>
      </c>
      <c r="BM150" s="2521" t="s">
        <v>1075</v>
      </c>
      <c r="BN150" s="2521" t="s">
        <v>1076</v>
      </c>
      <c r="BO150" s="2608" t="s">
        <v>1077</v>
      </c>
    </row>
    <row r="151" spans="4:67" x14ac:dyDescent="0.3">
      <c r="L151" s="2504">
        <v>106873</v>
      </c>
      <c r="M151" s="2504">
        <v>16757</v>
      </c>
      <c r="N151" s="2504">
        <v>5613</v>
      </c>
      <c r="O151" s="2504">
        <v>97729</v>
      </c>
      <c r="P151" s="2609">
        <v>397959</v>
      </c>
      <c r="Q151" s="2610">
        <v>168073</v>
      </c>
      <c r="R151" s="2504">
        <v>106009</v>
      </c>
      <c r="S151" s="2504">
        <v>16730</v>
      </c>
      <c r="T151" s="2504">
        <v>4686</v>
      </c>
      <c r="U151" s="2504">
        <v>99509</v>
      </c>
      <c r="V151" s="2609">
        <v>395007</v>
      </c>
      <c r="W151" s="2610">
        <v>159933</v>
      </c>
      <c r="X151" s="2504">
        <v>102611</v>
      </c>
      <c r="Y151" s="2504">
        <v>15669</v>
      </c>
      <c r="Z151" s="2504">
        <v>4518</v>
      </c>
      <c r="AA151" s="2504">
        <v>96311</v>
      </c>
      <c r="AB151" s="2609">
        <v>379042</v>
      </c>
      <c r="AC151" s="2610">
        <v>163549</v>
      </c>
      <c r="AD151" s="2504">
        <v>108316</v>
      </c>
      <c r="AE151" s="2504">
        <v>16518</v>
      </c>
      <c r="AF151" s="2504">
        <v>4354</v>
      </c>
      <c r="AG151" s="2504">
        <v>99433</v>
      </c>
      <c r="AH151" s="2609">
        <v>392170</v>
      </c>
      <c r="AI151" s="2610">
        <v>130492</v>
      </c>
      <c r="AJ151" s="2504">
        <v>60375</v>
      </c>
      <c r="AK151" s="2504">
        <v>130607</v>
      </c>
      <c r="AL151" s="2504">
        <v>3063</v>
      </c>
      <c r="AM151" s="2504">
        <v>71865</v>
      </c>
      <c r="AN151" s="2609">
        <v>280002</v>
      </c>
      <c r="AO151" s="2610">
        <v>121621</v>
      </c>
      <c r="AP151" s="2504">
        <v>65663</v>
      </c>
      <c r="AQ151" s="2504">
        <v>11279</v>
      </c>
      <c r="AR151" s="2504">
        <v>2021</v>
      </c>
      <c r="AS151" s="2504">
        <v>79084</v>
      </c>
      <c r="AT151" s="2609">
        <v>279638</v>
      </c>
      <c r="AU151" s="2611">
        <v>137216</v>
      </c>
      <c r="AV151" s="2535">
        <v>89199</v>
      </c>
      <c r="AW151" s="2535">
        <v>13631</v>
      </c>
      <c r="AX151" s="2535">
        <v>18817</v>
      </c>
      <c r="AY151" s="2535">
        <v>2539</v>
      </c>
      <c r="AZ151" s="2535">
        <v>93825</v>
      </c>
      <c r="BA151" s="2612">
        <v>336798</v>
      </c>
      <c r="BB151" s="2611">
        <v>124549</v>
      </c>
      <c r="BC151" s="2535">
        <v>87337</v>
      </c>
      <c r="BD151" s="2535">
        <v>11548</v>
      </c>
      <c r="BE151" s="2535">
        <v>18027</v>
      </c>
      <c r="BF151" s="2535">
        <v>3879</v>
      </c>
      <c r="BG151" s="2535">
        <v>94886</v>
      </c>
      <c r="BH151" s="2612">
        <v>324014</v>
      </c>
      <c r="BI151" s="2611">
        <v>137238</v>
      </c>
      <c r="BJ151" s="2535">
        <v>110805</v>
      </c>
      <c r="BK151" s="2535">
        <v>13059</v>
      </c>
      <c r="BL151" s="2535">
        <v>24235</v>
      </c>
      <c r="BM151" s="2535">
        <v>2331</v>
      </c>
      <c r="BN151" s="2535">
        <v>101125</v>
      </c>
      <c r="BO151" s="2612">
        <v>366269</v>
      </c>
    </row>
    <row r="152" spans="4:67" x14ac:dyDescent="0.3">
      <c r="L152" s="2504">
        <v>570698</v>
      </c>
      <c r="M152" s="2504">
        <v>151887</v>
      </c>
      <c r="N152" s="2504">
        <v>142259</v>
      </c>
      <c r="O152" s="2504">
        <v>551334</v>
      </c>
      <c r="P152" s="2609">
        <v>2172314</v>
      </c>
      <c r="Q152" s="2610">
        <v>730346</v>
      </c>
      <c r="R152" s="2504">
        <v>547258</v>
      </c>
      <c r="S152" s="2504">
        <v>151194</v>
      </c>
      <c r="T152" s="2504">
        <v>157304</v>
      </c>
      <c r="U152" s="2504">
        <v>542342</v>
      </c>
      <c r="V152" s="2609">
        <v>2128444</v>
      </c>
      <c r="W152" s="2610">
        <v>692550</v>
      </c>
      <c r="X152" s="2504">
        <v>521513</v>
      </c>
      <c r="Y152" s="2504">
        <v>144364</v>
      </c>
      <c r="Z152" s="2504">
        <v>171015</v>
      </c>
      <c r="AA152" s="2504">
        <v>527574</v>
      </c>
      <c r="AB152" s="2609">
        <v>2057016</v>
      </c>
      <c r="AC152" s="2610">
        <v>684199</v>
      </c>
      <c r="AD152" s="2504">
        <v>532184</v>
      </c>
      <c r="AE152" s="2504">
        <v>141107</v>
      </c>
      <c r="AF152" s="2504">
        <v>187382</v>
      </c>
      <c r="AG152" s="2504">
        <v>552371</v>
      </c>
      <c r="AH152" s="2609">
        <v>2097243</v>
      </c>
      <c r="AI152" s="2610">
        <v>676445</v>
      </c>
      <c r="AJ152" s="2504">
        <v>553368</v>
      </c>
      <c r="AK152" s="2504">
        <v>138835</v>
      </c>
      <c r="AL152" s="2504">
        <v>212321</v>
      </c>
      <c r="AM152" s="2504">
        <v>540918</v>
      </c>
      <c r="AN152" s="2609">
        <v>2121887</v>
      </c>
      <c r="AO152" s="2610">
        <v>638468</v>
      </c>
      <c r="AP152" s="2504">
        <v>534451</v>
      </c>
      <c r="AQ152" s="2504">
        <v>131860</v>
      </c>
      <c r="AR152" s="2504">
        <v>534866</v>
      </c>
      <c r="AS152" s="2504">
        <v>534866</v>
      </c>
      <c r="AT152" s="2609">
        <v>2374511</v>
      </c>
      <c r="AU152" s="2611">
        <v>623486</v>
      </c>
      <c r="AV152" s="2535">
        <v>536093</v>
      </c>
      <c r="AW152" s="2535">
        <v>128639</v>
      </c>
      <c r="AX152" s="2535">
        <v>42192</v>
      </c>
      <c r="AY152" s="2535">
        <v>260209</v>
      </c>
      <c r="AZ152" s="2535">
        <v>537330</v>
      </c>
      <c r="BA152" s="2612">
        <v>2085757</v>
      </c>
      <c r="BB152" s="2611">
        <v>613909</v>
      </c>
      <c r="BC152" s="2535">
        <v>563665</v>
      </c>
      <c r="BD152" s="2535">
        <v>121113</v>
      </c>
      <c r="BE152" s="2535">
        <v>44317</v>
      </c>
      <c r="BF152" s="2535">
        <v>292762</v>
      </c>
      <c r="BG152" s="2535">
        <v>454385</v>
      </c>
      <c r="BH152" s="2612">
        <v>2123207</v>
      </c>
      <c r="BI152" s="2611">
        <v>617417</v>
      </c>
      <c r="BJ152" s="2535">
        <v>562768</v>
      </c>
      <c r="BK152" s="2535">
        <v>119733</v>
      </c>
      <c r="BL152" s="2535">
        <v>49120</v>
      </c>
      <c r="BM152" s="2535">
        <v>345909</v>
      </c>
      <c r="BN152" s="2535">
        <v>447773</v>
      </c>
      <c r="BO152" s="2612">
        <v>2169927</v>
      </c>
    </row>
    <row r="153" spans="4:67" x14ac:dyDescent="0.3">
      <c r="L153" s="2512">
        <v>677571</v>
      </c>
      <c r="M153" s="2505">
        <v>168644</v>
      </c>
      <c r="N153" s="2505">
        <v>147872</v>
      </c>
      <c r="O153" s="2505">
        <v>649063</v>
      </c>
      <c r="P153" s="2613">
        <v>2570273</v>
      </c>
      <c r="Q153" s="2614">
        <v>898419</v>
      </c>
      <c r="R153" s="2512">
        <v>653267</v>
      </c>
      <c r="S153" s="2505">
        <v>167924</v>
      </c>
      <c r="T153" s="2505">
        <v>161990</v>
      </c>
      <c r="U153" s="2505">
        <v>641851</v>
      </c>
      <c r="V153" s="2613">
        <v>2523451</v>
      </c>
      <c r="W153" s="2614">
        <v>852483</v>
      </c>
      <c r="X153" s="2512">
        <v>624124</v>
      </c>
      <c r="Y153" s="2505">
        <v>160033</v>
      </c>
      <c r="Z153" s="2505">
        <v>175533</v>
      </c>
      <c r="AA153" s="2505">
        <v>623885</v>
      </c>
      <c r="AB153" s="2613">
        <v>2436058</v>
      </c>
      <c r="AC153" s="2614">
        <v>847748</v>
      </c>
      <c r="AD153" s="2512">
        <v>640500</v>
      </c>
      <c r="AE153" s="2505">
        <v>157625</v>
      </c>
      <c r="AF153" s="2505">
        <v>191736</v>
      </c>
      <c r="AG153" s="2505">
        <v>651804</v>
      </c>
      <c r="AH153" s="2613">
        <v>2489413</v>
      </c>
      <c r="AI153" s="2614">
        <v>665251</v>
      </c>
      <c r="AJ153" s="2512">
        <v>573448</v>
      </c>
      <c r="AK153" s="2505">
        <v>135890</v>
      </c>
      <c r="AL153" s="2505">
        <v>211881</v>
      </c>
      <c r="AM153" s="2505">
        <v>551180</v>
      </c>
      <c r="AN153" s="2613">
        <v>2137650</v>
      </c>
      <c r="AO153" s="2614">
        <v>633641</v>
      </c>
      <c r="AP153" s="2512">
        <v>555145</v>
      </c>
      <c r="AQ153" s="2505">
        <v>127392</v>
      </c>
      <c r="AR153" s="2505">
        <v>232448</v>
      </c>
      <c r="AS153" s="2505">
        <v>471941</v>
      </c>
      <c r="AT153" s="2613">
        <v>2020567</v>
      </c>
      <c r="AU153" s="2615">
        <v>650613</v>
      </c>
      <c r="AV153" s="2536">
        <v>574878</v>
      </c>
      <c r="AW153" s="2536">
        <v>124301</v>
      </c>
      <c r="AX153" s="2536">
        <v>47675</v>
      </c>
      <c r="AY153" s="2536">
        <v>260880</v>
      </c>
      <c r="AZ153" s="2616">
        <v>488335</v>
      </c>
      <c r="BA153" s="2612">
        <v>2099007</v>
      </c>
      <c r="BB153" s="2615">
        <f t="shared" ref="BB153:BO153" si="12">SUM(BB151:BB152)</f>
        <v>738458</v>
      </c>
      <c r="BC153" s="2536">
        <f t="shared" si="12"/>
        <v>651002</v>
      </c>
      <c r="BD153" s="2536">
        <f t="shared" si="12"/>
        <v>132661</v>
      </c>
      <c r="BE153" s="2536">
        <f t="shared" si="12"/>
        <v>62344</v>
      </c>
      <c r="BF153" s="2536">
        <f t="shared" si="12"/>
        <v>296641</v>
      </c>
      <c r="BG153" s="2616">
        <f t="shared" si="12"/>
        <v>549271</v>
      </c>
      <c r="BH153" s="2612">
        <f t="shared" si="12"/>
        <v>2447221</v>
      </c>
      <c r="BI153" s="2615">
        <f t="shared" si="12"/>
        <v>754655</v>
      </c>
      <c r="BJ153" s="2536">
        <f t="shared" si="12"/>
        <v>673573</v>
      </c>
      <c r="BK153" s="2536">
        <f t="shared" si="12"/>
        <v>132792</v>
      </c>
      <c r="BL153" s="2536">
        <f t="shared" si="12"/>
        <v>73355</v>
      </c>
      <c r="BM153" s="2536">
        <f t="shared" si="12"/>
        <v>348240</v>
      </c>
      <c r="BN153" s="2616">
        <f t="shared" si="12"/>
        <v>548898</v>
      </c>
      <c r="BO153" s="2612">
        <f t="shared" si="12"/>
        <v>2536196</v>
      </c>
    </row>
    <row r="154" spans="4:67" x14ac:dyDescent="0.3">
      <c r="L154" s="2506">
        <v>5341</v>
      </c>
      <c r="M154" s="2506">
        <v>2786</v>
      </c>
      <c r="N154" s="2506">
        <v>1393</v>
      </c>
      <c r="O154" s="2506">
        <v>14246</v>
      </c>
      <c r="P154" s="2617">
        <v>30256</v>
      </c>
      <c r="Q154" s="2618">
        <v>6888</v>
      </c>
      <c r="R154" s="2506">
        <v>6163</v>
      </c>
      <c r="S154" s="2506">
        <v>2896</v>
      </c>
      <c r="T154" s="2506">
        <v>831</v>
      </c>
      <c r="U154" s="2506">
        <v>11723</v>
      </c>
      <c r="V154" s="2617">
        <v>28501</v>
      </c>
      <c r="W154" s="2618">
        <v>7102</v>
      </c>
      <c r="X154" s="2506">
        <v>6042</v>
      </c>
      <c r="Y154" s="2506">
        <v>2970</v>
      </c>
      <c r="Z154" s="2506">
        <v>660</v>
      </c>
      <c r="AA154" s="2506">
        <v>11976</v>
      </c>
      <c r="AB154" s="2617">
        <v>28750</v>
      </c>
      <c r="AC154" s="2618">
        <v>7122</v>
      </c>
      <c r="AD154" s="2506">
        <v>6005</v>
      </c>
      <c r="AE154" s="2506">
        <v>3057</v>
      </c>
      <c r="AF154" s="2506">
        <v>580</v>
      </c>
      <c r="AG154" s="2506">
        <v>11710</v>
      </c>
      <c r="AH154" s="2617">
        <v>28474</v>
      </c>
      <c r="AI154" s="2618">
        <v>8450</v>
      </c>
      <c r="AJ154" s="2506">
        <v>6400</v>
      </c>
      <c r="AK154" s="2506">
        <v>3091</v>
      </c>
      <c r="AL154" s="2506">
        <v>452</v>
      </c>
      <c r="AM154" s="2506">
        <v>11739</v>
      </c>
      <c r="AN154" s="2617">
        <v>30132</v>
      </c>
      <c r="AO154" s="2618">
        <v>5129</v>
      </c>
      <c r="AP154" s="2506">
        <v>6208</v>
      </c>
      <c r="AQ154" s="2506">
        <v>2723</v>
      </c>
      <c r="AR154" s="2506">
        <v>367</v>
      </c>
      <c r="AS154" s="2506">
        <v>11303</v>
      </c>
      <c r="AT154" s="2617">
        <v>25730</v>
      </c>
      <c r="AU154" s="2619">
        <v>5966</v>
      </c>
      <c r="AV154" s="2537">
        <v>6325</v>
      </c>
      <c r="AW154" s="2537">
        <v>2513</v>
      </c>
      <c r="AX154" s="2537">
        <v>254</v>
      </c>
      <c r="AY154" s="2537">
        <v>318</v>
      </c>
      <c r="AZ154" s="2543">
        <v>10864</v>
      </c>
      <c r="BA154" s="2620">
        <v>25986</v>
      </c>
      <c r="BB154" s="2619">
        <v>5435</v>
      </c>
      <c r="BC154" s="2537">
        <v>5943</v>
      </c>
      <c r="BD154" s="2537">
        <v>2291</v>
      </c>
      <c r="BE154" s="2537">
        <v>231</v>
      </c>
      <c r="BF154" s="2537">
        <v>293</v>
      </c>
      <c r="BG154" s="2543">
        <v>10132</v>
      </c>
      <c r="BH154" s="2620">
        <v>24832</v>
      </c>
      <c r="BI154" s="2619">
        <v>4980</v>
      </c>
      <c r="BJ154" s="2537">
        <v>5756</v>
      </c>
      <c r="BK154" s="2537">
        <v>1936</v>
      </c>
      <c r="BL154" s="2537">
        <v>212</v>
      </c>
      <c r="BM154" s="2537">
        <v>287</v>
      </c>
      <c r="BN154" s="2543">
        <v>9007</v>
      </c>
      <c r="BO154" s="2620">
        <v>22608</v>
      </c>
    </row>
    <row r="155" spans="4:67" x14ac:dyDescent="0.3">
      <c r="L155" s="2506">
        <v>21584</v>
      </c>
      <c r="M155" s="2506">
        <v>24472</v>
      </c>
      <c r="N155" s="2506">
        <v>2812</v>
      </c>
      <c r="O155" s="2506">
        <v>251382</v>
      </c>
      <c r="P155" s="2617">
        <v>440315</v>
      </c>
      <c r="Q155" s="2618"/>
      <c r="R155" s="2506">
        <v>18872</v>
      </c>
      <c r="S155" s="2506">
        <v>21297</v>
      </c>
      <c r="T155" s="2506">
        <v>1873</v>
      </c>
      <c r="U155" s="2506">
        <v>54453</v>
      </c>
      <c r="V155" s="2617">
        <v>96495</v>
      </c>
      <c r="W155" s="2618">
        <v>94988</v>
      </c>
      <c r="X155" s="2506">
        <v>17603</v>
      </c>
      <c r="Y155" s="2506">
        <v>18595</v>
      </c>
      <c r="Z155" s="2506">
        <v>1310</v>
      </c>
      <c r="AA155" s="2506">
        <v>48326</v>
      </c>
      <c r="AB155" s="2617">
        <v>180822</v>
      </c>
      <c r="AC155" s="2618">
        <v>96488</v>
      </c>
      <c r="AD155" s="2506">
        <v>17769</v>
      </c>
      <c r="AE155" s="2506">
        <v>18386</v>
      </c>
      <c r="AF155" s="2506">
        <v>1295</v>
      </c>
      <c r="AG155" s="2506">
        <v>48455</v>
      </c>
      <c r="AH155" s="2617">
        <v>182393</v>
      </c>
      <c r="AI155" s="2618">
        <v>97198</v>
      </c>
      <c r="AJ155" s="2506">
        <v>18860</v>
      </c>
      <c r="AK155" s="2506">
        <v>18141</v>
      </c>
      <c r="AL155" s="2506">
        <v>1170</v>
      </c>
      <c r="AM155" s="2506">
        <v>49298</v>
      </c>
      <c r="AN155" s="2617">
        <v>184667</v>
      </c>
      <c r="AO155" s="2618">
        <v>95200</v>
      </c>
      <c r="AP155" s="2506">
        <v>18672</v>
      </c>
      <c r="AQ155" s="2506">
        <v>17506</v>
      </c>
      <c r="AR155" s="2506">
        <v>1132</v>
      </c>
      <c r="AS155" s="2506">
        <v>50072</v>
      </c>
      <c r="AT155" s="2617">
        <v>182582</v>
      </c>
      <c r="AU155" s="2619">
        <v>90868</v>
      </c>
      <c r="AV155" s="2537">
        <v>20539</v>
      </c>
      <c r="AW155" s="2537">
        <v>16524</v>
      </c>
      <c r="AX155" s="2537">
        <v>1270</v>
      </c>
      <c r="AY155" s="2537">
        <v>816</v>
      </c>
      <c r="AZ155" s="2543">
        <v>50668</v>
      </c>
      <c r="BA155" s="2620">
        <v>179415</v>
      </c>
      <c r="BB155" s="2619">
        <v>82381</v>
      </c>
      <c r="BC155" s="2537">
        <v>19976</v>
      </c>
      <c r="BD155" s="2537">
        <v>16000</v>
      </c>
      <c r="BE155" s="2537">
        <v>1234</v>
      </c>
      <c r="BF155" s="2537">
        <v>752</v>
      </c>
      <c r="BG155" s="2543">
        <v>4919</v>
      </c>
      <c r="BH155" s="2620">
        <v>170675</v>
      </c>
      <c r="BI155" s="2619">
        <v>87520</v>
      </c>
      <c r="BJ155" s="2537">
        <v>21649</v>
      </c>
      <c r="BK155" s="2537">
        <v>16954</v>
      </c>
      <c r="BL155" s="2537">
        <v>1741</v>
      </c>
      <c r="BM155" s="2537">
        <v>637</v>
      </c>
      <c r="BN155" s="2543">
        <v>51412</v>
      </c>
      <c r="BO155" s="2620">
        <v>180893</v>
      </c>
    </row>
    <row r="156" spans="4:67" x14ac:dyDescent="0.3">
      <c r="K156" s="2621"/>
      <c r="L156" s="2507">
        <v>70539</v>
      </c>
      <c r="M156" s="2507">
        <v>46141</v>
      </c>
      <c r="N156" s="2507">
        <v>134730</v>
      </c>
      <c r="O156" s="2507">
        <v>161434</v>
      </c>
      <c r="P156" s="2622">
        <v>745973</v>
      </c>
      <c r="Q156" s="2623">
        <v>340001</v>
      </c>
      <c r="R156" s="2507">
        <v>71528</v>
      </c>
      <c r="S156" s="2507">
        <v>48905</v>
      </c>
      <c r="T156" s="2507">
        <v>153368</v>
      </c>
      <c r="U156" s="2507">
        <v>168882</v>
      </c>
      <c r="V156" s="2622">
        <v>782684</v>
      </c>
      <c r="W156" s="2623">
        <v>354768</v>
      </c>
      <c r="X156" s="2507">
        <v>73694</v>
      </c>
      <c r="Y156" s="2507">
        <v>49608</v>
      </c>
      <c r="Z156" s="2507">
        <v>168227</v>
      </c>
      <c r="AA156" s="2507">
        <v>179027</v>
      </c>
      <c r="AB156" s="2622">
        <v>825324</v>
      </c>
      <c r="AC156" s="2623">
        <v>338965</v>
      </c>
      <c r="AD156" s="2507">
        <v>74574</v>
      </c>
      <c r="AE156" s="2507">
        <v>48197</v>
      </c>
      <c r="AF156" s="2507">
        <v>184139</v>
      </c>
      <c r="AG156" s="2507">
        <v>204010</v>
      </c>
      <c r="AH156" s="2622">
        <v>849885</v>
      </c>
      <c r="AI156" s="2623">
        <v>353355</v>
      </c>
      <c r="AJ156" s="2507">
        <v>76132</v>
      </c>
      <c r="AK156" s="2507">
        <v>49983</v>
      </c>
      <c r="AL156" s="2507">
        <v>209462</v>
      </c>
      <c r="AM156" s="2507">
        <v>201758</v>
      </c>
      <c r="AN156" s="2622">
        <v>890690</v>
      </c>
      <c r="AO156" s="2623">
        <v>342961</v>
      </c>
      <c r="AP156" s="2507">
        <v>71670</v>
      </c>
      <c r="AQ156" s="2507">
        <v>46324</v>
      </c>
      <c r="AR156" s="2507">
        <v>230257</v>
      </c>
      <c r="AS156" s="2507">
        <v>109540</v>
      </c>
      <c r="AT156" s="2622">
        <v>800752</v>
      </c>
      <c r="AU156" s="2611">
        <v>352741</v>
      </c>
      <c r="AV156" s="2535">
        <v>75027</v>
      </c>
      <c r="AW156" s="2535">
        <v>47039</v>
      </c>
      <c r="AX156" s="2535">
        <v>11078</v>
      </c>
      <c r="AY156" s="2535">
        <v>259108</v>
      </c>
      <c r="AZ156" s="2535">
        <v>120089</v>
      </c>
      <c r="BA156" s="2612">
        <v>854004</v>
      </c>
      <c r="BB156" s="2611">
        <v>346593</v>
      </c>
      <c r="BC156" s="2535">
        <v>76076</v>
      </c>
      <c r="BD156" s="2535">
        <v>46399</v>
      </c>
      <c r="BE156" s="2535">
        <v>11193</v>
      </c>
      <c r="BF156" s="2535">
        <v>293082</v>
      </c>
      <c r="BG156" s="2535">
        <v>117064</v>
      </c>
      <c r="BH156" s="2612">
        <v>963129</v>
      </c>
      <c r="BI156" s="2611">
        <v>333671</v>
      </c>
      <c r="BJ156" s="2535">
        <v>71844</v>
      </c>
      <c r="BK156" s="2535">
        <v>45357</v>
      </c>
      <c r="BL156" s="2535">
        <v>10807</v>
      </c>
      <c r="BM156" s="2535">
        <v>345376</v>
      </c>
      <c r="BN156" s="2535">
        <v>111138</v>
      </c>
      <c r="BO156" s="2612">
        <v>990097</v>
      </c>
    </row>
    <row r="157" spans="4:67" x14ac:dyDescent="0.3">
      <c r="E157" s="4390" t="s">
        <v>1071</v>
      </c>
      <c r="F157" s="4391"/>
      <c r="G157" s="4391"/>
      <c r="H157" s="4391"/>
      <c r="I157" s="4391"/>
      <c r="J157" s="4392"/>
      <c r="K157" s="2624" t="s">
        <v>142</v>
      </c>
      <c r="L157" s="2625">
        <f t="shared" ref="L157:BO157" si="13">+L156/L153</f>
        <v>0.10410569519651815</v>
      </c>
      <c r="M157" s="2625">
        <f t="shared" si="13"/>
        <v>0.27360000948744101</v>
      </c>
      <c r="N157" s="2625">
        <f t="shared" si="13"/>
        <v>0.9111258385630816</v>
      </c>
      <c r="O157" s="2625">
        <f t="shared" si="13"/>
        <v>0.24871853733766985</v>
      </c>
      <c r="P157" s="2626">
        <f t="shared" si="13"/>
        <v>0.29023103771467079</v>
      </c>
      <c r="Q157" s="2627">
        <f t="shared" si="13"/>
        <v>0.37844368830133823</v>
      </c>
      <c r="R157" s="2625">
        <f t="shared" si="13"/>
        <v>0.10949274951895627</v>
      </c>
      <c r="S157" s="2625">
        <f t="shared" si="13"/>
        <v>0.29123293871036898</v>
      </c>
      <c r="T157" s="2625">
        <f t="shared" si="13"/>
        <v>0.94677449225260824</v>
      </c>
      <c r="U157" s="2625">
        <f t="shared" si="13"/>
        <v>0.26311714089407046</v>
      </c>
      <c r="V157" s="2626">
        <f t="shared" si="13"/>
        <v>0.31016413633551831</v>
      </c>
      <c r="W157" s="2627">
        <f t="shared" si="13"/>
        <v>0.41615844538835378</v>
      </c>
      <c r="X157" s="2625">
        <f t="shared" si="13"/>
        <v>0.11807589517467683</v>
      </c>
      <c r="Y157" s="2625">
        <f t="shared" si="13"/>
        <v>0.30998606537401663</v>
      </c>
      <c r="Z157" s="2625">
        <f t="shared" si="13"/>
        <v>0.9583781966923598</v>
      </c>
      <c r="AA157" s="2625">
        <f t="shared" si="13"/>
        <v>0.28695512794825967</v>
      </c>
      <c r="AB157" s="2626">
        <f t="shared" si="13"/>
        <v>0.33879488912004557</v>
      </c>
      <c r="AC157" s="2627">
        <f t="shared" si="13"/>
        <v>0.39984169824051485</v>
      </c>
      <c r="AD157" s="2625">
        <f t="shared" si="13"/>
        <v>0.11643091334894613</v>
      </c>
      <c r="AE157" s="2625">
        <f t="shared" si="13"/>
        <v>0.30577002379064233</v>
      </c>
      <c r="AF157" s="2625">
        <f t="shared" si="13"/>
        <v>0.9603778111570076</v>
      </c>
      <c r="AG157" s="2625">
        <f t="shared" si="13"/>
        <v>0.31299286288516182</v>
      </c>
      <c r="AH157" s="2626">
        <f t="shared" si="13"/>
        <v>0.34139975970238767</v>
      </c>
      <c r="AI157" s="2627">
        <f t="shared" si="13"/>
        <v>0.53116041915006518</v>
      </c>
      <c r="AJ157" s="2625">
        <f t="shared" si="13"/>
        <v>0.13276181972907744</v>
      </c>
      <c r="AK157" s="2625">
        <f t="shared" si="13"/>
        <v>0.36781955993818527</v>
      </c>
      <c r="AL157" s="2625">
        <f t="shared" si="13"/>
        <v>0.98858321416266681</v>
      </c>
      <c r="AM157" s="2625">
        <f t="shared" si="13"/>
        <v>0.36604738923763563</v>
      </c>
      <c r="AN157" s="2626">
        <f t="shared" si="13"/>
        <v>0.41666783617523917</v>
      </c>
      <c r="AO157" s="2627">
        <f t="shared" si="13"/>
        <v>0.54125443271505469</v>
      </c>
      <c r="AP157" s="2625">
        <f t="shared" si="13"/>
        <v>0.12910140593898892</v>
      </c>
      <c r="AQ157" s="2625">
        <f t="shared" si="13"/>
        <v>0.36363350916855064</v>
      </c>
      <c r="AR157" s="2625">
        <f t="shared" si="13"/>
        <v>0.99057423595814975</v>
      </c>
      <c r="AS157" s="2625">
        <f t="shared" si="13"/>
        <v>0.23210528434698405</v>
      </c>
      <c r="AT157" s="2626">
        <f t="shared" si="13"/>
        <v>0.39630064234445084</v>
      </c>
      <c r="AU157" s="2627">
        <f t="shared" si="13"/>
        <v>0.54216715620499434</v>
      </c>
      <c r="AV157" s="2625">
        <f t="shared" si="13"/>
        <v>0.13050942982685021</v>
      </c>
      <c r="AW157" s="2625">
        <f t="shared" si="13"/>
        <v>0.37842817032847686</v>
      </c>
      <c r="AX157" s="2625">
        <f t="shared" si="13"/>
        <v>0.23236497115888829</v>
      </c>
      <c r="AY157" s="2625">
        <f t="shared" si="13"/>
        <v>0.99320760502913219</v>
      </c>
      <c r="AZ157" s="2625">
        <f t="shared" si="13"/>
        <v>0.24591520165460187</v>
      </c>
      <c r="BA157" s="2626">
        <f t="shared" si="13"/>
        <v>0.40686095853896626</v>
      </c>
      <c r="BB157" s="2627">
        <f t="shared" si="13"/>
        <v>0.4693469364540705</v>
      </c>
      <c r="BC157" s="2625">
        <f t="shared" si="13"/>
        <v>0.11685985603730864</v>
      </c>
      <c r="BD157" s="2625">
        <f t="shared" si="13"/>
        <v>0.34975614536299288</v>
      </c>
      <c r="BE157" s="2625">
        <f t="shared" si="13"/>
        <v>0.17953612216091364</v>
      </c>
      <c r="BF157" s="2625">
        <f t="shared" si="13"/>
        <v>0.98800233278609495</v>
      </c>
      <c r="BG157" s="2625">
        <f t="shared" si="13"/>
        <v>0.21312612535524358</v>
      </c>
      <c r="BH157" s="2626">
        <f t="shared" si="13"/>
        <v>0.39356028736268606</v>
      </c>
      <c r="BI157" s="2627">
        <f t="shared" si="13"/>
        <v>0.44215038660049955</v>
      </c>
      <c r="BJ157" s="2625">
        <f t="shared" si="13"/>
        <v>0.10666104490530351</v>
      </c>
      <c r="BK157" s="2625">
        <f t="shared" si="13"/>
        <v>0.34156425085848546</v>
      </c>
      <c r="BL157" s="2625">
        <f t="shared" si="13"/>
        <v>0.14732465407947651</v>
      </c>
      <c r="BM157" s="2625">
        <f t="shared" si="13"/>
        <v>0.99177578681369172</v>
      </c>
      <c r="BN157" s="2625">
        <f t="shared" si="13"/>
        <v>0.20247477673447525</v>
      </c>
      <c r="BO157" s="2626">
        <f t="shared" si="13"/>
        <v>0.39038662627020942</v>
      </c>
    </row>
    <row r="158" spans="4:67" x14ac:dyDescent="0.3">
      <c r="D158" s="2628"/>
      <c r="E158" s="2606" t="s">
        <v>1072</v>
      </c>
      <c r="F158" s="2604" t="s">
        <v>1073</v>
      </c>
      <c r="G158" s="2604" t="s">
        <v>1074</v>
      </c>
      <c r="H158" s="2604" t="s">
        <v>1075</v>
      </c>
      <c r="I158" s="2604" t="s">
        <v>1076</v>
      </c>
      <c r="J158" s="2605" t="s">
        <v>1077</v>
      </c>
      <c r="K158" s="2606" t="s">
        <v>1072</v>
      </c>
    </row>
    <row r="159" spans="4:67" x14ac:dyDescent="0.3">
      <c r="D159" s="2629" t="s">
        <v>1068</v>
      </c>
      <c r="E159" s="2610">
        <v>202455</v>
      </c>
      <c r="F159" s="2504">
        <v>114105</v>
      </c>
      <c r="G159" s="2504">
        <v>21392</v>
      </c>
      <c r="H159" s="2504">
        <v>8142</v>
      </c>
      <c r="I159" s="2504">
        <v>115685</v>
      </c>
      <c r="J159" s="2609">
        <v>461779</v>
      </c>
      <c r="K159" s="2610">
        <v>170987</v>
      </c>
    </row>
    <row r="160" spans="4:67" x14ac:dyDescent="0.3">
      <c r="D160" s="2629" t="s">
        <v>1104</v>
      </c>
      <c r="E160" s="2610">
        <v>847266</v>
      </c>
      <c r="F160" s="2504">
        <v>597256</v>
      </c>
      <c r="G160" s="2504">
        <v>158969</v>
      </c>
      <c r="H160" s="2504">
        <v>129425</v>
      </c>
      <c r="I160" s="2504">
        <v>656737</v>
      </c>
      <c r="J160" s="2609">
        <v>2389653</v>
      </c>
      <c r="K160" s="2610">
        <v>756136</v>
      </c>
    </row>
    <row r="161" spans="4:11" x14ac:dyDescent="0.3">
      <c r="D161" s="2630" t="s">
        <v>721</v>
      </c>
      <c r="E161" s="2614">
        <v>1049721</v>
      </c>
      <c r="F161" s="2512">
        <v>711361</v>
      </c>
      <c r="G161" s="2505">
        <v>180361</v>
      </c>
      <c r="H161" s="2505">
        <v>137567</v>
      </c>
      <c r="I161" s="2505">
        <v>772422</v>
      </c>
      <c r="J161" s="2613">
        <v>2851432</v>
      </c>
      <c r="K161" s="2614">
        <v>927123</v>
      </c>
    </row>
    <row r="162" spans="4:11" x14ac:dyDescent="0.3">
      <c r="D162" s="2631" t="s">
        <v>1069</v>
      </c>
      <c r="E162" s="2618">
        <v>10274</v>
      </c>
      <c r="F162" s="2506">
        <v>6554</v>
      </c>
      <c r="G162" s="2506">
        <v>3783</v>
      </c>
      <c r="H162" s="2506">
        <v>1760</v>
      </c>
      <c r="I162" s="2506">
        <v>19998</v>
      </c>
      <c r="J162" s="2617">
        <v>42369</v>
      </c>
      <c r="K162" s="2618">
        <v>6490</v>
      </c>
    </row>
    <row r="163" spans="4:11" x14ac:dyDescent="0.3">
      <c r="D163" s="2631" t="s">
        <v>1070</v>
      </c>
      <c r="E163" s="2618">
        <v>216302</v>
      </c>
      <c r="F163" s="2506">
        <v>30739</v>
      </c>
      <c r="G163" s="2506">
        <v>35073</v>
      </c>
      <c r="H163" s="2506">
        <v>4158</v>
      </c>
      <c r="I163" s="2506">
        <v>100811</v>
      </c>
      <c r="J163" s="2617">
        <v>387083</v>
      </c>
      <c r="K163" s="2618">
        <v>140065</v>
      </c>
    </row>
    <row r="164" spans="4:11" x14ac:dyDescent="0.3">
      <c r="D164" s="2631" t="s">
        <v>1105</v>
      </c>
      <c r="E164" s="2623">
        <v>345459</v>
      </c>
      <c r="F164" s="2507">
        <v>76795</v>
      </c>
      <c r="G164" s="2507">
        <v>44534</v>
      </c>
      <c r="H164" s="2507">
        <v>118655</v>
      </c>
      <c r="I164" s="2507">
        <v>172131</v>
      </c>
      <c r="J164" s="2622">
        <v>757574</v>
      </c>
      <c r="K164" s="2623">
        <v>333129</v>
      </c>
    </row>
    <row r="165" spans="4:11" ht="25.5" x14ac:dyDescent="0.3">
      <c r="D165" s="2632" t="s">
        <v>1106</v>
      </c>
      <c r="E165" s="2627">
        <f t="shared" ref="E165:K165" si="14">+E164/E161</f>
        <v>0.32909601694164448</v>
      </c>
      <c r="F165" s="2625">
        <f t="shared" si="14"/>
        <v>0.10795503267679842</v>
      </c>
      <c r="G165" s="2625">
        <f t="shared" si="14"/>
        <v>0.24691590754098725</v>
      </c>
      <c r="H165" s="2625">
        <f t="shared" si="14"/>
        <v>0.8625251695537447</v>
      </c>
      <c r="I165" s="2625">
        <f t="shared" si="14"/>
        <v>0.22284580190621189</v>
      </c>
      <c r="J165" s="2626">
        <f t="shared" si="14"/>
        <v>0.26568194507180953</v>
      </c>
      <c r="K165" s="2627">
        <f t="shared" si="14"/>
        <v>0.35931478347533174</v>
      </c>
    </row>
  </sheetData>
  <mergeCells count="17">
    <mergeCell ref="D147:K147"/>
    <mergeCell ref="D3:K3"/>
    <mergeCell ref="D4:K4"/>
    <mergeCell ref="D5:K5"/>
    <mergeCell ref="D8:J8"/>
    <mergeCell ref="D146:K146"/>
    <mergeCell ref="D148:K148"/>
    <mergeCell ref="D149:K149"/>
    <mergeCell ref="Q149:V149"/>
    <mergeCell ref="W149:AB149"/>
    <mergeCell ref="AC149:AH149"/>
    <mergeCell ref="AO149:AT149"/>
    <mergeCell ref="AU149:BA149"/>
    <mergeCell ref="BB149:BH149"/>
    <mergeCell ref="BI149:BO149"/>
    <mergeCell ref="E157:J157"/>
    <mergeCell ref="AI149:AN149"/>
  </mergeCells>
  <conditionalFormatting sqref="E157 AU149 AU150:BA157 L150:P157 E158:K165 D10:K83 D91:F92 D84:D90 H91:K92 D93:D99 E96:F98 K96:K98 G96:J97 L93:L124 D126:T127 Z123 E129:T144 L128:T128">
    <cfRule type="cellIs" dxfId="50" priority="51" operator="lessThan">
      <formula>0</formula>
    </cfRule>
  </conditionalFormatting>
  <conditionalFormatting sqref="K157 Q149 W149 AC149 AI149">
    <cfRule type="cellIs" dxfId="49" priority="50" operator="lessThan">
      <formula>0</formula>
    </cfRule>
  </conditionalFormatting>
  <conditionalFormatting sqref="Q150:V157">
    <cfRule type="cellIs" dxfId="48" priority="49" operator="lessThan">
      <formula>0</formula>
    </cfRule>
  </conditionalFormatting>
  <conditionalFormatting sqref="W150:AB157">
    <cfRule type="cellIs" dxfId="47" priority="48" operator="lessThan">
      <formula>0</formula>
    </cfRule>
  </conditionalFormatting>
  <conditionalFormatting sqref="AO150:AT157">
    <cfRule type="cellIs" dxfId="46" priority="45" operator="lessThan">
      <formula>0</formula>
    </cfRule>
  </conditionalFormatting>
  <conditionalFormatting sqref="AC150:AH157">
    <cfRule type="cellIs" dxfId="45" priority="47" operator="lessThan">
      <formula>0</formula>
    </cfRule>
  </conditionalFormatting>
  <conditionalFormatting sqref="AI150:AN157">
    <cfRule type="cellIs" dxfId="44" priority="46" operator="lessThan">
      <formula>0</formula>
    </cfRule>
  </conditionalFormatting>
  <conditionalFormatting sqref="AO149">
    <cfRule type="cellIs" dxfId="43" priority="42" operator="lessThan">
      <formula>0</formula>
    </cfRule>
  </conditionalFormatting>
  <conditionalFormatting sqref="BB149 BB150:BH157">
    <cfRule type="cellIs" dxfId="42" priority="44" operator="lessThan">
      <formula>0</formula>
    </cfRule>
  </conditionalFormatting>
  <conditionalFormatting sqref="BI149 BI150:BO157">
    <cfRule type="cellIs" dxfId="41" priority="43" operator="lessThan">
      <formula>0</formula>
    </cfRule>
  </conditionalFormatting>
  <conditionalFormatting sqref="L84:L89">
    <cfRule type="cellIs" dxfId="40" priority="41" operator="lessThan">
      <formula>0</formula>
    </cfRule>
  </conditionalFormatting>
  <conditionalFormatting sqref="L90">
    <cfRule type="cellIs" dxfId="39" priority="40" operator="lessThan">
      <formula>0</formula>
    </cfRule>
  </conditionalFormatting>
  <conditionalFormatting sqref="E84:F89 H84:J89">
    <cfRule type="cellIs" dxfId="38" priority="39" operator="lessThan">
      <formula>0</formula>
    </cfRule>
  </conditionalFormatting>
  <conditionalFormatting sqref="K84:K89">
    <cfRule type="cellIs" dxfId="37" priority="38" operator="lessThan">
      <formula>0</formula>
    </cfRule>
  </conditionalFormatting>
  <conditionalFormatting sqref="K90">
    <cfRule type="cellIs" dxfId="36" priority="37" operator="lessThan">
      <formula>0</formula>
    </cfRule>
  </conditionalFormatting>
  <conditionalFormatting sqref="E90:F90 H90:J90">
    <cfRule type="cellIs" dxfId="35" priority="36" operator="lessThan">
      <formula>0</formula>
    </cfRule>
  </conditionalFormatting>
  <conditionalFormatting sqref="G84:G90">
    <cfRule type="cellIs" dxfId="34" priority="35" operator="lessThan">
      <formula>0</formula>
    </cfRule>
  </conditionalFormatting>
  <conditionalFormatting sqref="E93:F95 H93:J95 I98:J98">
    <cfRule type="cellIs" dxfId="33" priority="34" operator="lessThan">
      <formula>0</formula>
    </cfRule>
  </conditionalFormatting>
  <conditionalFormatting sqref="K93:K95">
    <cfRule type="cellIs" dxfId="32" priority="33" operator="lessThan">
      <formula>0</formula>
    </cfRule>
  </conditionalFormatting>
  <conditionalFormatting sqref="H98">
    <cfRule type="cellIs" dxfId="31" priority="32" operator="lessThan">
      <formula>0</formula>
    </cfRule>
  </conditionalFormatting>
  <conditionalFormatting sqref="G91">
    <cfRule type="cellIs" dxfId="30" priority="31" operator="lessThan">
      <formula>0</formula>
    </cfRule>
  </conditionalFormatting>
  <conditionalFormatting sqref="G93:G95">
    <cfRule type="cellIs" dxfId="29" priority="30" operator="lessThan">
      <formula>0</formula>
    </cfRule>
  </conditionalFormatting>
  <conditionalFormatting sqref="G98">
    <cfRule type="cellIs" dxfId="28" priority="29" operator="lessThan">
      <formula>0</formula>
    </cfRule>
  </conditionalFormatting>
  <conditionalFormatting sqref="G99">
    <cfRule type="cellIs" dxfId="27" priority="28" operator="lessThan">
      <formula>0</formula>
    </cfRule>
  </conditionalFormatting>
  <conditionalFormatting sqref="G92">
    <cfRule type="cellIs" dxfId="26" priority="27" operator="lessThan">
      <formula>0</formula>
    </cfRule>
  </conditionalFormatting>
  <conditionalFormatting sqref="D100:F100 H100:K100 D101:D112 E106:F111 K106:K111 G106:J110">
    <cfRule type="cellIs" dxfId="25" priority="26" operator="lessThan">
      <formula>0</formula>
    </cfRule>
  </conditionalFormatting>
  <conditionalFormatting sqref="E101:F105 H101:J105 I111:J111">
    <cfRule type="cellIs" dxfId="24" priority="25" operator="lessThan">
      <formula>0</formula>
    </cfRule>
  </conditionalFormatting>
  <conditionalFormatting sqref="K101:K105">
    <cfRule type="cellIs" dxfId="23" priority="24" operator="lessThan">
      <formula>0</formula>
    </cfRule>
  </conditionalFormatting>
  <conditionalFormatting sqref="H111">
    <cfRule type="cellIs" dxfId="22" priority="23" operator="lessThan">
      <formula>0</formula>
    </cfRule>
  </conditionalFormatting>
  <conditionalFormatting sqref="G101:G105">
    <cfRule type="cellIs" dxfId="21" priority="22" operator="lessThan">
      <formula>0</formula>
    </cfRule>
  </conditionalFormatting>
  <conditionalFormatting sqref="G111">
    <cfRule type="cellIs" dxfId="20" priority="21" operator="lessThan">
      <formula>0</formula>
    </cfRule>
  </conditionalFormatting>
  <conditionalFormatting sqref="G112">
    <cfRule type="cellIs" dxfId="19" priority="20" operator="lessThan">
      <formula>0</formula>
    </cfRule>
  </conditionalFormatting>
  <conditionalFormatting sqref="G100">
    <cfRule type="cellIs" dxfId="18" priority="19" operator="lessThan">
      <formula>0</formula>
    </cfRule>
  </conditionalFormatting>
  <conditionalFormatting sqref="D113:F113 H113:K113 D114:D116 E119:F124 K119:K124 G119:J123 D125:D127">
    <cfRule type="cellIs" dxfId="17" priority="18" operator="lessThan">
      <formula>0</formula>
    </cfRule>
  </conditionalFormatting>
  <conditionalFormatting sqref="E114:F116 H114:J116 I124:J124 H118:J118 E118:F118">
    <cfRule type="cellIs" dxfId="16" priority="17" operator="lessThan">
      <formula>0</formula>
    </cfRule>
  </conditionalFormatting>
  <conditionalFormatting sqref="K114:K116 K118">
    <cfRule type="cellIs" dxfId="15" priority="16" operator="lessThan">
      <formula>0</formula>
    </cfRule>
  </conditionalFormatting>
  <conditionalFormatting sqref="H124">
    <cfRule type="cellIs" dxfId="14" priority="15" operator="lessThan">
      <formula>0</formula>
    </cfRule>
  </conditionalFormatting>
  <conditionalFormatting sqref="G114:G116 G118">
    <cfRule type="cellIs" dxfId="13" priority="14" operator="lessThan">
      <formula>0</formula>
    </cfRule>
  </conditionalFormatting>
  <conditionalFormatting sqref="G124">
    <cfRule type="cellIs" dxfId="12" priority="13" operator="lessThan">
      <formula>0</formula>
    </cfRule>
  </conditionalFormatting>
  <conditionalFormatting sqref="G125:G127 G129:G143">
    <cfRule type="cellIs" dxfId="11" priority="12" operator="lessThan">
      <formula>0</formula>
    </cfRule>
  </conditionalFormatting>
  <conditionalFormatting sqref="G113">
    <cfRule type="cellIs" dxfId="10" priority="11" operator="lessThan">
      <formula>0</formula>
    </cfRule>
  </conditionalFormatting>
  <conditionalFormatting sqref="D144">
    <cfRule type="cellIs" dxfId="9" priority="10" operator="lessThan">
      <formula>0</formula>
    </cfRule>
  </conditionalFormatting>
  <conditionalFormatting sqref="D128:D143">
    <cfRule type="cellIs" dxfId="8" priority="9" operator="lessThan">
      <formula>0</formula>
    </cfRule>
  </conditionalFormatting>
  <conditionalFormatting sqref="D120:D124">
    <cfRule type="cellIs" dxfId="7" priority="8" operator="lessThan">
      <formula>0</formula>
    </cfRule>
  </conditionalFormatting>
  <conditionalFormatting sqref="E128:F128 H128:J128">
    <cfRule type="cellIs" dxfId="6" priority="7" operator="lessThan">
      <formula>0</formula>
    </cfRule>
  </conditionalFormatting>
  <conditionalFormatting sqref="K128">
    <cfRule type="cellIs" dxfId="5" priority="6" operator="lessThan">
      <formula>0</formula>
    </cfRule>
  </conditionalFormatting>
  <conditionalFormatting sqref="G128">
    <cfRule type="cellIs" dxfId="4" priority="5" operator="lessThan">
      <formula>0</formula>
    </cfRule>
  </conditionalFormatting>
  <conditionalFormatting sqref="D117:D119">
    <cfRule type="cellIs" dxfId="3" priority="4" operator="lessThan">
      <formula>0</formula>
    </cfRule>
  </conditionalFormatting>
  <conditionalFormatting sqref="E117:F117 H117:J117">
    <cfRule type="cellIs" dxfId="2" priority="3" operator="lessThan">
      <formula>0</formula>
    </cfRule>
  </conditionalFormatting>
  <conditionalFormatting sqref="K117">
    <cfRule type="cellIs" dxfId="1" priority="2" operator="lessThan">
      <formula>0</formula>
    </cfRule>
  </conditionalFormatting>
  <conditionalFormatting sqref="G117">
    <cfRule type="cellIs" dxfId="0" priority="1" operator="lessThan">
      <formula>0</formula>
    </cfRule>
  </conditionalFormatting>
  <pageMargins left="0.74803149606299213" right="0.74803149606299213" top="0.98425196850393704" bottom="0.98425196850393704" header="0.51181102362204722" footer="0.51181102362204722"/>
  <pageSetup paperSize="9" scale="98" fitToHeight="0" orientation="landscape" r:id="rId1"/>
  <headerFooter alignWithMargins="0">
    <oddHeader>&amp;C&amp;"-,Bold"DEVELOPMENT INDICATORS 2014</oddHeader>
    <oddFooter>&amp;LDepartment of Planning, Monitoring and Evaluation (DPME). &amp;CPage &amp;P of &amp;N&amp;R&amp;D</oddFooter>
  </headerFooter>
  <rowBreaks count="2" manualBreakCount="2">
    <brk id="43" max="19" man="1"/>
    <brk id="65" max="19" man="1"/>
  </row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B127"/>
  <sheetViews>
    <sheetView showGridLines="0" view="pageBreakPreview" topLeftCell="A2" zoomScale="90" zoomScaleNormal="100" zoomScaleSheetLayoutView="90" workbookViewId="0">
      <selection activeCell="A36" sqref="A36"/>
    </sheetView>
  </sheetViews>
  <sheetFormatPr defaultColWidth="9.140625" defaultRowHeight="15" x14ac:dyDescent="0.25"/>
  <cols>
    <col min="1" max="1" width="3.7109375" style="2358" customWidth="1"/>
    <col min="2" max="2" width="14.42578125" style="2355" customWidth="1"/>
    <col min="3" max="3" width="3.7109375" style="2355" customWidth="1"/>
    <col min="4" max="4" width="20.42578125" style="2357" customWidth="1"/>
    <col min="5" max="19" width="7.5703125" style="2357" customWidth="1"/>
    <col min="20" max="23" width="9.140625" style="2357"/>
    <col min="24" max="24" width="8.7109375" style="2357" customWidth="1"/>
    <col min="25" max="25" width="8.28515625" style="2357" customWidth="1"/>
    <col min="26" max="27" width="7.42578125" style="2357" customWidth="1"/>
    <col min="28" max="28" width="8.5703125" style="2357" customWidth="1"/>
    <col min="29" max="257" width="9.140625" style="2357"/>
    <col min="258" max="258" width="3.7109375" style="2357" customWidth="1"/>
    <col min="259" max="259" width="14.42578125" style="2357" customWidth="1"/>
    <col min="260" max="260" width="3.7109375" style="2357" customWidth="1"/>
    <col min="261" max="261" width="20.42578125" style="2357" customWidth="1"/>
    <col min="262" max="276" width="7.5703125" style="2357" customWidth="1"/>
    <col min="277" max="513" width="9.140625" style="2357"/>
    <col min="514" max="514" width="3.7109375" style="2357" customWidth="1"/>
    <col min="515" max="515" width="14.42578125" style="2357" customWidth="1"/>
    <col min="516" max="516" width="3.7109375" style="2357" customWidth="1"/>
    <col min="517" max="517" width="20.42578125" style="2357" customWidth="1"/>
    <col min="518" max="532" width="7.5703125" style="2357" customWidth="1"/>
    <col min="533" max="769" width="9.140625" style="2357"/>
    <col min="770" max="770" width="3.7109375" style="2357" customWidth="1"/>
    <col min="771" max="771" width="14.42578125" style="2357" customWidth="1"/>
    <col min="772" max="772" width="3.7109375" style="2357" customWidth="1"/>
    <col min="773" max="773" width="20.42578125" style="2357" customWidth="1"/>
    <col min="774" max="788" width="7.5703125" style="2357" customWidth="1"/>
    <col min="789" max="1025" width="9.140625" style="2357"/>
    <col min="1026" max="1026" width="3.7109375" style="2357" customWidth="1"/>
    <col min="1027" max="1027" width="14.42578125" style="2357" customWidth="1"/>
    <col min="1028" max="1028" width="3.7109375" style="2357" customWidth="1"/>
    <col min="1029" max="1029" width="20.42578125" style="2357" customWidth="1"/>
    <col min="1030" max="1044" width="7.5703125" style="2357" customWidth="1"/>
    <col min="1045" max="1281" width="9.140625" style="2357"/>
    <col min="1282" max="1282" width="3.7109375" style="2357" customWidth="1"/>
    <col min="1283" max="1283" width="14.42578125" style="2357" customWidth="1"/>
    <col min="1284" max="1284" width="3.7109375" style="2357" customWidth="1"/>
    <col min="1285" max="1285" width="20.42578125" style="2357" customWidth="1"/>
    <col min="1286" max="1300" width="7.5703125" style="2357" customWidth="1"/>
    <col min="1301" max="1537" width="9.140625" style="2357"/>
    <col min="1538" max="1538" width="3.7109375" style="2357" customWidth="1"/>
    <col min="1539" max="1539" width="14.42578125" style="2357" customWidth="1"/>
    <col min="1540" max="1540" width="3.7109375" style="2357" customWidth="1"/>
    <col min="1541" max="1541" width="20.42578125" style="2357" customWidth="1"/>
    <col min="1542" max="1556" width="7.5703125" style="2357" customWidth="1"/>
    <col min="1557" max="1793" width="9.140625" style="2357"/>
    <col min="1794" max="1794" width="3.7109375" style="2357" customWidth="1"/>
    <col min="1795" max="1795" width="14.42578125" style="2357" customWidth="1"/>
    <col min="1796" max="1796" width="3.7109375" style="2357" customWidth="1"/>
    <col min="1797" max="1797" width="20.42578125" style="2357" customWidth="1"/>
    <col min="1798" max="1812" width="7.5703125" style="2357" customWidth="1"/>
    <col min="1813" max="2049" width="9.140625" style="2357"/>
    <col min="2050" max="2050" width="3.7109375" style="2357" customWidth="1"/>
    <col min="2051" max="2051" width="14.42578125" style="2357" customWidth="1"/>
    <col min="2052" max="2052" width="3.7109375" style="2357" customWidth="1"/>
    <col min="2053" max="2053" width="20.42578125" style="2357" customWidth="1"/>
    <col min="2054" max="2068" width="7.5703125" style="2357" customWidth="1"/>
    <col min="2069" max="2305" width="9.140625" style="2357"/>
    <col min="2306" max="2306" width="3.7109375" style="2357" customWidth="1"/>
    <col min="2307" max="2307" width="14.42578125" style="2357" customWidth="1"/>
    <col min="2308" max="2308" width="3.7109375" style="2357" customWidth="1"/>
    <col min="2309" max="2309" width="20.42578125" style="2357" customWidth="1"/>
    <col min="2310" max="2324" width="7.5703125" style="2357" customWidth="1"/>
    <col min="2325" max="2561" width="9.140625" style="2357"/>
    <col min="2562" max="2562" width="3.7109375" style="2357" customWidth="1"/>
    <col min="2563" max="2563" width="14.42578125" style="2357" customWidth="1"/>
    <col min="2564" max="2564" width="3.7109375" style="2357" customWidth="1"/>
    <col min="2565" max="2565" width="20.42578125" style="2357" customWidth="1"/>
    <col min="2566" max="2580" width="7.5703125" style="2357" customWidth="1"/>
    <col min="2581" max="2817" width="9.140625" style="2357"/>
    <col min="2818" max="2818" width="3.7109375" style="2357" customWidth="1"/>
    <col min="2819" max="2819" width="14.42578125" style="2357" customWidth="1"/>
    <col min="2820" max="2820" width="3.7109375" style="2357" customWidth="1"/>
    <col min="2821" max="2821" width="20.42578125" style="2357" customWidth="1"/>
    <col min="2822" max="2836" width="7.5703125" style="2357" customWidth="1"/>
    <col min="2837" max="3073" width="9.140625" style="2357"/>
    <col min="3074" max="3074" width="3.7109375" style="2357" customWidth="1"/>
    <col min="3075" max="3075" width="14.42578125" style="2357" customWidth="1"/>
    <col min="3076" max="3076" width="3.7109375" style="2357" customWidth="1"/>
    <col min="3077" max="3077" width="20.42578125" style="2357" customWidth="1"/>
    <col min="3078" max="3092" width="7.5703125" style="2357" customWidth="1"/>
    <col min="3093" max="3329" width="9.140625" style="2357"/>
    <col min="3330" max="3330" width="3.7109375" style="2357" customWidth="1"/>
    <col min="3331" max="3331" width="14.42578125" style="2357" customWidth="1"/>
    <col min="3332" max="3332" width="3.7109375" style="2357" customWidth="1"/>
    <col min="3333" max="3333" width="20.42578125" style="2357" customWidth="1"/>
    <col min="3334" max="3348" width="7.5703125" style="2357" customWidth="1"/>
    <col min="3349" max="3585" width="9.140625" style="2357"/>
    <col min="3586" max="3586" width="3.7109375" style="2357" customWidth="1"/>
    <col min="3587" max="3587" width="14.42578125" style="2357" customWidth="1"/>
    <col min="3588" max="3588" width="3.7109375" style="2357" customWidth="1"/>
    <col min="3589" max="3589" width="20.42578125" style="2357" customWidth="1"/>
    <col min="3590" max="3604" width="7.5703125" style="2357" customWidth="1"/>
    <col min="3605" max="3841" width="9.140625" style="2357"/>
    <col min="3842" max="3842" width="3.7109375" style="2357" customWidth="1"/>
    <col min="3843" max="3843" width="14.42578125" style="2357" customWidth="1"/>
    <col min="3844" max="3844" width="3.7109375" style="2357" customWidth="1"/>
    <col min="3845" max="3845" width="20.42578125" style="2357" customWidth="1"/>
    <col min="3846" max="3860" width="7.5703125" style="2357" customWidth="1"/>
    <col min="3861" max="4097" width="9.140625" style="2357"/>
    <col min="4098" max="4098" width="3.7109375" style="2357" customWidth="1"/>
    <col min="4099" max="4099" width="14.42578125" style="2357" customWidth="1"/>
    <col min="4100" max="4100" width="3.7109375" style="2357" customWidth="1"/>
    <col min="4101" max="4101" width="20.42578125" style="2357" customWidth="1"/>
    <col min="4102" max="4116" width="7.5703125" style="2357" customWidth="1"/>
    <col min="4117" max="4353" width="9.140625" style="2357"/>
    <col min="4354" max="4354" width="3.7109375" style="2357" customWidth="1"/>
    <col min="4355" max="4355" width="14.42578125" style="2357" customWidth="1"/>
    <col min="4356" max="4356" width="3.7109375" style="2357" customWidth="1"/>
    <col min="4357" max="4357" width="20.42578125" style="2357" customWidth="1"/>
    <col min="4358" max="4372" width="7.5703125" style="2357" customWidth="1"/>
    <col min="4373" max="4609" width="9.140625" style="2357"/>
    <col min="4610" max="4610" width="3.7109375" style="2357" customWidth="1"/>
    <col min="4611" max="4611" width="14.42578125" style="2357" customWidth="1"/>
    <col min="4612" max="4612" width="3.7109375" style="2357" customWidth="1"/>
    <col min="4613" max="4613" width="20.42578125" style="2357" customWidth="1"/>
    <col min="4614" max="4628" width="7.5703125" style="2357" customWidth="1"/>
    <col min="4629" max="4865" width="9.140625" style="2357"/>
    <col min="4866" max="4866" width="3.7109375" style="2357" customWidth="1"/>
    <col min="4867" max="4867" width="14.42578125" style="2357" customWidth="1"/>
    <col min="4868" max="4868" width="3.7109375" style="2357" customWidth="1"/>
    <col min="4869" max="4869" width="20.42578125" style="2357" customWidth="1"/>
    <col min="4870" max="4884" width="7.5703125" style="2357" customWidth="1"/>
    <col min="4885" max="5121" width="9.140625" style="2357"/>
    <col min="5122" max="5122" width="3.7109375" style="2357" customWidth="1"/>
    <col min="5123" max="5123" width="14.42578125" style="2357" customWidth="1"/>
    <col min="5124" max="5124" width="3.7109375" style="2357" customWidth="1"/>
    <col min="5125" max="5125" width="20.42578125" style="2357" customWidth="1"/>
    <col min="5126" max="5140" width="7.5703125" style="2357" customWidth="1"/>
    <col min="5141" max="5377" width="9.140625" style="2357"/>
    <col min="5378" max="5378" width="3.7109375" style="2357" customWidth="1"/>
    <col min="5379" max="5379" width="14.42578125" style="2357" customWidth="1"/>
    <col min="5380" max="5380" width="3.7109375" style="2357" customWidth="1"/>
    <col min="5381" max="5381" width="20.42578125" style="2357" customWidth="1"/>
    <col min="5382" max="5396" width="7.5703125" style="2357" customWidth="1"/>
    <col min="5397" max="5633" width="9.140625" style="2357"/>
    <col min="5634" max="5634" width="3.7109375" style="2357" customWidth="1"/>
    <col min="5635" max="5635" width="14.42578125" style="2357" customWidth="1"/>
    <col min="5636" max="5636" width="3.7109375" style="2357" customWidth="1"/>
    <col min="5637" max="5637" width="20.42578125" style="2357" customWidth="1"/>
    <col min="5638" max="5652" width="7.5703125" style="2357" customWidth="1"/>
    <col min="5653" max="5889" width="9.140625" style="2357"/>
    <col min="5890" max="5890" width="3.7109375" style="2357" customWidth="1"/>
    <col min="5891" max="5891" width="14.42578125" style="2357" customWidth="1"/>
    <col min="5892" max="5892" width="3.7109375" style="2357" customWidth="1"/>
    <col min="5893" max="5893" width="20.42578125" style="2357" customWidth="1"/>
    <col min="5894" max="5908" width="7.5703125" style="2357" customWidth="1"/>
    <col min="5909" max="6145" width="9.140625" style="2357"/>
    <col min="6146" max="6146" width="3.7109375" style="2357" customWidth="1"/>
    <col min="6147" max="6147" width="14.42578125" style="2357" customWidth="1"/>
    <col min="6148" max="6148" width="3.7109375" style="2357" customWidth="1"/>
    <col min="6149" max="6149" width="20.42578125" style="2357" customWidth="1"/>
    <col min="6150" max="6164" width="7.5703125" style="2357" customWidth="1"/>
    <col min="6165" max="6401" width="9.140625" style="2357"/>
    <col min="6402" max="6402" width="3.7109375" style="2357" customWidth="1"/>
    <col min="6403" max="6403" width="14.42578125" style="2357" customWidth="1"/>
    <col min="6404" max="6404" width="3.7109375" style="2357" customWidth="1"/>
    <col min="6405" max="6405" width="20.42578125" style="2357" customWidth="1"/>
    <col min="6406" max="6420" width="7.5703125" style="2357" customWidth="1"/>
    <col min="6421" max="6657" width="9.140625" style="2357"/>
    <col min="6658" max="6658" width="3.7109375" style="2357" customWidth="1"/>
    <col min="6659" max="6659" width="14.42578125" style="2357" customWidth="1"/>
    <col min="6660" max="6660" width="3.7109375" style="2357" customWidth="1"/>
    <col min="6661" max="6661" width="20.42578125" style="2357" customWidth="1"/>
    <col min="6662" max="6676" width="7.5703125" style="2357" customWidth="1"/>
    <col min="6677" max="6913" width="9.140625" style="2357"/>
    <col min="6914" max="6914" width="3.7109375" style="2357" customWidth="1"/>
    <col min="6915" max="6915" width="14.42578125" style="2357" customWidth="1"/>
    <col min="6916" max="6916" width="3.7109375" style="2357" customWidth="1"/>
    <col min="6917" max="6917" width="20.42578125" style="2357" customWidth="1"/>
    <col min="6918" max="6932" width="7.5703125" style="2357" customWidth="1"/>
    <col min="6933" max="7169" width="9.140625" style="2357"/>
    <col min="7170" max="7170" width="3.7109375" style="2357" customWidth="1"/>
    <col min="7171" max="7171" width="14.42578125" style="2357" customWidth="1"/>
    <col min="7172" max="7172" width="3.7109375" style="2357" customWidth="1"/>
    <col min="7173" max="7173" width="20.42578125" style="2357" customWidth="1"/>
    <col min="7174" max="7188" width="7.5703125" style="2357" customWidth="1"/>
    <col min="7189" max="7425" width="9.140625" style="2357"/>
    <col min="7426" max="7426" width="3.7109375" style="2357" customWidth="1"/>
    <col min="7427" max="7427" width="14.42578125" style="2357" customWidth="1"/>
    <col min="7428" max="7428" width="3.7109375" style="2357" customWidth="1"/>
    <col min="7429" max="7429" width="20.42578125" style="2357" customWidth="1"/>
    <col min="7430" max="7444" width="7.5703125" style="2357" customWidth="1"/>
    <col min="7445" max="7681" width="9.140625" style="2357"/>
    <col min="7682" max="7682" width="3.7109375" style="2357" customWidth="1"/>
    <col min="7683" max="7683" width="14.42578125" style="2357" customWidth="1"/>
    <col min="7684" max="7684" width="3.7109375" style="2357" customWidth="1"/>
    <col min="7685" max="7685" width="20.42578125" style="2357" customWidth="1"/>
    <col min="7686" max="7700" width="7.5703125" style="2357" customWidth="1"/>
    <col min="7701" max="7937" width="9.140625" style="2357"/>
    <col min="7938" max="7938" width="3.7109375" style="2357" customWidth="1"/>
    <col min="7939" max="7939" width="14.42578125" style="2357" customWidth="1"/>
    <col min="7940" max="7940" width="3.7109375" style="2357" customWidth="1"/>
    <col min="7941" max="7941" width="20.42578125" style="2357" customWidth="1"/>
    <col min="7942" max="7956" width="7.5703125" style="2357" customWidth="1"/>
    <col min="7957" max="8193" width="9.140625" style="2357"/>
    <col min="8194" max="8194" width="3.7109375" style="2357" customWidth="1"/>
    <col min="8195" max="8195" width="14.42578125" style="2357" customWidth="1"/>
    <col min="8196" max="8196" width="3.7109375" style="2357" customWidth="1"/>
    <col min="8197" max="8197" width="20.42578125" style="2357" customWidth="1"/>
    <col min="8198" max="8212" width="7.5703125" style="2357" customWidth="1"/>
    <col min="8213" max="8449" width="9.140625" style="2357"/>
    <col min="8450" max="8450" width="3.7109375" style="2357" customWidth="1"/>
    <col min="8451" max="8451" width="14.42578125" style="2357" customWidth="1"/>
    <col min="8452" max="8452" width="3.7109375" style="2357" customWidth="1"/>
    <col min="8453" max="8453" width="20.42578125" style="2357" customWidth="1"/>
    <col min="8454" max="8468" width="7.5703125" style="2357" customWidth="1"/>
    <col min="8469" max="8705" width="9.140625" style="2357"/>
    <col min="8706" max="8706" width="3.7109375" style="2357" customWidth="1"/>
    <col min="8707" max="8707" width="14.42578125" style="2357" customWidth="1"/>
    <col min="8708" max="8708" width="3.7109375" style="2357" customWidth="1"/>
    <col min="8709" max="8709" width="20.42578125" style="2357" customWidth="1"/>
    <col min="8710" max="8724" width="7.5703125" style="2357" customWidth="1"/>
    <col min="8725" max="8961" width="9.140625" style="2357"/>
    <col min="8962" max="8962" width="3.7109375" style="2357" customWidth="1"/>
    <col min="8963" max="8963" width="14.42578125" style="2357" customWidth="1"/>
    <col min="8964" max="8964" width="3.7109375" style="2357" customWidth="1"/>
    <col min="8965" max="8965" width="20.42578125" style="2357" customWidth="1"/>
    <col min="8966" max="8980" width="7.5703125" style="2357" customWidth="1"/>
    <col min="8981" max="9217" width="9.140625" style="2357"/>
    <col min="9218" max="9218" width="3.7109375" style="2357" customWidth="1"/>
    <col min="9219" max="9219" width="14.42578125" style="2357" customWidth="1"/>
    <col min="9220" max="9220" width="3.7109375" style="2357" customWidth="1"/>
    <col min="9221" max="9221" width="20.42578125" style="2357" customWidth="1"/>
    <col min="9222" max="9236" width="7.5703125" style="2357" customWidth="1"/>
    <col min="9237" max="9473" width="9.140625" style="2357"/>
    <col min="9474" max="9474" width="3.7109375" style="2357" customWidth="1"/>
    <col min="9475" max="9475" width="14.42578125" style="2357" customWidth="1"/>
    <col min="9476" max="9476" width="3.7109375" style="2357" customWidth="1"/>
    <col min="9477" max="9477" width="20.42578125" style="2357" customWidth="1"/>
    <col min="9478" max="9492" width="7.5703125" style="2357" customWidth="1"/>
    <col min="9493" max="9729" width="9.140625" style="2357"/>
    <col min="9730" max="9730" width="3.7109375" style="2357" customWidth="1"/>
    <col min="9731" max="9731" width="14.42578125" style="2357" customWidth="1"/>
    <col min="9732" max="9732" width="3.7109375" style="2357" customWidth="1"/>
    <col min="9733" max="9733" width="20.42578125" style="2357" customWidth="1"/>
    <col min="9734" max="9748" width="7.5703125" style="2357" customWidth="1"/>
    <col min="9749" max="9985" width="9.140625" style="2357"/>
    <col min="9986" max="9986" width="3.7109375" style="2357" customWidth="1"/>
    <col min="9987" max="9987" width="14.42578125" style="2357" customWidth="1"/>
    <col min="9988" max="9988" width="3.7109375" style="2357" customWidth="1"/>
    <col min="9989" max="9989" width="20.42578125" style="2357" customWidth="1"/>
    <col min="9990" max="10004" width="7.5703125" style="2357" customWidth="1"/>
    <col min="10005" max="10241" width="9.140625" style="2357"/>
    <col min="10242" max="10242" width="3.7109375" style="2357" customWidth="1"/>
    <col min="10243" max="10243" width="14.42578125" style="2357" customWidth="1"/>
    <col min="10244" max="10244" width="3.7109375" style="2357" customWidth="1"/>
    <col min="10245" max="10245" width="20.42578125" style="2357" customWidth="1"/>
    <col min="10246" max="10260" width="7.5703125" style="2357" customWidth="1"/>
    <col min="10261" max="10497" width="9.140625" style="2357"/>
    <col min="10498" max="10498" width="3.7109375" style="2357" customWidth="1"/>
    <col min="10499" max="10499" width="14.42578125" style="2357" customWidth="1"/>
    <col min="10500" max="10500" width="3.7109375" style="2357" customWidth="1"/>
    <col min="10501" max="10501" width="20.42578125" style="2357" customWidth="1"/>
    <col min="10502" max="10516" width="7.5703125" style="2357" customWidth="1"/>
    <col min="10517" max="10753" width="9.140625" style="2357"/>
    <col min="10754" max="10754" width="3.7109375" style="2357" customWidth="1"/>
    <col min="10755" max="10755" width="14.42578125" style="2357" customWidth="1"/>
    <col min="10756" max="10756" width="3.7109375" style="2357" customWidth="1"/>
    <col min="10757" max="10757" width="20.42578125" style="2357" customWidth="1"/>
    <col min="10758" max="10772" width="7.5703125" style="2357" customWidth="1"/>
    <col min="10773" max="11009" width="9.140625" style="2357"/>
    <col min="11010" max="11010" width="3.7109375" style="2357" customWidth="1"/>
    <col min="11011" max="11011" width="14.42578125" style="2357" customWidth="1"/>
    <col min="11012" max="11012" width="3.7109375" style="2357" customWidth="1"/>
    <col min="11013" max="11013" width="20.42578125" style="2357" customWidth="1"/>
    <col min="11014" max="11028" width="7.5703125" style="2357" customWidth="1"/>
    <col min="11029" max="11265" width="9.140625" style="2357"/>
    <col min="11266" max="11266" width="3.7109375" style="2357" customWidth="1"/>
    <col min="11267" max="11267" width="14.42578125" style="2357" customWidth="1"/>
    <col min="11268" max="11268" width="3.7109375" style="2357" customWidth="1"/>
    <col min="11269" max="11269" width="20.42578125" style="2357" customWidth="1"/>
    <col min="11270" max="11284" width="7.5703125" style="2357" customWidth="1"/>
    <col min="11285" max="11521" width="9.140625" style="2357"/>
    <col min="11522" max="11522" width="3.7109375" style="2357" customWidth="1"/>
    <col min="11523" max="11523" width="14.42578125" style="2357" customWidth="1"/>
    <col min="11524" max="11524" width="3.7109375" style="2357" customWidth="1"/>
    <col min="11525" max="11525" width="20.42578125" style="2357" customWidth="1"/>
    <col min="11526" max="11540" width="7.5703125" style="2357" customWidth="1"/>
    <col min="11541" max="11777" width="9.140625" style="2357"/>
    <col min="11778" max="11778" width="3.7109375" style="2357" customWidth="1"/>
    <col min="11779" max="11779" width="14.42578125" style="2357" customWidth="1"/>
    <col min="11780" max="11780" width="3.7109375" style="2357" customWidth="1"/>
    <col min="11781" max="11781" width="20.42578125" style="2357" customWidth="1"/>
    <col min="11782" max="11796" width="7.5703125" style="2357" customWidth="1"/>
    <col min="11797" max="12033" width="9.140625" style="2357"/>
    <col min="12034" max="12034" width="3.7109375" style="2357" customWidth="1"/>
    <col min="12035" max="12035" width="14.42578125" style="2357" customWidth="1"/>
    <col min="12036" max="12036" width="3.7109375" style="2357" customWidth="1"/>
    <col min="12037" max="12037" width="20.42578125" style="2357" customWidth="1"/>
    <col min="12038" max="12052" width="7.5703125" style="2357" customWidth="1"/>
    <col min="12053" max="12289" width="9.140625" style="2357"/>
    <col min="12290" max="12290" width="3.7109375" style="2357" customWidth="1"/>
    <col min="12291" max="12291" width="14.42578125" style="2357" customWidth="1"/>
    <col min="12292" max="12292" width="3.7109375" style="2357" customWidth="1"/>
    <col min="12293" max="12293" width="20.42578125" style="2357" customWidth="1"/>
    <col min="12294" max="12308" width="7.5703125" style="2357" customWidth="1"/>
    <col min="12309" max="12545" width="9.140625" style="2357"/>
    <col min="12546" max="12546" width="3.7109375" style="2357" customWidth="1"/>
    <col min="12547" max="12547" width="14.42578125" style="2357" customWidth="1"/>
    <col min="12548" max="12548" width="3.7109375" style="2357" customWidth="1"/>
    <col min="12549" max="12549" width="20.42578125" style="2357" customWidth="1"/>
    <col min="12550" max="12564" width="7.5703125" style="2357" customWidth="1"/>
    <col min="12565" max="12801" width="9.140625" style="2357"/>
    <col min="12802" max="12802" width="3.7109375" style="2357" customWidth="1"/>
    <col min="12803" max="12803" width="14.42578125" style="2357" customWidth="1"/>
    <col min="12804" max="12804" width="3.7109375" style="2357" customWidth="1"/>
    <col min="12805" max="12805" width="20.42578125" style="2357" customWidth="1"/>
    <col min="12806" max="12820" width="7.5703125" style="2357" customWidth="1"/>
    <col min="12821" max="13057" width="9.140625" style="2357"/>
    <col min="13058" max="13058" width="3.7109375" style="2357" customWidth="1"/>
    <col min="13059" max="13059" width="14.42578125" style="2357" customWidth="1"/>
    <col min="13060" max="13060" width="3.7109375" style="2357" customWidth="1"/>
    <col min="13061" max="13061" width="20.42578125" style="2357" customWidth="1"/>
    <col min="13062" max="13076" width="7.5703125" style="2357" customWidth="1"/>
    <col min="13077" max="13313" width="9.140625" style="2357"/>
    <col min="13314" max="13314" width="3.7109375" style="2357" customWidth="1"/>
    <col min="13315" max="13315" width="14.42578125" style="2357" customWidth="1"/>
    <col min="13316" max="13316" width="3.7109375" style="2357" customWidth="1"/>
    <col min="13317" max="13317" width="20.42578125" style="2357" customWidth="1"/>
    <col min="13318" max="13332" width="7.5703125" style="2357" customWidth="1"/>
    <col min="13333" max="13569" width="9.140625" style="2357"/>
    <col min="13570" max="13570" width="3.7109375" style="2357" customWidth="1"/>
    <col min="13571" max="13571" width="14.42578125" style="2357" customWidth="1"/>
    <col min="13572" max="13572" width="3.7109375" style="2357" customWidth="1"/>
    <col min="13573" max="13573" width="20.42578125" style="2357" customWidth="1"/>
    <col min="13574" max="13588" width="7.5703125" style="2357" customWidth="1"/>
    <col min="13589" max="13825" width="9.140625" style="2357"/>
    <col min="13826" max="13826" width="3.7109375" style="2357" customWidth="1"/>
    <col min="13827" max="13827" width="14.42578125" style="2357" customWidth="1"/>
    <col min="13828" max="13828" width="3.7109375" style="2357" customWidth="1"/>
    <col min="13829" max="13829" width="20.42578125" style="2357" customWidth="1"/>
    <col min="13830" max="13844" width="7.5703125" style="2357" customWidth="1"/>
    <col min="13845" max="14081" width="9.140625" style="2357"/>
    <col min="14082" max="14082" width="3.7109375" style="2357" customWidth="1"/>
    <col min="14083" max="14083" width="14.42578125" style="2357" customWidth="1"/>
    <col min="14084" max="14084" width="3.7109375" style="2357" customWidth="1"/>
    <col min="14085" max="14085" width="20.42578125" style="2357" customWidth="1"/>
    <col min="14086" max="14100" width="7.5703125" style="2357" customWidth="1"/>
    <col min="14101" max="14337" width="9.140625" style="2357"/>
    <col min="14338" max="14338" width="3.7109375" style="2357" customWidth="1"/>
    <col min="14339" max="14339" width="14.42578125" style="2357" customWidth="1"/>
    <col min="14340" max="14340" width="3.7109375" style="2357" customWidth="1"/>
    <col min="14341" max="14341" width="20.42578125" style="2357" customWidth="1"/>
    <col min="14342" max="14356" width="7.5703125" style="2357" customWidth="1"/>
    <col min="14357" max="14593" width="9.140625" style="2357"/>
    <col min="14594" max="14594" width="3.7109375" style="2357" customWidth="1"/>
    <col min="14595" max="14595" width="14.42578125" style="2357" customWidth="1"/>
    <col min="14596" max="14596" width="3.7109375" style="2357" customWidth="1"/>
    <col min="14597" max="14597" width="20.42578125" style="2357" customWidth="1"/>
    <col min="14598" max="14612" width="7.5703125" style="2357" customWidth="1"/>
    <col min="14613" max="14849" width="9.140625" style="2357"/>
    <col min="14850" max="14850" width="3.7109375" style="2357" customWidth="1"/>
    <col min="14851" max="14851" width="14.42578125" style="2357" customWidth="1"/>
    <col min="14852" max="14852" width="3.7109375" style="2357" customWidth="1"/>
    <col min="14853" max="14853" width="20.42578125" style="2357" customWidth="1"/>
    <col min="14854" max="14868" width="7.5703125" style="2357" customWidth="1"/>
    <col min="14869" max="15105" width="9.140625" style="2357"/>
    <col min="15106" max="15106" width="3.7109375" style="2357" customWidth="1"/>
    <col min="15107" max="15107" width="14.42578125" style="2357" customWidth="1"/>
    <col min="15108" max="15108" width="3.7109375" style="2357" customWidth="1"/>
    <col min="15109" max="15109" width="20.42578125" style="2357" customWidth="1"/>
    <col min="15110" max="15124" width="7.5703125" style="2357" customWidth="1"/>
    <col min="15125" max="15361" width="9.140625" style="2357"/>
    <col min="15362" max="15362" width="3.7109375" style="2357" customWidth="1"/>
    <col min="15363" max="15363" width="14.42578125" style="2357" customWidth="1"/>
    <col min="15364" max="15364" width="3.7109375" style="2357" customWidth="1"/>
    <col min="15365" max="15365" width="20.42578125" style="2357" customWidth="1"/>
    <col min="15366" max="15380" width="7.5703125" style="2357" customWidth="1"/>
    <col min="15381" max="15617" width="9.140625" style="2357"/>
    <col min="15618" max="15618" width="3.7109375" style="2357" customWidth="1"/>
    <col min="15619" max="15619" width="14.42578125" style="2357" customWidth="1"/>
    <col min="15620" max="15620" width="3.7109375" style="2357" customWidth="1"/>
    <col min="15621" max="15621" width="20.42578125" style="2357" customWidth="1"/>
    <col min="15622" max="15636" width="7.5703125" style="2357" customWidth="1"/>
    <col min="15637" max="15873" width="9.140625" style="2357"/>
    <col min="15874" max="15874" width="3.7109375" style="2357" customWidth="1"/>
    <col min="15875" max="15875" width="14.42578125" style="2357" customWidth="1"/>
    <col min="15876" max="15876" width="3.7109375" style="2357" customWidth="1"/>
    <col min="15877" max="15877" width="20.42578125" style="2357" customWidth="1"/>
    <col min="15878" max="15892" width="7.5703125" style="2357" customWidth="1"/>
    <col min="15893" max="16129" width="9.140625" style="2357"/>
    <col min="16130" max="16130" width="3.7109375" style="2357" customWidth="1"/>
    <col min="16131" max="16131" width="14.42578125" style="2357" customWidth="1"/>
    <col min="16132" max="16132" width="3.7109375" style="2357" customWidth="1"/>
    <col min="16133" max="16133" width="20.42578125" style="2357" customWidth="1"/>
    <col min="16134" max="16148" width="7.5703125" style="2357" customWidth="1"/>
    <col min="16149" max="16384" width="9.140625" style="2357"/>
  </cols>
  <sheetData>
    <row r="1" spans="1:28" x14ac:dyDescent="0.25">
      <c r="D1" s="2356"/>
      <c r="E1" s="2356"/>
      <c r="F1" s="2356"/>
      <c r="G1" s="2356"/>
      <c r="H1" s="2356"/>
      <c r="I1" s="2356"/>
      <c r="J1" s="2356"/>
      <c r="K1" s="2356"/>
      <c r="L1" s="2356"/>
      <c r="M1" s="2356"/>
      <c r="N1" s="2356"/>
      <c r="O1" s="2356"/>
      <c r="P1" s="2356"/>
      <c r="Q1" s="2356"/>
      <c r="R1" s="2356"/>
    </row>
    <row r="2" spans="1:28" ht="15" customHeight="1" x14ac:dyDescent="0.25">
      <c r="A2" s="2358">
        <v>1</v>
      </c>
      <c r="B2" s="2358" t="s">
        <v>0</v>
      </c>
      <c r="C2" s="2358">
        <f>1+'Crime rate'!C2</f>
        <v>62</v>
      </c>
      <c r="D2" s="4057" t="s">
        <v>1107</v>
      </c>
      <c r="E2" s="4058"/>
      <c r="F2" s="4058"/>
      <c r="G2" s="4058"/>
      <c r="H2" s="4058"/>
      <c r="I2" s="4058"/>
      <c r="J2" s="4058"/>
      <c r="K2" s="4058"/>
      <c r="L2" s="4058"/>
      <c r="M2" s="4058"/>
      <c r="N2" s="4058"/>
      <c r="O2" s="4058"/>
      <c r="P2" s="4058"/>
      <c r="Q2" s="4058"/>
      <c r="R2" s="4058"/>
      <c r="S2" s="4058"/>
      <c r="T2" s="4058"/>
      <c r="U2" s="4058"/>
      <c r="V2" s="4058"/>
      <c r="W2" s="4058"/>
      <c r="X2" s="4058"/>
      <c r="Y2" s="4058"/>
      <c r="Z2" s="4058"/>
      <c r="AA2" s="4058"/>
      <c r="AB2" s="4059"/>
    </row>
    <row r="3" spans="1:28" ht="15" customHeight="1" x14ac:dyDescent="0.25">
      <c r="A3" s="2358">
        <v>2</v>
      </c>
      <c r="B3" s="2358" t="s">
        <v>2</v>
      </c>
      <c r="C3" s="2358"/>
      <c r="D3" s="4057" t="s">
        <v>1032</v>
      </c>
      <c r="E3" s="4058"/>
      <c r="F3" s="4058"/>
      <c r="G3" s="4058"/>
      <c r="H3" s="4058"/>
      <c r="I3" s="4058"/>
      <c r="J3" s="4058"/>
      <c r="K3" s="4058"/>
      <c r="L3" s="4058"/>
      <c r="M3" s="4058"/>
      <c r="N3" s="4058"/>
      <c r="O3" s="4058"/>
      <c r="P3" s="4058"/>
      <c r="Q3" s="4058"/>
      <c r="R3" s="4058"/>
      <c r="S3" s="4058"/>
      <c r="T3" s="4058"/>
      <c r="U3" s="4058"/>
      <c r="V3" s="4058"/>
      <c r="W3" s="4058"/>
      <c r="X3" s="4058"/>
      <c r="Y3" s="4058"/>
      <c r="Z3" s="4058"/>
      <c r="AA3" s="4058"/>
      <c r="AB3" s="4059"/>
    </row>
    <row r="4" spans="1:28" ht="15" customHeight="1" x14ac:dyDescent="0.25">
      <c r="A4" s="2358">
        <v>3</v>
      </c>
      <c r="B4" s="2358" t="s">
        <v>4</v>
      </c>
      <c r="C4" s="2358"/>
      <c r="D4" s="4057" t="s">
        <v>1108</v>
      </c>
      <c r="E4" s="4058"/>
      <c r="F4" s="4058"/>
      <c r="G4" s="4058"/>
      <c r="H4" s="4058"/>
      <c r="I4" s="4058"/>
      <c r="J4" s="4058"/>
      <c r="K4" s="4058"/>
      <c r="L4" s="4058"/>
      <c r="M4" s="4058"/>
      <c r="N4" s="4058"/>
      <c r="O4" s="4058"/>
      <c r="P4" s="4058"/>
      <c r="Q4" s="4058"/>
      <c r="R4" s="4058"/>
      <c r="S4" s="4058"/>
      <c r="T4" s="4058"/>
      <c r="U4" s="4058"/>
      <c r="V4" s="4058"/>
      <c r="W4" s="4058"/>
      <c r="X4" s="4058"/>
      <c r="Y4" s="4058"/>
      <c r="Z4" s="4058"/>
      <c r="AA4" s="4058"/>
      <c r="AB4" s="4059"/>
    </row>
    <row r="5" spans="1:28" ht="14.25" customHeight="1" x14ac:dyDescent="0.25">
      <c r="A5" s="2633"/>
      <c r="B5" s="2633"/>
      <c r="C5" s="2633"/>
      <c r="D5" s="2361"/>
      <c r="E5" s="2361"/>
      <c r="F5" s="2361"/>
      <c r="G5" s="2361"/>
      <c r="H5" s="2361"/>
      <c r="I5" s="2361"/>
      <c r="J5" s="2361"/>
      <c r="K5" s="2361"/>
      <c r="L5" s="2361"/>
      <c r="M5" s="2361"/>
      <c r="N5" s="2361"/>
      <c r="O5" s="2361"/>
      <c r="P5" s="2361"/>
      <c r="Q5" s="316"/>
      <c r="R5" s="316"/>
    </row>
    <row r="6" spans="1:28" x14ac:dyDescent="0.25">
      <c r="A6" s="2358">
        <v>4</v>
      </c>
      <c r="B6" s="902" t="s">
        <v>5</v>
      </c>
      <c r="C6" s="902"/>
      <c r="D6" s="267"/>
      <c r="E6" s="267"/>
      <c r="F6" s="267"/>
      <c r="G6" s="267"/>
      <c r="H6" s="267"/>
      <c r="I6" s="267"/>
      <c r="J6" s="267"/>
      <c r="K6" s="267"/>
      <c r="L6" s="267"/>
      <c r="M6" s="267"/>
      <c r="N6" s="267"/>
      <c r="O6" s="267"/>
      <c r="P6" s="267"/>
      <c r="Q6" s="316"/>
      <c r="R6" s="316"/>
    </row>
    <row r="7" spans="1:28" x14ac:dyDescent="0.25">
      <c r="D7" s="2634" t="s">
        <v>6</v>
      </c>
      <c r="E7" s="2634" t="s">
        <v>1109</v>
      </c>
      <c r="F7" s="2424"/>
      <c r="G7" s="2421"/>
      <c r="H7" s="2421"/>
      <c r="I7" s="2421"/>
      <c r="J7" s="2421"/>
      <c r="K7" s="2421"/>
      <c r="L7" s="2421"/>
      <c r="M7" s="2421"/>
      <c r="N7" s="2421"/>
      <c r="O7" s="2421"/>
      <c r="P7" s="2421"/>
      <c r="Q7" s="320"/>
      <c r="R7" s="320"/>
    </row>
    <row r="8" spans="1:28" ht="17.25" customHeight="1" x14ac:dyDescent="0.25">
      <c r="D8" s="3693"/>
      <c r="E8" s="3694">
        <v>1994</v>
      </c>
      <c r="F8" s="3694" t="s">
        <v>132</v>
      </c>
      <c r="G8" s="3694" t="s">
        <v>133</v>
      </c>
      <c r="H8" s="3694" t="s">
        <v>134</v>
      </c>
      <c r="I8" s="3694" t="s">
        <v>135</v>
      </c>
      <c r="J8" s="3695" t="s">
        <v>136</v>
      </c>
      <c r="K8" s="3695" t="s">
        <v>137</v>
      </c>
      <c r="L8" s="3694" t="s">
        <v>138</v>
      </c>
      <c r="M8" s="3696" t="s">
        <v>139</v>
      </c>
      <c r="N8" s="3695" t="s">
        <v>140</v>
      </c>
      <c r="O8" s="3696" t="s">
        <v>141</v>
      </c>
      <c r="P8" s="3696" t="s">
        <v>142</v>
      </c>
      <c r="Q8" s="3696" t="s">
        <v>143</v>
      </c>
      <c r="R8" s="3696" t="s">
        <v>144</v>
      </c>
      <c r="S8" s="3696" t="s">
        <v>145</v>
      </c>
      <c r="T8" s="3696" t="s">
        <v>8</v>
      </c>
      <c r="U8" s="3696" t="s">
        <v>9</v>
      </c>
      <c r="V8" s="3696" t="s">
        <v>10</v>
      </c>
      <c r="W8" s="3696" t="s">
        <v>11</v>
      </c>
      <c r="X8" s="3696" t="s">
        <v>12</v>
      </c>
      <c r="Y8" s="3696" t="s">
        <v>13</v>
      </c>
      <c r="Z8" s="3696" t="s">
        <v>14</v>
      </c>
      <c r="AA8" s="3696" t="s">
        <v>15</v>
      </c>
      <c r="AB8" s="3696" t="s">
        <v>333</v>
      </c>
    </row>
    <row r="9" spans="1:28" x14ac:dyDescent="0.25">
      <c r="D9" s="17" t="s">
        <v>1110</v>
      </c>
      <c r="E9" s="2635">
        <v>596.21430780331923</v>
      </c>
      <c r="F9" s="2635">
        <v>628.89231391176918</v>
      </c>
      <c r="G9" s="2635">
        <v>602.86707629217369</v>
      </c>
      <c r="H9" s="2635">
        <v>611.10328410415855</v>
      </c>
      <c r="I9" s="2635">
        <v>652.69813297770997</v>
      </c>
      <c r="J9" s="2635">
        <v>673.38443050540798</v>
      </c>
      <c r="K9" s="2635">
        <v>693.96165550653086</v>
      </c>
      <c r="L9" s="2635">
        <v>675.27554464906098</v>
      </c>
      <c r="M9" s="2635">
        <v>703.98700093406148</v>
      </c>
      <c r="N9" s="2635">
        <v>645.23084848061387</v>
      </c>
      <c r="O9" s="2635">
        <v>592.79999999999995</v>
      </c>
      <c r="P9" s="2635">
        <v>559.9</v>
      </c>
      <c r="Q9" s="2635">
        <v>526.79999999999995</v>
      </c>
      <c r="R9" s="2635">
        <v>497.1</v>
      </c>
      <c r="S9" s="2635">
        <v>506.5</v>
      </c>
      <c r="T9" s="2635">
        <v>520.20000000000005</v>
      </c>
      <c r="U9" s="2635">
        <v>495.3</v>
      </c>
      <c r="V9" s="2635">
        <v>485.4</v>
      </c>
      <c r="W9" s="2635">
        <v>501.4</v>
      </c>
      <c r="X9" s="2635">
        <v>491.60100457530933</v>
      </c>
      <c r="Y9" s="2635">
        <v>469.82744365139081</v>
      </c>
      <c r="Z9" s="2635">
        <v>456.00461452520068</v>
      </c>
      <c r="AA9" s="2440">
        <f>(246654/55910000)*100000</f>
        <v>441.16258272223217</v>
      </c>
      <c r="AB9" s="2635">
        <f>((228094/56753327)*100000)</f>
        <v>401.90419144942814</v>
      </c>
    </row>
    <row r="10" spans="1:28" x14ac:dyDescent="0.25">
      <c r="D10" s="17" t="s">
        <v>1111</v>
      </c>
      <c r="E10" s="2635">
        <v>225.74992268838264</v>
      </c>
      <c r="F10" s="2635">
        <v>220.7716408105513</v>
      </c>
      <c r="G10" s="2635">
        <v>214.74945047347111</v>
      </c>
      <c r="H10" s="2635">
        <v>219.33054799844541</v>
      </c>
      <c r="I10" s="2635">
        <v>224.50228614974282</v>
      </c>
      <c r="J10" s="2635">
        <v>216.18510779885509</v>
      </c>
      <c r="K10" s="2635">
        <v>209.32479528369225</v>
      </c>
      <c r="L10" s="2635">
        <v>194.36508587793543</v>
      </c>
      <c r="M10" s="2635">
        <v>162.75013248817814</v>
      </c>
      <c r="N10" s="2635">
        <v>139.33183369458916</v>
      </c>
      <c r="O10" s="2635">
        <v>120.3</v>
      </c>
      <c r="P10" s="2635">
        <v>116</v>
      </c>
      <c r="Q10" s="2635">
        <v>123.3</v>
      </c>
      <c r="R10" s="2635">
        <v>131.69999999999999</v>
      </c>
      <c r="S10" s="2635">
        <v>143.80000000000001</v>
      </c>
      <c r="T10" s="2635">
        <v>145.5</v>
      </c>
      <c r="U10" s="2635">
        <v>138.19999999999999</v>
      </c>
      <c r="V10" s="2635">
        <v>138.5</v>
      </c>
      <c r="W10" s="2635">
        <v>140.9</v>
      </c>
      <c r="X10" s="2635">
        <v>138.9</v>
      </c>
      <c r="Y10" s="2635">
        <v>137.69501748029339</v>
      </c>
      <c r="Z10" s="2635">
        <v>136.48513653426593</v>
      </c>
      <c r="AA10" s="2440">
        <f>(75618/55910000)*100000</f>
        <v>135.24950813807905</v>
      </c>
      <c r="AB10" s="2635">
        <f>((71195/56753327)*100000)</f>
        <v>125.4463901296923</v>
      </c>
    </row>
    <row r="11" spans="1:28" x14ac:dyDescent="0.25">
      <c r="D11" s="17" t="s">
        <v>1112</v>
      </c>
      <c r="E11" s="2635">
        <v>272.82496649829915</v>
      </c>
      <c r="F11" s="2635">
        <v>249.3026428824094</v>
      </c>
      <c r="G11" s="2635">
        <v>239.83102719910835</v>
      </c>
      <c r="H11" s="2635">
        <v>249.15225417800232</v>
      </c>
      <c r="I11" s="2635">
        <v>255.87730996380265</v>
      </c>
      <c r="J11" s="2635">
        <v>239.32797246045558</v>
      </c>
      <c r="K11" s="2635">
        <v>228.97653531880079</v>
      </c>
      <c r="L11" s="2635">
        <v>216.10771923055933</v>
      </c>
      <c r="M11" s="2635">
        <v>204.89906169680964</v>
      </c>
      <c r="N11" s="2635">
        <v>190.02715730052867</v>
      </c>
      <c r="O11" s="2635">
        <v>180</v>
      </c>
      <c r="P11" s="2635">
        <v>183.3</v>
      </c>
      <c r="Q11" s="2635">
        <v>182.1</v>
      </c>
      <c r="R11" s="2635">
        <v>167.7</v>
      </c>
      <c r="S11" s="2635">
        <v>156</v>
      </c>
      <c r="T11" s="2635">
        <v>145.5</v>
      </c>
      <c r="U11" s="2635">
        <v>129</v>
      </c>
      <c r="V11" s="2635">
        <v>116.8</v>
      </c>
      <c r="W11" s="2635">
        <v>111.7</v>
      </c>
      <c r="X11" s="2635">
        <v>107.3</v>
      </c>
      <c r="Y11" s="2635">
        <v>102.01482709310852</v>
      </c>
      <c r="Z11" s="2635">
        <v>97.91127228792017</v>
      </c>
      <c r="AA11" s="2440">
        <f>(53307/55910000)*100000</f>
        <v>95.344303344661057</v>
      </c>
      <c r="AB11" s="2635">
        <f>((50663/56753327)*100000)</f>
        <v>89.268775379459242</v>
      </c>
    </row>
    <row r="12" spans="1:28" x14ac:dyDescent="0.25">
      <c r="D12" s="17" t="s">
        <v>1113</v>
      </c>
      <c r="E12" s="2635">
        <v>472.54664467580665</v>
      </c>
      <c r="F12" s="2635">
        <v>484.69604325635459</v>
      </c>
      <c r="G12" s="2635">
        <v>430.40813582382208</v>
      </c>
      <c r="H12" s="2635">
        <v>435.26768363777688</v>
      </c>
      <c r="I12" s="2635">
        <v>452.53143455896355</v>
      </c>
      <c r="J12" s="2635">
        <v>453.87096812404855</v>
      </c>
      <c r="K12" s="2635">
        <v>459.03351575077238</v>
      </c>
      <c r="L12" s="2635">
        <v>444.62960079811188</v>
      </c>
      <c r="M12" s="2635">
        <v>430.9847915363859</v>
      </c>
      <c r="N12" s="2635">
        <v>370.77113095456895</v>
      </c>
      <c r="O12" s="2635">
        <v>318.8</v>
      </c>
      <c r="P12" s="2635">
        <v>296.60000000000002</v>
      </c>
      <c r="Q12" s="2635">
        <v>261.7</v>
      </c>
      <c r="R12" s="2635">
        <v>233.4</v>
      </c>
      <c r="S12" s="2635">
        <v>225</v>
      </c>
      <c r="T12" s="2635">
        <v>245.1</v>
      </c>
      <c r="U12" s="2635">
        <v>246.2</v>
      </c>
      <c r="V12" s="2635">
        <v>257.89999999999998</v>
      </c>
      <c r="W12" s="2635">
        <v>267.2</v>
      </c>
      <c r="X12" s="2635">
        <v>271.39999999999998</v>
      </c>
      <c r="Y12" s="2635">
        <v>269.17174145217041</v>
      </c>
      <c r="Z12" s="2635">
        <v>253.62784290962554</v>
      </c>
      <c r="AA12" s="2440">
        <f>(138172/55910000)*100000</f>
        <v>247.13289214809515</v>
      </c>
      <c r="AB12" s="2635">
        <f>((129174/56753327)*100000)</f>
        <v>227.60603973049896</v>
      </c>
    </row>
    <row r="13" spans="1:28" s="2472" customFormat="1" ht="12.75" x14ac:dyDescent="0.2">
      <c r="A13" s="2358"/>
      <c r="B13" s="2636"/>
      <c r="C13" s="2636"/>
      <c r="D13" s="17" t="s">
        <v>1114</v>
      </c>
      <c r="E13" s="2635">
        <v>121.86114833522318</v>
      </c>
      <c r="F13" s="2635">
        <v>109.73015311536712</v>
      </c>
      <c r="G13" s="2635">
        <v>103.47043617869724</v>
      </c>
      <c r="H13" s="2635">
        <v>100.983773804897</v>
      </c>
      <c r="I13" s="2635">
        <v>98.80929700895409</v>
      </c>
      <c r="J13" s="2635">
        <v>96.22498394876034</v>
      </c>
      <c r="K13" s="2635">
        <v>95.079169959029386</v>
      </c>
      <c r="L13" s="2635">
        <v>92.894257530682111</v>
      </c>
      <c r="M13" s="2635">
        <v>102.69923872319238</v>
      </c>
      <c r="N13" s="2635">
        <v>88.979293692874379</v>
      </c>
      <c r="O13" s="2635">
        <v>70.099999999999994</v>
      </c>
      <c r="P13" s="2635">
        <v>61.3</v>
      </c>
      <c r="Q13" s="2635">
        <v>60.8</v>
      </c>
      <c r="R13" s="2635">
        <v>60.1</v>
      </c>
      <c r="S13" s="2635">
        <v>61.7</v>
      </c>
      <c r="T13" s="2635">
        <v>65.7</v>
      </c>
      <c r="U13" s="2635">
        <v>60.3</v>
      </c>
      <c r="V13" s="2635">
        <v>61.2</v>
      </c>
      <c r="W13" s="2635">
        <v>57.2</v>
      </c>
      <c r="X13" s="2635">
        <v>52.9</v>
      </c>
      <c r="Y13" s="2635">
        <v>46.229808647294504</v>
      </c>
      <c r="Z13" s="2635">
        <v>44.971605021389486</v>
      </c>
      <c r="AA13" s="2440">
        <f>(26902/55910000)*100000</f>
        <v>48.116615989983899</v>
      </c>
      <c r="AB13" s="2635">
        <f>((28849/56753327)*100000)</f>
        <v>50.832262221384831</v>
      </c>
    </row>
    <row r="14" spans="1:28" s="2472" customFormat="1" ht="12.75" x14ac:dyDescent="0.2">
      <c r="A14" s="2358"/>
      <c r="B14" s="2636"/>
      <c r="C14" s="2636"/>
      <c r="D14" s="2637" t="s">
        <v>257</v>
      </c>
      <c r="E14" s="2638">
        <v>1689.1</v>
      </c>
      <c r="F14" s="2638">
        <v>1693.4</v>
      </c>
      <c r="G14" s="2638">
        <v>1591.3</v>
      </c>
      <c r="H14" s="2638">
        <v>1615.9</v>
      </c>
      <c r="I14" s="2638">
        <v>1684.8</v>
      </c>
      <c r="J14" s="2638">
        <v>1679</v>
      </c>
      <c r="K14" s="2638">
        <v>1686.4</v>
      </c>
      <c r="L14" s="2638">
        <v>1623.3</v>
      </c>
      <c r="M14" s="2638">
        <v>1605.4</v>
      </c>
      <c r="N14" s="2638">
        <v>1434.3</v>
      </c>
      <c r="O14" s="2638">
        <f>SUM(O9:O13)</f>
        <v>1281.9999999999998</v>
      </c>
      <c r="P14" s="2638">
        <f>SUM(P9:P13)</f>
        <v>1217.1000000000001</v>
      </c>
      <c r="Q14" s="2638">
        <f>SUM(Q9:Q13)</f>
        <v>1154.6999999999998</v>
      </c>
      <c r="R14" s="2638">
        <f>SUM(R9:R13)</f>
        <v>1090</v>
      </c>
      <c r="S14" s="2638">
        <f t="shared" ref="S14:Y14" si="0">SUM(S9:S13)</f>
        <v>1093</v>
      </c>
      <c r="T14" s="2638">
        <f t="shared" si="0"/>
        <v>1122</v>
      </c>
      <c r="U14" s="2638">
        <f t="shared" si="0"/>
        <v>1069</v>
      </c>
      <c r="V14" s="2638">
        <f t="shared" si="0"/>
        <v>1059.8</v>
      </c>
      <c r="W14" s="2638">
        <f t="shared" si="0"/>
        <v>1078.4000000000001</v>
      </c>
      <c r="X14" s="2638">
        <f t="shared" si="0"/>
        <v>1062.1010045753094</v>
      </c>
      <c r="Y14" s="2638">
        <f t="shared" si="0"/>
        <v>1024.9388383242576</v>
      </c>
      <c r="Z14" s="2638">
        <f>SUM(Z9:Z13)</f>
        <v>989.00047127840173</v>
      </c>
      <c r="AA14" s="2638">
        <f>SUM(AA9:AA13)</f>
        <v>967.00590234305128</v>
      </c>
      <c r="AB14" s="2638">
        <f>SUM(AB9:AB13)</f>
        <v>895.05765891046349</v>
      </c>
    </row>
    <row r="15" spans="1:28" x14ac:dyDescent="0.25">
      <c r="B15" s="2639"/>
      <c r="C15" s="2639"/>
      <c r="D15" s="2421"/>
      <c r="E15" s="4408"/>
      <c r="F15" s="4408"/>
      <c r="G15" s="4408"/>
      <c r="H15" s="4408"/>
      <c r="I15" s="4408"/>
      <c r="J15" s="4408"/>
      <c r="K15" s="4408"/>
      <c r="L15" s="120"/>
      <c r="M15" s="120"/>
      <c r="N15" s="120"/>
      <c r="O15" s="555"/>
      <c r="P15" s="555"/>
      <c r="Q15" s="555"/>
      <c r="R15" s="555"/>
      <c r="S15" s="555"/>
      <c r="T15" s="555"/>
      <c r="U15" s="555"/>
      <c r="V15" s="555"/>
    </row>
    <row r="16" spans="1:28" x14ac:dyDescent="0.25">
      <c r="A16" s="2358">
        <v>5</v>
      </c>
      <c r="B16" s="2358" t="s">
        <v>90</v>
      </c>
      <c r="C16" s="2358"/>
      <c r="D16" s="900"/>
      <c r="E16" s="120"/>
      <c r="F16" s="120"/>
      <c r="G16" s="120"/>
      <c r="H16" s="120"/>
      <c r="I16" s="120"/>
      <c r="J16" s="120"/>
      <c r="K16" s="120"/>
      <c r="L16" s="120"/>
      <c r="M16" s="120"/>
      <c r="N16" s="120"/>
      <c r="O16" s="120"/>
      <c r="P16" s="120"/>
      <c r="Q16" s="320"/>
      <c r="R16" s="320"/>
    </row>
    <row r="17" spans="2:18" x14ac:dyDescent="0.25">
      <c r="D17" s="900"/>
      <c r="E17" s="120"/>
      <c r="F17" s="120"/>
      <c r="G17" s="120"/>
      <c r="H17" s="120"/>
      <c r="I17" s="120"/>
      <c r="J17" s="120"/>
      <c r="K17" s="120"/>
      <c r="L17" s="120"/>
      <c r="M17" s="120"/>
      <c r="N17" s="120"/>
      <c r="O17" s="120"/>
      <c r="P17" s="120"/>
      <c r="Q17" s="320"/>
      <c r="R17" s="320"/>
    </row>
    <row r="18" spans="2:18" x14ac:dyDescent="0.25">
      <c r="D18" s="900"/>
      <c r="E18" s="120"/>
      <c r="F18" s="120"/>
      <c r="G18" s="120"/>
      <c r="H18" s="120"/>
      <c r="I18" s="120"/>
      <c r="J18" s="120"/>
      <c r="K18" s="120"/>
      <c r="L18" s="120"/>
      <c r="M18" s="120"/>
      <c r="N18" s="120"/>
      <c r="O18" s="120"/>
      <c r="P18" s="120"/>
      <c r="Q18" s="320"/>
      <c r="R18" s="320"/>
    </row>
    <row r="19" spans="2:18" x14ac:dyDescent="0.25">
      <c r="D19" s="900"/>
      <c r="E19" s="120"/>
      <c r="F19" s="120"/>
      <c r="G19" s="120"/>
      <c r="H19" s="120"/>
      <c r="I19" s="120"/>
      <c r="J19" s="120"/>
      <c r="K19" s="120"/>
      <c r="L19" s="120"/>
      <c r="M19" s="120"/>
      <c r="N19" s="120"/>
      <c r="O19" s="120"/>
      <c r="P19" s="120"/>
      <c r="Q19" s="320"/>
      <c r="R19" s="320"/>
    </row>
    <row r="20" spans="2:18" x14ac:dyDescent="0.25">
      <c r="D20" s="900"/>
      <c r="E20" s="120"/>
      <c r="F20" s="120"/>
      <c r="G20" s="120"/>
      <c r="H20" s="120"/>
      <c r="I20" s="120"/>
      <c r="J20" s="120"/>
      <c r="K20" s="120"/>
      <c r="L20" s="120"/>
      <c r="M20" s="120"/>
      <c r="N20" s="120"/>
      <c r="O20" s="120"/>
      <c r="P20" s="120"/>
      <c r="Q20" s="320"/>
      <c r="R20" s="320"/>
    </row>
    <row r="21" spans="2:18" x14ac:dyDescent="0.25">
      <c r="D21" s="900"/>
      <c r="E21" s="900"/>
      <c r="F21" s="900"/>
      <c r="G21" s="900"/>
      <c r="H21" s="900"/>
      <c r="I21" s="900"/>
      <c r="J21" s="900"/>
      <c r="K21" s="900"/>
      <c r="L21" s="900"/>
      <c r="M21" s="900"/>
      <c r="N21" s="900"/>
      <c r="O21" s="900"/>
      <c r="P21" s="900"/>
      <c r="Q21" s="2356"/>
      <c r="R21" s="2356"/>
    </row>
    <row r="22" spans="2:18" x14ac:dyDescent="0.25">
      <c r="B22" s="2640"/>
      <c r="C22" s="2640"/>
      <c r="D22" s="900"/>
      <c r="E22" s="900"/>
      <c r="F22" s="900"/>
      <c r="G22" s="900"/>
      <c r="H22" s="900"/>
      <c r="I22" s="900"/>
      <c r="J22" s="317"/>
      <c r="K22" s="900"/>
      <c r="L22" s="900"/>
      <c r="M22" s="900"/>
      <c r="N22" s="900"/>
      <c r="O22" s="900"/>
      <c r="P22" s="900"/>
      <c r="Q22" s="2356"/>
      <c r="R22" s="2356"/>
    </row>
    <row r="23" spans="2:18" x14ac:dyDescent="0.25">
      <c r="B23" s="2640"/>
      <c r="C23" s="2640"/>
      <c r="D23" s="900"/>
      <c r="E23" s="900"/>
      <c r="F23" s="900"/>
      <c r="G23" s="900"/>
      <c r="H23" s="900"/>
      <c r="I23" s="900"/>
      <c r="J23" s="317"/>
      <c r="K23" s="900"/>
      <c r="L23" s="900"/>
      <c r="M23" s="900"/>
      <c r="N23" s="900"/>
      <c r="O23" s="900"/>
      <c r="P23" s="900"/>
      <c r="Q23" s="2356"/>
      <c r="R23" s="2356"/>
    </row>
    <row r="24" spans="2:18" x14ac:dyDescent="0.25">
      <c r="D24" s="900"/>
      <c r="E24" s="900"/>
      <c r="F24" s="900"/>
      <c r="G24" s="900"/>
      <c r="H24" s="900"/>
      <c r="I24" s="900"/>
      <c r="J24" s="900"/>
      <c r="K24" s="900"/>
      <c r="L24" s="900"/>
      <c r="M24" s="900"/>
      <c r="N24" s="900"/>
      <c r="O24" s="900"/>
      <c r="P24" s="900"/>
      <c r="Q24" s="2356"/>
      <c r="R24" s="2356"/>
    </row>
    <row r="25" spans="2:18" x14ac:dyDescent="0.25">
      <c r="D25" s="900"/>
      <c r="E25" s="900"/>
      <c r="F25" s="900"/>
      <c r="G25" s="900"/>
      <c r="H25" s="900"/>
      <c r="I25" s="900"/>
      <c r="J25" s="900"/>
      <c r="K25" s="900"/>
      <c r="L25" s="900"/>
      <c r="M25" s="900"/>
      <c r="N25" s="900"/>
      <c r="O25" s="900"/>
      <c r="P25" s="900"/>
      <c r="Q25" s="2356"/>
      <c r="R25" s="2356"/>
    </row>
    <row r="26" spans="2:18" x14ac:dyDescent="0.25">
      <c r="D26" s="900"/>
      <c r="E26" s="900"/>
      <c r="F26" s="900"/>
      <c r="G26" s="900"/>
      <c r="H26" s="900"/>
      <c r="I26" s="900"/>
      <c r="J26" s="900"/>
      <c r="K26" s="900"/>
      <c r="L26" s="900"/>
      <c r="M26" s="900"/>
      <c r="N26" s="900"/>
      <c r="O26" s="900"/>
      <c r="P26" s="900"/>
      <c r="Q26" s="2356"/>
      <c r="R26" s="2356"/>
    </row>
    <row r="27" spans="2:18" x14ac:dyDescent="0.25">
      <c r="D27" s="900"/>
      <c r="E27" s="900"/>
      <c r="F27" s="900"/>
      <c r="G27" s="900"/>
      <c r="H27" s="900"/>
      <c r="I27" s="900"/>
      <c r="J27" s="900"/>
      <c r="K27" s="900"/>
      <c r="L27" s="900"/>
      <c r="M27" s="900"/>
      <c r="N27" s="900"/>
      <c r="O27" s="900"/>
      <c r="P27" s="900"/>
      <c r="Q27" s="2356"/>
      <c r="R27" s="2356"/>
    </row>
    <row r="28" spans="2:18" x14ac:dyDescent="0.25">
      <c r="D28" s="900"/>
      <c r="E28" s="900"/>
      <c r="F28" s="900"/>
      <c r="G28" s="900"/>
      <c r="H28" s="900"/>
      <c r="I28" s="900"/>
      <c r="J28" s="900"/>
      <c r="K28" s="900"/>
      <c r="L28" s="900"/>
      <c r="M28" s="900"/>
      <c r="N28" s="900"/>
      <c r="O28" s="900"/>
      <c r="P28" s="900"/>
      <c r="Q28" s="2356"/>
      <c r="R28" s="2356"/>
    </row>
    <row r="29" spans="2:18" x14ac:dyDescent="0.25">
      <c r="D29" s="900"/>
      <c r="E29" s="900"/>
      <c r="F29" s="900"/>
      <c r="G29" s="900"/>
      <c r="H29" s="900"/>
      <c r="I29" s="900"/>
      <c r="J29" s="900"/>
      <c r="K29" s="900"/>
      <c r="L29" s="900"/>
      <c r="M29" s="900"/>
      <c r="N29" s="900"/>
      <c r="O29" s="900"/>
      <c r="P29" s="900"/>
      <c r="Q29" s="2356"/>
      <c r="R29" s="2356"/>
    </row>
    <row r="30" spans="2:18" ht="35.25" customHeight="1" x14ac:dyDescent="0.25">
      <c r="D30" s="900"/>
      <c r="E30" s="900"/>
      <c r="F30" s="900"/>
      <c r="G30" s="900"/>
      <c r="H30" s="900"/>
      <c r="I30" s="900"/>
      <c r="J30" s="900"/>
      <c r="K30" s="900"/>
      <c r="L30" s="900"/>
      <c r="M30" s="900"/>
      <c r="N30" s="900"/>
      <c r="O30" s="900"/>
      <c r="P30" s="900"/>
      <c r="Q30" s="2356"/>
      <c r="R30" s="2356"/>
    </row>
    <row r="31" spans="2:18" ht="17.25" customHeight="1" x14ac:dyDescent="0.25">
      <c r="D31" s="900"/>
      <c r="E31" s="900"/>
      <c r="F31" s="900"/>
      <c r="G31" s="900"/>
      <c r="H31" s="900"/>
      <c r="I31" s="900"/>
      <c r="J31" s="900"/>
      <c r="K31" s="900"/>
      <c r="L31" s="900"/>
      <c r="M31" s="900"/>
      <c r="N31" s="900"/>
      <c r="O31" s="900"/>
      <c r="P31" s="900"/>
      <c r="Q31" s="2356"/>
      <c r="R31" s="2356"/>
    </row>
    <row r="32" spans="2:18" ht="22.5" customHeight="1" x14ac:dyDescent="0.25">
      <c r="D32" s="900"/>
      <c r="E32" s="900"/>
      <c r="F32" s="900"/>
      <c r="G32" s="900"/>
      <c r="H32" s="900"/>
      <c r="I32" s="900"/>
      <c r="J32" s="900"/>
      <c r="K32" s="900"/>
      <c r="L32" s="900"/>
      <c r="M32" s="900"/>
      <c r="N32" s="900"/>
      <c r="O32" s="900"/>
      <c r="P32" s="900"/>
      <c r="Q32" s="2356"/>
      <c r="R32" s="2356"/>
    </row>
    <row r="33" spans="1:28" ht="25.5" customHeight="1" x14ac:dyDescent="0.25">
      <c r="A33" s="2358">
        <v>6</v>
      </c>
      <c r="B33" s="2433" t="s">
        <v>1115</v>
      </c>
      <c r="C33" s="2433"/>
      <c r="D33" s="4129" t="s">
        <v>1116</v>
      </c>
      <c r="E33" s="4130"/>
      <c r="F33" s="4130"/>
      <c r="G33" s="4130"/>
      <c r="H33" s="4130"/>
      <c r="I33" s="4130"/>
      <c r="J33" s="4130"/>
      <c r="K33" s="4130"/>
      <c r="L33" s="4130"/>
      <c r="M33" s="4130"/>
      <c r="N33" s="4130"/>
      <c r="O33" s="4130"/>
      <c r="P33" s="4130"/>
      <c r="Q33" s="4130"/>
      <c r="R33" s="4130"/>
      <c r="S33" s="4130"/>
      <c r="T33" s="4130"/>
      <c r="U33" s="4130"/>
      <c r="V33" s="4130"/>
      <c r="W33" s="4130"/>
      <c r="X33" s="4130"/>
      <c r="Y33" s="4130"/>
      <c r="Z33" s="4130"/>
      <c r="AA33" s="4130"/>
      <c r="AB33" s="4131"/>
    </row>
    <row r="34" spans="1:28" ht="21.75" customHeight="1" x14ac:dyDescent="0.25">
      <c r="A34" s="2358">
        <v>7</v>
      </c>
      <c r="B34" s="2433" t="s">
        <v>32</v>
      </c>
      <c r="C34" s="2433"/>
      <c r="D34" s="4129" t="s">
        <v>1117</v>
      </c>
      <c r="E34" s="4130"/>
      <c r="F34" s="4130"/>
      <c r="G34" s="4130"/>
      <c r="H34" s="4130"/>
      <c r="I34" s="4130"/>
      <c r="J34" s="4130"/>
      <c r="K34" s="4130"/>
      <c r="L34" s="4130"/>
      <c r="M34" s="4130"/>
      <c r="N34" s="4130"/>
      <c r="O34" s="4130"/>
      <c r="P34" s="4130"/>
      <c r="Q34" s="4130"/>
      <c r="R34" s="4130"/>
      <c r="S34" s="4130"/>
      <c r="T34" s="4130"/>
      <c r="U34" s="4130"/>
      <c r="V34" s="4130"/>
      <c r="W34" s="4130"/>
      <c r="X34" s="4130"/>
      <c r="Y34" s="4130"/>
      <c r="Z34" s="4130"/>
      <c r="AA34" s="4130"/>
      <c r="AB34" s="4131"/>
    </row>
    <row r="35" spans="1:28" ht="24.75" customHeight="1" x14ac:dyDescent="0.25">
      <c r="A35" s="2358">
        <v>8</v>
      </c>
      <c r="B35" s="2433" t="s">
        <v>31</v>
      </c>
      <c r="C35" s="2358"/>
      <c r="D35" s="4129" t="s">
        <v>1118</v>
      </c>
      <c r="E35" s="4130"/>
      <c r="F35" s="4130"/>
      <c r="G35" s="4130"/>
      <c r="H35" s="4130"/>
      <c r="I35" s="4130"/>
      <c r="J35" s="4130"/>
      <c r="K35" s="4130"/>
      <c r="L35" s="4130"/>
      <c r="M35" s="4130"/>
      <c r="N35" s="4130"/>
      <c r="O35" s="4130"/>
      <c r="P35" s="4130"/>
      <c r="Q35" s="4130"/>
      <c r="R35" s="4130"/>
      <c r="S35" s="4130"/>
      <c r="T35" s="4130"/>
      <c r="U35" s="4130"/>
      <c r="V35" s="4130"/>
      <c r="W35" s="4130"/>
      <c r="X35" s="4130"/>
      <c r="Y35" s="4130"/>
      <c r="Z35" s="4130"/>
      <c r="AA35" s="4130"/>
      <c r="AB35" s="4131"/>
    </row>
    <row r="36" spans="1:28" ht="27" customHeight="1" x14ac:dyDescent="0.25">
      <c r="A36" s="2358">
        <v>9</v>
      </c>
      <c r="B36" s="2433" t="s">
        <v>95</v>
      </c>
      <c r="D36" s="4129" t="s">
        <v>1119</v>
      </c>
      <c r="E36" s="4130"/>
      <c r="F36" s="4130"/>
      <c r="G36" s="4130"/>
      <c r="H36" s="4130"/>
      <c r="I36" s="4130"/>
      <c r="J36" s="4130"/>
      <c r="K36" s="4130"/>
      <c r="L36" s="4130"/>
      <c r="M36" s="4130"/>
      <c r="N36" s="4130"/>
      <c r="O36" s="4130"/>
      <c r="P36" s="4130"/>
      <c r="Q36" s="4130"/>
      <c r="R36" s="4130"/>
      <c r="S36" s="4130"/>
      <c r="T36" s="4130"/>
      <c r="U36" s="4130"/>
      <c r="V36" s="4130"/>
      <c r="W36" s="4130"/>
      <c r="X36" s="4130"/>
      <c r="Y36" s="4130"/>
      <c r="Z36" s="4130"/>
      <c r="AA36" s="4130"/>
      <c r="AB36" s="4131"/>
    </row>
    <row r="39" spans="1:28" x14ac:dyDescent="0.25">
      <c r="D39" s="2634" t="s">
        <v>6</v>
      </c>
      <c r="E39" s="2634" t="s">
        <v>1109</v>
      </c>
      <c r="F39" s="2424"/>
      <c r="G39" s="2421"/>
      <c r="H39" s="2421"/>
      <c r="I39" s="2421"/>
      <c r="J39" s="2421"/>
      <c r="K39" s="2421"/>
      <c r="L39" s="2421"/>
      <c r="M39" s="2421"/>
      <c r="N39" s="2421"/>
      <c r="O39" s="2421"/>
      <c r="P39" s="2421"/>
      <c r="Q39" s="320"/>
      <c r="R39" s="320"/>
    </row>
    <row r="40" spans="1:28" x14ac:dyDescent="0.25">
      <c r="D40" s="2435"/>
      <c r="E40" s="2436">
        <v>1994</v>
      </c>
      <c r="F40" s="2436" t="s">
        <v>132</v>
      </c>
      <c r="G40" s="2436" t="s">
        <v>133</v>
      </c>
      <c r="H40" s="2436" t="s">
        <v>134</v>
      </c>
      <c r="I40" s="2436" t="s">
        <v>135</v>
      </c>
      <c r="J40" s="2437" t="s">
        <v>136</v>
      </c>
      <c r="K40" s="2437" t="s">
        <v>137</v>
      </c>
      <c r="L40" s="2436" t="s">
        <v>138</v>
      </c>
      <c r="M40" s="2438" t="s">
        <v>139</v>
      </c>
      <c r="N40" s="2437" t="s">
        <v>140</v>
      </c>
      <c r="O40" s="2438" t="s">
        <v>141</v>
      </c>
      <c r="P40" s="2438" t="s">
        <v>142</v>
      </c>
      <c r="Q40" s="2438" t="s">
        <v>143</v>
      </c>
      <c r="R40" s="2438" t="s">
        <v>144</v>
      </c>
      <c r="S40" s="2438" t="s">
        <v>145</v>
      </c>
      <c r="T40" s="2438" t="s">
        <v>8</v>
      </c>
      <c r="U40" s="2438" t="s">
        <v>9</v>
      </c>
      <c r="V40" s="2438" t="s">
        <v>10</v>
      </c>
      <c r="W40" s="2438" t="s">
        <v>11</v>
      </c>
      <c r="X40" s="4010" t="s">
        <v>12</v>
      </c>
      <c r="Y40" s="4010" t="s">
        <v>13</v>
      </c>
      <c r="Z40" s="4010" t="s">
        <v>14</v>
      </c>
      <c r="AA40" s="4010" t="s">
        <v>15</v>
      </c>
      <c r="AB40" s="4011" t="s">
        <v>333</v>
      </c>
    </row>
    <row r="41" spans="1:28" x14ac:dyDescent="0.25">
      <c r="D41" s="17" t="s">
        <v>1110</v>
      </c>
      <c r="E41" s="2635">
        <v>596.21430780331923</v>
      </c>
      <c r="F41" s="2635">
        <v>628.89231391176918</v>
      </c>
      <c r="G41" s="2635">
        <v>602.86707629217369</v>
      </c>
      <c r="H41" s="2635">
        <v>611.10328410415855</v>
      </c>
      <c r="I41" s="2635">
        <v>652.69813297770997</v>
      </c>
      <c r="J41" s="2635">
        <v>673.38443050540798</v>
      </c>
      <c r="K41" s="2635">
        <v>693.96165550653086</v>
      </c>
      <c r="L41" s="2635">
        <v>675.27554464906098</v>
      </c>
      <c r="M41" s="2635">
        <v>703.98700093406148</v>
      </c>
      <c r="N41" s="2635">
        <v>645.23084848061387</v>
      </c>
      <c r="O41" s="2635">
        <v>592.79999999999995</v>
      </c>
      <c r="P41" s="2635">
        <v>559.9</v>
      </c>
      <c r="Q41" s="2635">
        <v>526.79999999999995</v>
      </c>
      <c r="R41" s="2635">
        <v>497.1</v>
      </c>
      <c r="S41" s="2635">
        <v>506.5</v>
      </c>
      <c r="T41" s="2635">
        <v>520.20000000000005</v>
      </c>
      <c r="U41" s="2635">
        <v>495.3</v>
      </c>
      <c r="V41" s="2635">
        <v>485.4</v>
      </c>
      <c r="W41" s="2635">
        <v>501.4</v>
      </c>
      <c r="X41" s="4012">
        <v>491.60100457530933</v>
      </c>
      <c r="Y41" s="4013">
        <v>469.82744365139098</v>
      </c>
      <c r="Z41" s="2885">
        <v>456</v>
      </c>
      <c r="AA41" s="4014">
        <f>(246654/55910000)*100000</f>
        <v>441.16258272223217</v>
      </c>
      <c r="AB41" s="4015">
        <f>((228094/57700000)*100000)</f>
        <v>395.3102253032929</v>
      </c>
    </row>
    <row r="42" spans="1:28" x14ac:dyDescent="0.25">
      <c r="D42" s="17" t="s">
        <v>1111</v>
      </c>
      <c r="E42" s="2635">
        <v>225.74992268838264</v>
      </c>
      <c r="F42" s="2635">
        <v>220.7716408105513</v>
      </c>
      <c r="G42" s="2635">
        <v>214.74945047347111</v>
      </c>
      <c r="H42" s="2635">
        <v>219.33054799844541</v>
      </c>
      <c r="I42" s="2635">
        <v>224.50228614974282</v>
      </c>
      <c r="J42" s="2635">
        <v>216.18510779885509</v>
      </c>
      <c r="K42" s="2635">
        <v>209.32479528369225</v>
      </c>
      <c r="L42" s="2635">
        <v>194.36508587793543</v>
      </c>
      <c r="M42" s="2635">
        <v>162.75013248817814</v>
      </c>
      <c r="N42" s="2635">
        <v>139.33183369458916</v>
      </c>
      <c r="O42" s="2635">
        <v>120.3</v>
      </c>
      <c r="P42" s="2635">
        <v>116</v>
      </c>
      <c r="Q42" s="2635">
        <v>123.3</v>
      </c>
      <c r="R42" s="2635">
        <v>131.69999999999999</v>
      </c>
      <c r="S42" s="2635">
        <v>143.80000000000001</v>
      </c>
      <c r="T42" s="2635">
        <v>145.5</v>
      </c>
      <c r="U42" s="2635">
        <v>138.19999999999999</v>
      </c>
      <c r="V42" s="2635">
        <v>138.5</v>
      </c>
      <c r="W42" s="2635">
        <v>140.9</v>
      </c>
      <c r="X42" s="4012">
        <v>138.9</v>
      </c>
      <c r="Y42" s="4013">
        <v>137.69501748029299</v>
      </c>
      <c r="Z42" s="2885">
        <v>136.5</v>
      </c>
      <c r="AA42" s="4014">
        <f>(75618/55910000)*100000</f>
        <v>135.24950813807905</v>
      </c>
      <c r="AB42" s="4015">
        <f>((71195/57700000)*100000)</f>
        <v>123.38821490467937</v>
      </c>
    </row>
    <row r="43" spans="1:28" x14ac:dyDescent="0.25">
      <c r="D43" s="17" t="s">
        <v>1112</v>
      </c>
      <c r="E43" s="2635">
        <v>272.82496649829915</v>
      </c>
      <c r="F43" s="2635">
        <v>249.3026428824094</v>
      </c>
      <c r="G43" s="2635">
        <v>239.83102719910835</v>
      </c>
      <c r="H43" s="2635">
        <v>249.15225417800232</v>
      </c>
      <c r="I43" s="2635">
        <v>255.87730996380265</v>
      </c>
      <c r="J43" s="2635">
        <v>239.32797246045558</v>
      </c>
      <c r="K43" s="2635">
        <v>228.97653531880079</v>
      </c>
      <c r="L43" s="2635">
        <v>216.10771923055933</v>
      </c>
      <c r="M43" s="2635">
        <v>204.89906169680964</v>
      </c>
      <c r="N43" s="2635">
        <v>190.02715730052867</v>
      </c>
      <c r="O43" s="2635">
        <v>180</v>
      </c>
      <c r="P43" s="2635">
        <v>183.3</v>
      </c>
      <c r="Q43" s="2635">
        <v>182.1</v>
      </c>
      <c r="R43" s="2635">
        <v>167.7</v>
      </c>
      <c r="S43" s="2635">
        <v>156</v>
      </c>
      <c r="T43" s="2635">
        <v>145.5</v>
      </c>
      <c r="U43" s="2635">
        <v>129</v>
      </c>
      <c r="V43" s="2635">
        <v>116.8</v>
      </c>
      <c r="W43" s="2635">
        <v>111.7</v>
      </c>
      <c r="X43" s="4012">
        <v>107.3</v>
      </c>
      <c r="Y43" s="4013">
        <v>102.01482709310852</v>
      </c>
      <c r="Z43" s="2885">
        <v>97.9</v>
      </c>
      <c r="AA43" s="4014">
        <f>(53307/55910000)*100000</f>
        <v>95.344303344661057</v>
      </c>
      <c r="AB43" s="4015">
        <f>((50663/57700000)*100000)</f>
        <v>87.804159445407279</v>
      </c>
    </row>
    <row r="44" spans="1:28" x14ac:dyDescent="0.25">
      <c r="D44" s="17" t="s">
        <v>1113</v>
      </c>
      <c r="E44" s="2635">
        <v>472.54664467580665</v>
      </c>
      <c r="F44" s="2635">
        <v>484.69604325635459</v>
      </c>
      <c r="G44" s="2635">
        <v>430.40813582382208</v>
      </c>
      <c r="H44" s="2635">
        <v>435.26768363777688</v>
      </c>
      <c r="I44" s="2635">
        <v>452.53143455896355</v>
      </c>
      <c r="J44" s="2635">
        <v>453.87096812404855</v>
      </c>
      <c r="K44" s="2635">
        <v>459.03351575077238</v>
      </c>
      <c r="L44" s="2635">
        <v>444.62960079811188</v>
      </c>
      <c r="M44" s="2635">
        <v>430.9847915363859</v>
      </c>
      <c r="N44" s="2635">
        <v>370.77113095456895</v>
      </c>
      <c r="O44" s="2635">
        <v>318.8</v>
      </c>
      <c r="P44" s="2635">
        <v>296.60000000000002</v>
      </c>
      <c r="Q44" s="2635">
        <v>261.7</v>
      </c>
      <c r="R44" s="2635">
        <v>233.4</v>
      </c>
      <c r="S44" s="2635">
        <v>225</v>
      </c>
      <c r="T44" s="2635">
        <v>245.1</v>
      </c>
      <c r="U44" s="2635">
        <v>246.2</v>
      </c>
      <c r="V44" s="2635">
        <v>257.89999999999998</v>
      </c>
      <c r="W44" s="2635">
        <v>267.2</v>
      </c>
      <c r="X44" s="4012">
        <v>271.39999999999998</v>
      </c>
      <c r="Y44" s="4013">
        <v>269.17174145217041</v>
      </c>
      <c r="Z44" s="2885">
        <v>253.6</v>
      </c>
      <c r="AA44" s="4014">
        <f>(138172/55910000)*100000</f>
        <v>247.13289214809515</v>
      </c>
      <c r="AB44" s="4015">
        <f>((129174/57700000)*100000)</f>
        <v>223.87175043327557</v>
      </c>
    </row>
    <row r="45" spans="1:28" x14ac:dyDescent="0.25">
      <c r="D45" s="17" t="s">
        <v>1114</v>
      </c>
      <c r="E45" s="2635">
        <v>121.86114833522318</v>
      </c>
      <c r="F45" s="2635">
        <v>109.73015311536712</v>
      </c>
      <c r="G45" s="2635">
        <v>103.47043617869724</v>
      </c>
      <c r="H45" s="2635">
        <v>100.983773804897</v>
      </c>
      <c r="I45" s="2635">
        <v>98.80929700895409</v>
      </c>
      <c r="J45" s="2635">
        <v>96.22498394876034</v>
      </c>
      <c r="K45" s="2635">
        <v>95.079169959029386</v>
      </c>
      <c r="L45" s="2635">
        <v>92.894257530682111</v>
      </c>
      <c r="M45" s="2635">
        <v>102.69923872319238</v>
      </c>
      <c r="N45" s="2635">
        <v>88.979293692874379</v>
      </c>
      <c r="O45" s="2635">
        <v>70.099999999999994</v>
      </c>
      <c r="P45" s="2635">
        <v>61.3</v>
      </c>
      <c r="Q45" s="2635">
        <v>60.8</v>
      </c>
      <c r="R45" s="2635">
        <v>60.1</v>
      </c>
      <c r="S45" s="2635">
        <v>61.7</v>
      </c>
      <c r="T45" s="2635">
        <v>65.7</v>
      </c>
      <c r="U45" s="2635">
        <v>60.3</v>
      </c>
      <c r="V45" s="2635">
        <v>61.2</v>
      </c>
      <c r="W45" s="2635">
        <v>57.2</v>
      </c>
      <c r="X45" s="4012">
        <v>52.9</v>
      </c>
      <c r="Y45" s="4013">
        <v>46.229808647294504</v>
      </c>
      <c r="Z45" s="2885">
        <v>45</v>
      </c>
      <c r="AA45" s="4013">
        <f>(26902/55910000)*100000</f>
        <v>48.116615989983899</v>
      </c>
      <c r="AB45" s="4015">
        <f>((28849/57700000)*100000)</f>
        <v>49.998266897746973</v>
      </c>
    </row>
    <row r="46" spans="1:28" s="2642" customFormat="1" ht="12.75" x14ac:dyDescent="0.2">
      <c r="A46" s="2641"/>
      <c r="B46" s="2641"/>
      <c r="C46" s="2641"/>
      <c r="X46" s="4016"/>
      <c r="Y46" s="4016"/>
      <c r="Z46" s="4016"/>
      <c r="AA46" s="4016"/>
      <c r="AB46" s="4016"/>
    </row>
    <row r="47" spans="1:28" s="2642" customFormat="1" ht="12.75" x14ac:dyDescent="0.2">
      <c r="A47" s="2641"/>
      <c r="B47" s="2641"/>
      <c r="C47" s="2641"/>
      <c r="G47" s="2643"/>
      <c r="H47" s="2643"/>
      <c r="J47" s="2644"/>
      <c r="K47" s="2643"/>
      <c r="L47" s="2643"/>
      <c r="M47" s="2643"/>
      <c r="X47" s="4016"/>
      <c r="Y47" s="4016"/>
      <c r="Z47" s="4016"/>
      <c r="AA47" s="4016"/>
      <c r="AB47" s="4017"/>
    </row>
    <row r="48" spans="1:28" s="2642" customFormat="1" x14ac:dyDescent="0.25">
      <c r="A48" s="2641"/>
      <c r="B48" s="2646"/>
      <c r="C48" s="2646"/>
      <c r="D48" s="2634" t="s">
        <v>6</v>
      </c>
      <c r="E48" s="2634" t="s">
        <v>1109</v>
      </c>
      <c r="F48" s="2424"/>
      <c r="G48" s="2421"/>
      <c r="H48" s="2421"/>
      <c r="I48" s="2421"/>
      <c r="J48" s="2421"/>
      <c r="K48" s="2421"/>
      <c r="L48" s="2421"/>
      <c r="M48" s="2421"/>
      <c r="N48" s="2421"/>
      <c r="O48" s="2421"/>
      <c r="P48" s="2421"/>
      <c r="Q48" s="320"/>
      <c r="R48" s="320"/>
      <c r="S48" s="2357"/>
      <c r="T48" s="2357"/>
      <c r="U48" s="2357"/>
      <c r="V48" s="2357"/>
      <c r="X48" s="4016"/>
      <c r="Y48" s="4016"/>
      <c r="Z48" s="4016"/>
      <c r="AA48" s="4016"/>
      <c r="AB48" s="4016"/>
    </row>
    <row r="49" spans="1:28" s="2642" customFormat="1" ht="12.75" x14ac:dyDescent="0.2">
      <c r="A49" s="2641"/>
      <c r="B49" s="2646"/>
      <c r="C49" s="2646"/>
      <c r="D49" s="2435"/>
      <c r="E49" s="2436" t="s">
        <v>131</v>
      </c>
      <c r="F49" s="2436" t="s">
        <v>132</v>
      </c>
      <c r="G49" s="2436" t="s">
        <v>133</v>
      </c>
      <c r="H49" s="2436" t="s">
        <v>134</v>
      </c>
      <c r="I49" s="2436" t="s">
        <v>135</v>
      </c>
      <c r="J49" s="2437" t="s">
        <v>136</v>
      </c>
      <c r="K49" s="2437" t="s">
        <v>137</v>
      </c>
      <c r="L49" s="2436" t="s">
        <v>138</v>
      </c>
      <c r="M49" s="2438" t="s">
        <v>139</v>
      </c>
      <c r="N49" s="2437" t="s">
        <v>140</v>
      </c>
      <c r="O49" s="2437" t="s">
        <v>141</v>
      </c>
      <c r="P49" s="2436" t="s">
        <v>142</v>
      </c>
      <c r="Q49" s="2437" t="s">
        <v>143</v>
      </c>
      <c r="R49" s="2437" t="s">
        <v>144</v>
      </c>
      <c r="S49" s="2437" t="s">
        <v>145</v>
      </c>
      <c r="T49" s="2437" t="s">
        <v>8</v>
      </c>
      <c r="U49" s="2437" t="s">
        <v>9</v>
      </c>
      <c r="V49" s="2437" t="s">
        <v>10</v>
      </c>
      <c r="W49" s="2438" t="s">
        <v>11</v>
      </c>
      <c r="X49" s="4010" t="s">
        <v>12</v>
      </c>
      <c r="Y49" s="4010" t="s">
        <v>13</v>
      </c>
      <c r="Z49" s="4010" t="s">
        <v>14</v>
      </c>
      <c r="AA49" s="4010" t="s">
        <v>15</v>
      </c>
      <c r="AB49" s="4011" t="s">
        <v>333</v>
      </c>
    </row>
    <row r="50" spans="1:28" s="2642" customFormat="1" ht="12.75" x14ac:dyDescent="0.2">
      <c r="A50" s="2641"/>
      <c r="B50" s="2646"/>
      <c r="C50" s="2646"/>
      <c r="D50" s="17" t="s">
        <v>1110</v>
      </c>
      <c r="E50" s="2647">
        <f>E41/E41*100</f>
        <v>100</v>
      </c>
      <c r="F50" s="2648">
        <f>F41/E41*100</f>
        <v>105.48091612038768</v>
      </c>
      <c r="G50" s="2648">
        <f>G41/E41*100</f>
        <v>101.11583509516331</v>
      </c>
      <c r="H50" s="2648">
        <f>H41/E41*100</f>
        <v>102.49725243188075</v>
      </c>
      <c r="I50" s="2648">
        <f>I41/E41*100</f>
        <v>109.47374533538094</v>
      </c>
      <c r="J50" s="2648">
        <f>J41/E41*100</f>
        <v>112.94335303465172</v>
      </c>
      <c r="K50" s="2648">
        <f>K41/E41*100</f>
        <v>116.39466655259416</v>
      </c>
      <c r="L50" s="2648">
        <f>L41/E41*100</f>
        <v>113.26054001237131</v>
      </c>
      <c r="M50" s="2648">
        <f>M41/E41*100</f>
        <v>118.07616686151292</v>
      </c>
      <c r="N50" s="2648">
        <f>N41/E41*100</f>
        <v>108.2212956039063</v>
      </c>
      <c r="O50" s="2648">
        <f>O41/E41*100</f>
        <v>99.427335480106322</v>
      </c>
      <c r="P50" s="2648">
        <f>P41/E41*100</f>
        <v>93.909185450930394</v>
      </c>
      <c r="Q50" s="2648">
        <f>Q41/E41*100</f>
        <v>88.35749043677464</v>
      </c>
      <c r="R50" s="2648">
        <f>R41/E41*100</f>
        <v>83.376060167275398</v>
      </c>
      <c r="S50" s="2648">
        <f>S41/E41*100</f>
        <v>84.952674461325671</v>
      </c>
      <c r="T50" s="2648">
        <f>T41/E41*100</f>
        <v>87.250505932441484</v>
      </c>
      <c r="U50" s="2648">
        <f>U41/E41*100</f>
        <v>83.074155302457271</v>
      </c>
      <c r="V50" s="2648">
        <f>V41/E41*100</f>
        <v>81.413678545957509</v>
      </c>
      <c r="W50" s="2648">
        <f>W41/E41*100</f>
        <v>84.097277344340952</v>
      </c>
      <c r="X50" s="4018">
        <f t="shared" ref="X50:X54" si="1">X41/E41*100</f>
        <v>82.453741572649406</v>
      </c>
      <c r="Y50" s="4018">
        <f>Y41/E41*100</f>
        <v>78.801772701902166</v>
      </c>
      <c r="Z50" s="4019">
        <f>Z41/E41*100</f>
        <v>76.482565753927943</v>
      </c>
      <c r="AA50" s="4019">
        <f>AA41/E41*100</f>
        <v>73.99396105531973</v>
      </c>
      <c r="AB50" s="4019">
        <f>AB41/E41*100</f>
        <v>66.303377850787655</v>
      </c>
    </row>
    <row r="51" spans="1:28" s="2642" customFormat="1" ht="12.75" x14ac:dyDescent="0.2">
      <c r="A51" s="2641"/>
      <c r="B51" s="2646"/>
      <c r="C51" s="2646"/>
      <c r="D51" s="17" t="s">
        <v>1111</v>
      </c>
      <c r="E51" s="2647">
        <f>E42/E42*100</f>
        <v>100</v>
      </c>
      <c r="F51" s="2648">
        <f>F42/E42*100</f>
        <v>97.794780251285758</v>
      </c>
      <c r="G51" s="2648">
        <f>G42/E42*100</f>
        <v>95.12714242206134</v>
      </c>
      <c r="H51" s="2648">
        <f>H42/E42*100</f>
        <v>97.156422197850176</v>
      </c>
      <c r="I51" s="2648">
        <f>I42/E42*100</f>
        <v>99.447336892176025</v>
      </c>
      <c r="J51" s="2648">
        <f>J42/E42*100</f>
        <v>95.76309272861613</v>
      </c>
      <c r="K51" s="2648">
        <f>K42/E42*100</f>
        <v>92.724193563794458</v>
      </c>
      <c r="L51" s="2648">
        <f>L42/E42*100</f>
        <v>86.097520461271756</v>
      </c>
      <c r="M51" s="2648">
        <f>M42/E42*100</f>
        <v>72.093106633233617</v>
      </c>
      <c r="N51" s="2648">
        <f>N42/E42*100</f>
        <v>61.719548797772127</v>
      </c>
      <c r="O51" s="2648">
        <f>O42/E42*100</f>
        <v>53.289054794520553</v>
      </c>
      <c r="P51" s="2648">
        <f>P42/E42*100</f>
        <v>51.384292237442921</v>
      </c>
      <c r="Q51" s="2648">
        <f>Q42/E42*100</f>
        <v>54.617958904109585</v>
      </c>
      <c r="R51" s="2648">
        <f>R42/E42*100</f>
        <v>58.338890410958896</v>
      </c>
      <c r="S51" s="2648">
        <f>S42/E42*100</f>
        <v>63.698803652968039</v>
      </c>
      <c r="T51" s="2648">
        <f>T42/E42*100</f>
        <v>64.4518493150685</v>
      </c>
      <c r="U51" s="2648">
        <f>U42/E42*100</f>
        <v>61.218182648401822</v>
      </c>
      <c r="V51" s="2648">
        <f>V42/E42*100</f>
        <v>61.351073059360729</v>
      </c>
      <c r="W51" s="2648">
        <f>W42/E42*100</f>
        <v>62.414196347031968</v>
      </c>
      <c r="X51" s="4018">
        <f t="shared" si="1"/>
        <v>61.528260273972599</v>
      </c>
      <c r="Y51" s="4018">
        <f>Y42/E42*100</f>
        <v>60.994491533165409</v>
      </c>
      <c r="Z51" s="4019">
        <f>Z42/E42*100</f>
        <v>60.465136986301374</v>
      </c>
      <c r="AA51" s="4019">
        <f>AA42/E42*100</f>
        <v>59.911209061529902</v>
      </c>
      <c r="AB51" s="4019">
        <f t="shared" ref="AB51:AB54" si="2">AB42/E42*100</f>
        <v>54.657035287228062</v>
      </c>
    </row>
    <row r="52" spans="1:28" s="2642" customFormat="1" ht="12.75" x14ac:dyDescent="0.2">
      <c r="A52" s="2641"/>
      <c r="B52" s="2646"/>
      <c r="C52" s="2646"/>
      <c r="D52" s="17" t="s">
        <v>1112</v>
      </c>
      <c r="E52" s="2647">
        <f>E43/E43*100</f>
        <v>100</v>
      </c>
      <c r="F52" s="2648">
        <f>F43/E43*100</f>
        <v>91.37823641369846</v>
      </c>
      <c r="G52" s="2648">
        <f>G43/E43*100</f>
        <v>87.906554256134584</v>
      </c>
      <c r="H52" s="2648">
        <f>H43/E43*100</f>
        <v>91.323113634307219</v>
      </c>
      <c r="I52" s="2648">
        <f>I43/E43*100</f>
        <v>93.788084444023127</v>
      </c>
      <c r="J52" s="2648">
        <f>J43/E43*100</f>
        <v>87.722166901447281</v>
      </c>
      <c r="K52" s="2648">
        <f>K43/E43*100</f>
        <v>83.927999060242996</v>
      </c>
      <c r="L52" s="2648">
        <f>L43/E43*100</f>
        <v>79.21112279579684</v>
      </c>
      <c r="M52" s="2648">
        <f>M43/E43*100</f>
        <v>75.102753361132386</v>
      </c>
      <c r="N52" s="2648">
        <f>N43/E43*100</f>
        <v>69.651674382855049</v>
      </c>
      <c r="O52" s="2648">
        <f>O43/E43*100</f>
        <v>65.976366573153115</v>
      </c>
      <c r="P52" s="2648">
        <f>P43/E43*100</f>
        <v>67.185933293660909</v>
      </c>
      <c r="Q52" s="2648">
        <f>Q43/E43*100</f>
        <v>66.746090849839888</v>
      </c>
      <c r="R52" s="2648">
        <f>R43/E43*100</f>
        <v>61.467981523987639</v>
      </c>
      <c r="S52" s="2648">
        <f>S43/E43*100</f>
        <v>57.179517696732695</v>
      </c>
      <c r="T52" s="2648">
        <f>T43/E43*100</f>
        <v>53.330896313298759</v>
      </c>
      <c r="U52" s="2648">
        <f>U43/E43*100</f>
        <v>47.283062710759729</v>
      </c>
      <c r="V52" s="2648">
        <f>V43/E43*100</f>
        <v>42.811331198579353</v>
      </c>
      <c r="W52" s="2648">
        <f>W43/E43*100</f>
        <v>40.942000812340012</v>
      </c>
      <c r="X52" s="4018">
        <f t="shared" si="1"/>
        <v>39.329245184996267</v>
      </c>
      <c r="Y52" s="4018">
        <f>Y43/E43*100</f>
        <v>37.392042378843101</v>
      </c>
      <c r="Z52" s="4019">
        <f>Z43/E43*100</f>
        <v>35.883812708398274</v>
      </c>
      <c r="AA52" s="4019">
        <f>AA43/E43*100</f>
        <v>34.947059489607028</v>
      </c>
      <c r="AB52" s="4019">
        <f t="shared" si="2"/>
        <v>32.183330056765413</v>
      </c>
    </row>
    <row r="53" spans="1:28" s="2642" customFormat="1" ht="12.75" x14ac:dyDescent="0.2">
      <c r="A53" s="2641"/>
      <c r="B53" s="2641"/>
      <c r="C53" s="2641"/>
      <c r="D53" s="17" t="s">
        <v>1113</v>
      </c>
      <c r="E53" s="2647">
        <f>E44/E44*100</f>
        <v>100</v>
      </c>
      <c r="F53" s="2648">
        <f>F44/E44*100</f>
        <v>102.57104747593395</v>
      </c>
      <c r="G53" s="2648">
        <f>G44/E44*100</f>
        <v>91.082677376559531</v>
      </c>
      <c r="H53" s="2648">
        <f>H44/E44*100</f>
        <v>92.111051584419741</v>
      </c>
      <c r="I53" s="2648">
        <f>I44/E44*100</f>
        <v>95.764394829091486</v>
      </c>
      <c r="J53" s="2648">
        <f>J44/E44*100</f>
        <v>96.047866012344528</v>
      </c>
      <c r="K53" s="2648">
        <f>K44/E44*100</f>
        <v>97.140360834790172</v>
      </c>
      <c r="L53" s="2648">
        <f>L44/E44*100</f>
        <v>94.09221413542204</v>
      </c>
      <c r="M53" s="2648">
        <f>M44/E44*100</f>
        <v>91.204708866796736</v>
      </c>
      <c r="N53" s="2648">
        <f>N44/E44*100</f>
        <v>78.462334910649645</v>
      </c>
      <c r="O53" s="2648">
        <f>O44/E44*100</f>
        <v>67.464239476023494</v>
      </c>
      <c r="P53" s="2648">
        <f>P44/E44*100</f>
        <v>62.766290553916463</v>
      </c>
      <c r="Q53" s="2648">
        <f>Q44/E44*100</f>
        <v>55.380776257450904</v>
      </c>
      <c r="R53" s="2648">
        <f>R44/E44*100</f>
        <v>49.391949478368517</v>
      </c>
      <c r="S53" s="2648">
        <f>S44/E44*100</f>
        <v>47.614347183517211</v>
      </c>
      <c r="T53" s="2648">
        <f>T44/E44*100</f>
        <v>51.867895531911415</v>
      </c>
      <c r="U53" s="2648">
        <f>U44/E44*100</f>
        <v>52.100676784808599</v>
      </c>
      <c r="V53" s="2648">
        <f>V44/E44*100</f>
        <v>54.576622838351497</v>
      </c>
      <c r="W53" s="2648">
        <f>W44/E44*100</f>
        <v>56.544682521936871</v>
      </c>
      <c r="X53" s="4018">
        <f t="shared" si="1"/>
        <v>57.433483669362531</v>
      </c>
      <c r="Y53" s="4018">
        <f>Y44/E44*100</f>
        <v>56.961941108869205</v>
      </c>
      <c r="Z53" s="4019">
        <f>Z44/E44*100</f>
        <v>53.666659758844283</v>
      </c>
      <c r="AA53" s="4019">
        <f>AA44/E44*100</f>
        <v>52.298094787582741</v>
      </c>
      <c r="AB53" s="4019">
        <f t="shared" si="2"/>
        <v>47.375587776496445</v>
      </c>
    </row>
    <row r="54" spans="1:28" s="2642" customFormat="1" ht="12.75" x14ac:dyDescent="0.2">
      <c r="A54" s="2641"/>
      <c r="B54" s="2641"/>
      <c r="C54" s="2641"/>
      <c r="D54" s="18" t="s">
        <v>1114</v>
      </c>
      <c r="E54" s="2649">
        <f>E45/E45*100</f>
        <v>100</v>
      </c>
      <c r="F54" s="2650">
        <f>F45/E45*100</f>
        <v>90.045231490445687</v>
      </c>
      <c r="G54" s="2650">
        <f>G45/E45*100</f>
        <v>84.908469674078873</v>
      </c>
      <c r="H54" s="2650">
        <f>H45/E45*100</f>
        <v>82.867899395716009</v>
      </c>
      <c r="I54" s="2650">
        <f>I45/E45*100</f>
        <v>81.083510502579031</v>
      </c>
      <c r="J54" s="2650">
        <f>J45/E45*100</f>
        <v>78.9628074766362</v>
      </c>
      <c r="K54" s="2650">
        <f>K45/E45*100</f>
        <v>78.022545542964792</v>
      </c>
      <c r="L54" s="2650">
        <f>L45/E45*100</f>
        <v>76.229593106363026</v>
      </c>
      <c r="M54" s="2650">
        <f>M45/E45*100</f>
        <v>84.275620348399286</v>
      </c>
      <c r="N54" s="2650">
        <f>N45/E45*100</f>
        <v>73.01694995365105</v>
      </c>
      <c r="O54" s="2650">
        <f>O45/E45*100</f>
        <v>57.524486645378218</v>
      </c>
      <c r="P54" s="2650">
        <f>P45/E45*100</f>
        <v>50.303153086471966</v>
      </c>
      <c r="Q54" s="2650">
        <f>Q45/E45*100</f>
        <v>49.892850043352297</v>
      </c>
      <c r="R54" s="2650">
        <f>R45/E45*100</f>
        <v>49.318425782984754</v>
      </c>
      <c r="S54" s="2650">
        <f>S45/E45*100</f>
        <v>50.6313955209677</v>
      </c>
      <c r="T54" s="2650">
        <f>T45/E45*100</f>
        <v>53.913819865925092</v>
      </c>
      <c r="U54" s="2650">
        <f>U45/E45*100</f>
        <v>49.482547000232621</v>
      </c>
      <c r="V54" s="2650">
        <f>V45/E45*100</f>
        <v>50.221092477848039</v>
      </c>
      <c r="W54" s="2650">
        <f>W45/E45*100</f>
        <v>46.938668132890648</v>
      </c>
      <c r="X54" s="4020">
        <f t="shared" si="1"/>
        <v>43.410061962061455</v>
      </c>
      <c r="Y54" s="4020">
        <f>Y45/E45*100</f>
        <v>37.936462341650262</v>
      </c>
      <c r="Z54" s="4020">
        <f>Z45/E45*100</f>
        <v>36.927273880770613</v>
      </c>
      <c r="AA54" s="4020">
        <f>AA45/E45*100</f>
        <v>39.484787930622268</v>
      </c>
      <c r="AB54" s="4020">
        <f t="shared" si="2"/>
        <v>41.028882117710438</v>
      </c>
    </row>
    <row r="55" spans="1:28" s="2642" customFormat="1" ht="12.75" x14ac:dyDescent="0.2">
      <c r="A55" s="2641"/>
      <c r="B55" s="2641"/>
      <c r="C55" s="2641"/>
      <c r="G55" s="2643"/>
      <c r="H55" s="2643"/>
      <c r="J55" s="2644"/>
      <c r="K55" s="2643"/>
      <c r="L55" s="2643"/>
      <c r="M55" s="2643"/>
      <c r="AB55" s="2651"/>
    </row>
    <row r="56" spans="1:28" s="2642" customFormat="1" ht="12.75" x14ac:dyDescent="0.2">
      <c r="A56" s="2641"/>
      <c r="B56" s="2652"/>
      <c r="C56" s="2652"/>
      <c r="D56" s="2653"/>
      <c r="E56" s="2653"/>
      <c r="F56" s="2653"/>
      <c r="G56" s="2653"/>
      <c r="H56" s="2653"/>
      <c r="I56" s="2653"/>
      <c r="J56" s="2653"/>
      <c r="K56" s="2653"/>
      <c r="L56" s="2653"/>
      <c r="M56" s="2653"/>
      <c r="AB56" s="2645"/>
    </row>
    <row r="57" spans="1:28" s="2642" customFormat="1" ht="12.75" x14ac:dyDescent="0.2">
      <c r="A57" s="2641"/>
      <c r="B57" s="2652"/>
      <c r="C57" s="2652"/>
      <c r="D57" s="2653"/>
      <c r="E57" s="2653"/>
      <c r="F57" s="2653"/>
      <c r="G57" s="2653"/>
      <c r="H57" s="2653"/>
      <c r="I57" s="2653"/>
      <c r="J57" s="2653"/>
      <c r="K57" s="2653"/>
      <c r="L57" s="2653"/>
      <c r="M57" s="2653"/>
    </row>
    <row r="58" spans="1:28" s="2642" customFormat="1" ht="12.75" x14ac:dyDescent="0.2">
      <c r="A58" s="2641"/>
      <c r="B58" s="2652"/>
      <c r="C58" s="2652"/>
      <c r="D58" s="2653"/>
      <c r="E58" s="2653"/>
      <c r="F58" s="2653"/>
      <c r="G58" s="2653"/>
      <c r="H58" s="2653"/>
      <c r="I58" s="2653"/>
      <c r="J58" s="2653"/>
      <c r="K58" s="2653"/>
      <c r="L58" s="2653"/>
      <c r="M58" s="2653"/>
    </row>
    <row r="59" spans="1:28" s="2642" customFormat="1" ht="12.75" x14ac:dyDescent="0.2">
      <c r="A59" s="2641"/>
      <c r="B59" s="2652"/>
      <c r="C59" s="2652"/>
      <c r="D59" s="2653"/>
      <c r="E59" s="2653"/>
      <c r="F59" s="2653"/>
      <c r="G59" s="2653"/>
      <c r="H59" s="2653"/>
      <c r="I59" s="2653"/>
      <c r="J59" s="2653"/>
      <c r="K59" s="2653"/>
      <c r="L59" s="2653"/>
      <c r="M59" s="2653"/>
    </row>
    <row r="60" spans="1:28" s="2642" customFormat="1" ht="12.75" x14ac:dyDescent="0.2">
      <c r="A60" s="2641"/>
      <c r="B60" s="2652"/>
      <c r="C60" s="2652"/>
      <c r="D60" s="2653"/>
      <c r="E60" s="2653"/>
      <c r="F60" s="2653"/>
      <c r="G60" s="2653"/>
      <c r="H60" s="2653"/>
      <c r="I60" s="2653"/>
      <c r="J60" s="2653"/>
      <c r="K60" s="2653"/>
      <c r="L60" s="2653"/>
      <c r="M60" s="2653"/>
    </row>
    <row r="61" spans="1:28" s="2642" customFormat="1" ht="12.75" x14ac:dyDescent="0.2">
      <c r="A61" s="2641"/>
      <c r="B61" s="2652"/>
      <c r="C61" s="2652"/>
      <c r="D61" s="2653"/>
      <c r="E61" s="2653"/>
      <c r="F61" s="2653"/>
      <c r="G61" s="2653"/>
      <c r="H61" s="2653"/>
      <c r="I61" s="2653"/>
      <c r="J61" s="2653"/>
      <c r="K61" s="2653"/>
      <c r="L61" s="2653"/>
      <c r="M61" s="2653"/>
    </row>
    <row r="62" spans="1:28" s="2642" customFormat="1" ht="12.75" x14ac:dyDescent="0.2">
      <c r="A62" s="2641"/>
      <c r="B62" s="2652"/>
      <c r="C62" s="2652"/>
      <c r="D62" s="2653"/>
      <c r="E62" s="2653"/>
      <c r="F62" s="2653"/>
      <c r="G62" s="2653"/>
      <c r="H62" s="2653"/>
      <c r="I62" s="2653"/>
      <c r="J62" s="2653"/>
      <c r="K62" s="2653"/>
      <c r="L62" s="2653"/>
      <c r="M62" s="2653"/>
    </row>
    <row r="63" spans="1:28" s="2642" customFormat="1" ht="12.75" x14ac:dyDescent="0.2">
      <c r="A63" s="2641"/>
      <c r="B63" s="2652"/>
      <c r="C63" s="2652"/>
      <c r="D63" s="2653"/>
      <c r="E63" s="2653"/>
      <c r="F63" s="2653"/>
      <c r="G63" s="2653"/>
      <c r="H63" s="2653"/>
      <c r="I63" s="2653"/>
      <c r="J63" s="2653"/>
      <c r="K63" s="2653"/>
      <c r="L63" s="2653"/>
      <c r="M63" s="2653"/>
    </row>
    <row r="64" spans="1:28" s="2642" customFormat="1" ht="12.75" x14ac:dyDescent="0.2">
      <c r="A64" s="2641"/>
      <c r="B64" s="2652"/>
      <c r="C64" s="2652"/>
      <c r="D64" s="2653"/>
      <c r="E64" s="2653"/>
      <c r="F64" s="2653"/>
      <c r="G64" s="2653"/>
      <c r="H64" s="2653"/>
      <c r="I64" s="2653"/>
      <c r="J64" s="2653"/>
      <c r="K64" s="2653"/>
      <c r="L64" s="2653"/>
      <c r="M64" s="2653"/>
    </row>
    <row r="65" spans="1:13" s="2642" customFormat="1" ht="12.75" x14ac:dyDescent="0.2">
      <c r="A65" s="2641"/>
      <c r="B65" s="2652"/>
      <c r="C65" s="2652"/>
      <c r="D65" s="2653"/>
      <c r="E65" s="2653"/>
      <c r="F65" s="2653"/>
      <c r="G65" s="2653"/>
      <c r="H65" s="2653"/>
      <c r="I65" s="2653"/>
      <c r="J65" s="2653"/>
      <c r="K65" s="2653"/>
      <c r="L65" s="2653"/>
      <c r="M65" s="2653"/>
    </row>
    <row r="66" spans="1:13" s="2642" customFormat="1" ht="12.75" x14ac:dyDescent="0.2">
      <c r="A66" s="2641"/>
      <c r="B66" s="2652"/>
      <c r="C66" s="2652"/>
      <c r="D66" s="2653"/>
      <c r="E66" s="2653"/>
      <c r="F66" s="2653"/>
      <c r="G66" s="2653"/>
      <c r="H66" s="2653"/>
      <c r="I66" s="2653"/>
      <c r="J66" s="2653"/>
      <c r="K66" s="2653"/>
      <c r="L66" s="2653"/>
      <c r="M66" s="2653"/>
    </row>
    <row r="67" spans="1:13" s="2642" customFormat="1" ht="12.75" x14ac:dyDescent="0.2">
      <c r="A67" s="2641"/>
      <c r="B67" s="2652"/>
      <c r="C67" s="2652"/>
      <c r="D67" s="2653"/>
      <c r="E67" s="2653"/>
      <c r="F67" s="2653"/>
      <c r="G67" s="2653"/>
      <c r="H67" s="2653"/>
      <c r="I67" s="2653"/>
      <c r="J67" s="2653"/>
      <c r="K67" s="2653"/>
      <c r="L67" s="2653"/>
      <c r="M67" s="2653"/>
    </row>
    <row r="68" spans="1:13" s="2642" customFormat="1" ht="12.75" x14ac:dyDescent="0.2">
      <c r="A68" s="2641"/>
      <c r="B68" s="2652"/>
      <c r="C68" s="2652"/>
      <c r="D68" s="2653"/>
      <c r="E68" s="2653"/>
      <c r="F68" s="2653"/>
      <c r="G68" s="2653"/>
      <c r="H68" s="2653"/>
      <c r="I68" s="2653"/>
      <c r="J68" s="2653"/>
      <c r="K68" s="2653"/>
      <c r="L68" s="2653"/>
      <c r="M68" s="2653"/>
    </row>
    <row r="69" spans="1:13" s="2642" customFormat="1" ht="12.75" x14ac:dyDescent="0.2">
      <c r="A69" s="2641"/>
      <c r="B69" s="2652"/>
      <c r="C69" s="2652"/>
      <c r="D69" s="2653"/>
      <c r="E69" s="2653"/>
      <c r="F69" s="2653"/>
      <c r="G69" s="2653"/>
      <c r="H69" s="2653"/>
      <c r="I69" s="2653"/>
      <c r="J69" s="2653"/>
      <c r="K69" s="2653"/>
      <c r="L69" s="2653"/>
      <c r="M69" s="2653"/>
    </row>
    <row r="70" spans="1:13" s="2642" customFormat="1" ht="12.75" x14ac:dyDescent="0.2">
      <c r="A70" s="2641"/>
      <c r="B70" s="2652"/>
      <c r="C70" s="2652"/>
      <c r="D70" s="2653"/>
      <c r="E70" s="2653"/>
      <c r="F70" s="2653"/>
      <c r="G70" s="2653"/>
      <c r="H70" s="2653"/>
      <c r="I70" s="2653"/>
      <c r="J70" s="2653"/>
      <c r="K70" s="2653"/>
      <c r="L70" s="2653"/>
      <c r="M70" s="2653"/>
    </row>
    <row r="71" spans="1:13" s="2642" customFormat="1" ht="12.75" x14ac:dyDescent="0.2">
      <c r="A71" s="2641"/>
      <c r="B71" s="2652"/>
      <c r="C71" s="2652"/>
      <c r="D71" s="2653"/>
      <c r="E71" s="2653"/>
      <c r="F71" s="2653"/>
      <c r="G71" s="2653"/>
      <c r="H71" s="2653"/>
      <c r="I71" s="2653"/>
      <c r="J71" s="2653"/>
      <c r="K71" s="2653"/>
      <c r="L71" s="2653"/>
      <c r="M71" s="2653"/>
    </row>
    <row r="72" spans="1:13" s="2642" customFormat="1" ht="12.75" x14ac:dyDescent="0.2">
      <c r="A72" s="2641"/>
      <c r="B72" s="2652"/>
      <c r="C72" s="2652"/>
      <c r="D72" s="2653"/>
      <c r="E72" s="2653"/>
      <c r="F72" s="2653"/>
      <c r="G72" s="2653"/>
      <c r="H72" s="2653"/>
      <c r="I72" s="2653"/>
      <c r="J72" s="2653"/>
      <c r="K72" s="2653"/>
      <c r="L72" s="2653"/>
      <c r="M72" s="2653"/>
    </row>
    <row r="73" spans="1:13" s="2642" customFormat="1" ht="12.75" x14ac:dyDescent="0.2">
      <c r="A73" s="2641"/>
      <c r="B73" s="2652"/>
      <c r="C73" s="2652"/>
      <c r="D73" s="2653"/>
      <c r="E73" s="2653"/>
      <c r="F73" s="2653"/>
      <c r="G73" s="2653"/>
      <c r="H73" s="2653"/>
      <c r="I73" s="2653"/>
      <c r="J73" s="2653"/>
      <c r="K73" s="2653"/>
      <c r="L73" s="2653"/>
      <c r="M73" s="2653"/>
    </row>
    <row r="74" spans="1:13" s="2642" customFormat="1" ht="12.75" x14ac:dyDescent="0.2">
      <c r="A74" s="2641"/>
      <c r="B74" s="2652"/>
      <c r="C74" s="2652"/>
      <c r="D74" s="2653"/>
      <c r="E74" s="2653"/>
      <c r="F74" s="2653"/>
      <c r="G74" s="2653"/>
      <c r="H74" s="2653"/>
      <c r="I74" s="2653"/>
      <c r="J74" s="2653"/>
      <c r="K74" s="2653"/>
      <c r="L74" s="2653"/>
      <c r="M74" s="2653"/>
    </row>
    <row r="75" spans="1:13" s="2642" customFormat="1" ht="12.75" x14ac:dyDescent="0.2">
      <c r="A75" s="2641"/>
      <c r="B75" s="2652"/>
      <c r="C75" s="2652"/>
      <c r="D75" s="2653"/>
      <c r="E75" s="2653"/>
      <c r="F75" s="2653"/>
      <c r="G75" s="2653"/>
      <c r="H75" s="2653"/>
      <c r="I75" s="2653"/>
      <c r="J75" s="2653"/>
      <c r="K75" s="2653"/>
      <c r="L75" s="2653"/>
      <c r="M75" s="2653"/>
    </row>
    <row r="76" spans="1:13" s="2642" customFormat="1" ht="12.75" x14ac:dyDescent="0.2">
      <c r="A76" s="2641"/>
      <c r="B76" s="2652"/>
      <c r="C76" s="2652"/>
      <c r="D76" s="2653"/>
      <c r="E76" s="2653"/>
      <c r="F76" s="2653"/>
      <c r="G76" s="2653"/>
      <c r="H76" s="2653"/>
      <c r="I76" s="2653"/>
      <c r="J76" s="2653"/>
      <c r="K76" s="2653"/>
      <c r="L76" s="2653"/>
      <c r="M76" s="2653"/>
    </row>
    <row r="77" spans="1:13" s="2642" customFormat="1" ht="12.75" x14ac:dyDescent="0.2">
      <c r="A77" s="2641"/>
      <c r="B77" s="2652"/>
      <c r="C77" s="2652"/>
      <c r="D77" s="2653"/>
      <c r="E77" s="2653"/>
      <c r="F77" s="2653"/>
      <c r="G77" s="2653"/>
      <c r="H77" s="2653"/>
      <c r="I77" s="2653"/>
      <c r="J77" s="2653"/>
      <c r="K77" s="2653"/>
      <c r="L77" s="2653"/>
      <c r="M77" s="2653"/>
    </row>
    <row r="78" spans="1:13" s="2642" customFormat="1" ht="12.75" x14ac:dyDescent="0.2">
      <c r="A78" s="2641"/>
      <c r="B78" s="2652"/>
      <c r="C78" s="2652"/>
      <c r="D78" s="2653"/>
      <c r="E78" s="2653"/>
      <c r="F78" s="2653"/>
      <c r="G78" s="2653"/>
      <c r="H78" s="2653"/>
      <c r="I78" s="2653"/>
      <c r="J78" s="2653"/>
      <c r="K78" s="2653"/>
      <c r="L78" s="2653"/>
      <c r="M78" s="2653"/>
    </row>
    <row r="79" spans="1:13" s="2642" customFormat="1" ht="12.75" x14ac:dyDescent="0.2">
      <c r="A79" s="2641"/>
      <c r="B79" s="2652"/>
      <c r="C79" s="2652"/>
      <c r="D79" s="2653"/>
      <c r="E79" s="2653"/>
      <c r="F79" s="2653"/>
      <c r="G79" s="2653"/>
      <c r="H79" s="2653"/>
      <c r="I79" s="2653"/>
      <c r="J79" s="2653"/>
      <c r="K79" s="2653"/>
      <c r="L79" s="2653"/>
      <c r="M79" s="2653"/>
    </row>
    <row r="80" spans="1:13" s="2642" customFormat="1" ht="12.75" x14ac:dyDescent="0.2">
      <c r="A80" s="2641"/>
      <c r="B80" s="2652"/>
      <c r="C80" s="2652"/>
      <c r="D80" s="2653"/>
      <c r="E80" s="2653"/>
      <c r="F80" s="2653"/>
      <c r="G80" s="2653"/>
      <c r="H80" s="2653"/>
      <c r="I80" s="2653"/>
      <c r="J80" s="2653"/>
      <c r="K80" s="2653"/>
      <c r="L80" s="2653"/>
      <c r="M80" s="2653"/>
    </row>
    <row r="81" spans="1:13" s="2642" customFormat="1" ht="12.75" x14ac:dyDescent="0.2">
      <c r="A81" s="2641"/>
      <c r="B81" s="2652"/>
      <c r="C81" s="2652"/>
      <c r="D81" s="2653"/>
      <c r="E81" s="2653"/>
      <c r="F81" s="2653"/>
      <c r="G81" s="2653"/>
      <c r="H81" s="2653"/>
      <c r="I81" s="2653"/>
      <c r="J81" s="2653"/>
      <c r="K81" s="2653"/>
      <c r="L81" s="2653"/>
      <c r="M81" s="2653"/>
    </row>
    <row r="82" spans="1:13" s="2642" customFormat="1" ht="12.75" x14ac:dyDescent="0.2">
      <c r="A82" s="2641"/>
      <c r="B82" s="2652"/>
      <c r="C82" s="2652"/>
      <c r="D82" s="2653"/>
      <c r="E82" s="2653"/>
      <c r="F82" s="2653"/>
      <c r="G82" s="2653"/>
      <c r="H82" s="2653"/>
      <c r="I82" s="2653"/>
      <c r="J82" s="2653"/>
      <c r="K82" s="2653"/>
      <c r="L82" s="2653"/>
      <c r="M82" s="2653"/>
    </row>
    <row r="83" spans="1:13" s="2642" customFormat="1" ht="12.75" x14ac:dyDescent="0.2">
      <c r="A83" s="2641"/>
      <c r="B83" s="2652"/>
      <c r="C83" s="2652"/>
      <c r="D83" s="2653"/>
      <c r="E83" s="2653"/>
      <c r="F83" s="2653"/>
      <c r="G83" s="2653"/>
      <c r="H83" s="2653"/>
      <c r="I83" s="2653"/>
      <c r="J83" s="2653"/>
      <c r="K83" s="2653"/>
      <c r="L83" s="2653"/>
      <c r="M83" s="2653"/>
    </row>
    <row r="84" spans="1:13" s="2642" customFormat="1" ht="12.75" x14ac:dyDescent="0.2">
      <c r="A84" s="2641"/>
      <c r="B84" s="2652"/>
      <c r="C84" s="2652"/>
      <c r="D84" s="2653"/>
      <c r="E84" s="2653"/>
      <c r="F84" s="2653"/>
      <c r="G84" s="2653"/>
      <c r="H84" s="2653"/>
      <c r="I84" s="2653"/>
      <c r="J84" s="2653"/>
      <c r="K84" s="2653"/>
      <c r="L84" s="2653"/>
      <c r="M84" s="2653"/>
    </row>
    <row r="85" spans="1:13" s="2642" customFormat="1" ht="12.75" x14ac:dyDescent="0.2">
      <c r="A85" s="2641"/>
      <c r="B85" s="2652"/>
      <c r="C85" s="2652"/>
      <c r="D85" s="2653"/>
      <c r="E85" s="2653"/>
      <c r="F85" s="2653"/>
      <c r="G85" s="2653"/>
      <c r="H85" s="2653"/>
      <c r="I85" s="2653"/>
      <c r="J85" s="2653"/>
      <c r="K85" s="2653"/>
      <c r="L85" s="2653"/>
      <c r="M85" s="2653"/>
    </row>
    <row r="86" spans="1:13" s="2642" customFormat="1" ht="12.75" x14ac:dyDescent="0.2">
      <c r="A86" s="2641"/>
      <c r="B86" s="2652"/>
      <c r="C86" s="2652"/>
      <c r="D86" s="2653"/>
      <c r="E86" s="2653"/>
      <c r="F86" s="2653"/>
      <c r="G86" s="2653"/>
      <c r="H86" s="2653"/>
      <c r="I86" s="2653"/>
      <c r="J86" s="2653"/>
      <c r="K86" s="2653"/>
      <c r="L86" s="2653"/>
      <c r="M86" s="2653"/>
    </row>
    <row r="87" spans="1:13" s="2642" customFormat="1" ht="12.75" x14ac:dyDescent="0.2">
      <c r="A87" s="2641"/>
      <c r="B87" s="2652"/>
      <c r="C87" s="2652"/>
      <c r="D87" s="2653"/>
      <c r="E87" s="2653"/>
      <c r="F87" s="2653"/>
      <c r="G87" s="2653"/>
      <c r="H87" s="2653"/>
      <c r="I87" s="2653"/>
      <c r="J87" s="2653"/>
      <c r="K87" s="2653"/>
      <c r="L87" s="2653"/>
      <c r="M87" s="2653"/>
    </row>
    <row r="88" spans="1:13" s="2642" customFormat="1" ht="12.75" x14ac:dyDescent="0.2">
      <c r="A88" s="2641"/>
      <c r="B88" s="2652"/>
      <c r="C88" s="2652"/>
      <c r="D88" s="2653"/>
      <c r="E88" s="2653"/>
      <c r="F88" s="2653"/>
      <c r="G88" s="2653"/>
      <c r="H88" s="2653"/>
      <c r="I88" s="2653"/>
      <c r="J88" s="2653"/>
      <c r="K88" s="2653"/>
      <c r="L88" s="2653"/>
      <c r="M88" s="2653"/>
    </row>
    <row r="89" spans="1:13" s="2642" customFormat="1" ht="12.75" x14ac:dyDescent="0.2">
      <c r="A89" s="2641"/>
      <c r="B89" s="2652"/>
      <c r="C89" s="2652"/>
      <c r="D89" s="2653"/>
      <c r="E89" s="2653"/>
      <c r="F89" s="2653"/>
      <c r="G89" s="2653"/>
      <c r="H89" s="2653"/>
      <c r="I89" s="2653"/>
      <c r="J89" s="2653"/>
      <c r="K89" s="2653"/>
      <c r="L89" s="2653"/>
      <c r="M89" s="2653"/>
    </row>
    <row r="90" spans="1:13" s="2642" customFormat="1" ht="12.75" x14ac:dyDescent="0.2">
      <c r="A90" s="2641"/>
      <c r="B90" s="2652"/>
      <c r="C90" s="2652"/>
      <c r="D90" s="2653"/>
      <c r="E90" s="2653"/>
      <c r="F90" s="2653"/>
      <c r="G90" s="2653"/>
      <c r="H90" s="2653"/>
      <c r="I90" s="2653"/>
      <c r="J90" s="2653"/>
      <c r="K90" s="2653"/>
      <c r="L90" s="2653"/>
      <c r="M90" s="2653"/>
    </row>
    <row r="91" spans="1:13" s="2642" customFormat="1" ht="12.75" x14ac:dyDescent="0.2">
      <c r="A91" s="2641"/>
      <c r="B91" s="2652"/>
      <c r="C91" s="2652"/>
      <c r="D91" s="2653"/>
      <c r="E91" s="2653"/>
      <c r="F91" s="2653"/>
      <c r="G91" s="2653"/>
      <c r="H91" s="2653"/>
      <c r="I91" s="2653"/>
      <c r="J91" s="2653"/>
      <c r="K91" s="2653"/>
      <c r="L91" s="2653"/>
      <c r="M91" s="2653"/>
    </row>
    <row r="92" spans="1:13" s="2642" customFormat="1" ht="12.75" x14ac:dyDescent="0.2">
      <c r="A92" s="2641"/>
      <c r="B92" s="2652"/>
      <c r="C92" s="2652"/>
      <c r="D92" s="2653"/>
      <c r="E92" s="2653"/>
      <c r="F92" s="2653"/>
      <c r="G92" s="2653"/>
      <c r="H92" s="2653"/>
      <c r="I92" s="2653"/>
      <c r="J92" s="2653"/>
      <c r="K92" s="2653"/>
      <c r="L92" s="2653"/>
      <c r="M92" s="2653"/>
    </row>
    <row r="93" spans="1:13" s="2642" customFormat="1" ht="12.75" x14ac:dyDescent="0.2">
      <c r="A93" s="2641"/>
      <c r="B93" s="2652"/>
      <c r="C93" s="2652"/>
      <c r="D93" s="2653"/>
      <c r="E93" s="2653"/>
      <c r="F93" s="2653"/>
      <c r="G93" s="2653"/>
      <c r="H93" s="2653"/>
      <c r="I93" s="2653"/>
      <c r="J93" s="2653"/>
      <c r="K93" s="2653"/>
      <c r="L93" s="2653"/>
      <c r="M93" s="2653"/>
    </row>
    <row r="94" spans="1:13" s="2642" customFormat="1" ht="12.75" x14ac:dyDescent="0.2">
      <c r="A94" s="2641"/>
      <c r="B94" s="2652"/>
      <c r="C94" s="2652"/>
      <c r="D94" s="2653"/>
      <c r="E94" s="2653"/>
      <c r="F94" s="2653"/>
      <c r="G94" s="2653"/>
      <c r="H94" s="2653"/>
      <c r="I94" s="2653"/>
      <c r="J94" s="2653"/>
      <c r="K94" s="2653"/>
      <c r="L94" s="2653"/>
      <c r="M94" s="2653"/>
    </row>
    <row r="95" spans="1:13" s="2642" customFormat="1" ht="12.75" x14ac:dyDescent="0.2">
      <c r="A95" s="2641"/>
      <c r="B95" s="2652"/>
      <c r="C95" s="2652"/>
      <c r="D95" s="2653"/>
      <c r="E95" s="2653"/>
      <c r="F95" s="2653"/>
      <c r="G95" s="2653"/>
      <c r="H95" s="2653"/>
      <c r="I95" s="2653"/>
      <c r="J95" s="2653"/>
      <c r="K95" s="2653"/>
      <c r="L95" s="2653"/>
      <c r="M95" s="2653"/>
    </row>
    <row r="96" spans="1:13" s="2642" customFormat="1" ht="12.75" x14ac:dyDescent="0.2">
      <c r="A96" s="2641"/>
      <c r="B96" s="2652"/>
      <c r="C96" s="2652"/>
      <c r="D96" s="2653"/>
      <c r="E96" s="2653"/>
      <c r="F96" s="2653"/>
      <c r="G96" s="2653"/>
      <c r="H96" s="2653"/>
      <c r="I96" s="2653"/>
      <c r="J96" s="2653"/>
      <c r="K96" s="2653"/>
      <c r="L96" s="2653"/>
      <c r="M96" s="2653"/>
    </row>
    <row r="97" spans="1:13" s="2642" customFormat="1" ht="12.75" x14ac:dyDescent="0.2">
      <c r="A97" s="2641"/>
      <c r="B97" s="2652"/>
      <c r="C97" s="2652"/>
      <c r="D97" s="2653"/>
      <c r="E97" s="2653"/>
      <c r="F97" s="2653"/>
      <c r="G97" s="2653"/>
      <c r="H97" s="2653"/>
      <c r="I97" s="2653"/>
      <c r="J97" s="2653"/>
      <c r="K97" s="2653"/>
      <c r="L97" s="2653"/>
      <c r="M97" s="2653"/>
    </row>
    <row r="98" spans="1:13" s="2642" customFormat="1" ht="12.75" x14ac:dyDescent="0.2">
      <c r="A98" s="2641"/>
      <c r="B98" s="2652"/>
      <c r="C98" s="2652"/>
      <c r="D98" s="2653"/>
      <c r="E98" s="2653"/>
      <c r="F98" s="2653"/>
      <c r="G98" s="2653"/>
      <c r="H98" s="2653"/>
      <c r="I98" s="2653"/>
      <c r="J98" s="2653"/>
      <c r="K98" s="2653"/>
      <c r="L98" s="2653"/>
      <c r="M98" s="2653"/>
    </row>
    <row r="99" spans="1:13" s="2642" customFormat="1" ht="12.75" x14ac:dyDescent="0.2">
      <c r="A99" s="2641"/>
      <c r="B99" s="2652"/>
      <c r="C99" s="2652"/>
      <c r="D99" s="2653"/>
      <c r="E99" s="2653"/>
      <c r="F99" s="2653"/>
      <c r="G99" s="2653"/>
      <c r="H99" s="2653"/>
      <c r="I99" s="2653"/>
      <c r="J99" s="2653"/>
      <c r="K99" s="2653"/>
      <c r="L99" s="2653"/>
      <c r="M99" s="2653"/>
    </row>
    <row r="100" spans="1:13" s="2642" customFormat="1" ht="12.75" x14ac:dyDescent="0.2">
      <c r="A100" s="2641"/>
      <c r="B100" s="2652"/>
      <c r="C100" s="2652"/>
      <c r="D100" s="2653"/>
      <c r="E100" s="2653"/>
      <c r="F100" s="2653"/>
      <c r="G100" s="2653"/>
      <c r="H100" s="2653"/>
      <c r="I100" s="2653"/>
      <c r="J100" s="2653"/>
      <c r="K100" s="2653"/>
      <c r="L100" s="2653"/>
      <c r="M100" s="2653"/>
    </row>
    <row r="101" spans="1:13" s="2642" customFormat="1" ht="12.75" x14ac:dyDescent="0.2">
      <c r="A101" s="2641"/>
      <c r="B101" s="2652"/>
      <c r="C101" s="2652"/>
      <c r="D101" s="2653"/>
      <c r="E101" s="2653"/>
      <c r="F101" s="2653"/>
      <c r="G101" s="2653"/>
      <c r="H101" s="2653"/>
      <c r="I101" s="2653"/>
      <c r="J101" s="2653"/>
      <c r="K101" s="2653"/>
      <c r="L101" s="2653"/>
      <c r="M101" s="2653"/>
    </row>
    <row r="102" spans="1:13" s="2642" customFormat="1" ht="12.75" x14ac:dyDescent="0.2">
      <c r="A102" s="2641"/>
      <c r="B102" s="2652"/>
      <c r="C102" s="2652"/>
      <c r="D102" s="2653"/>
      <c r="E102" s="2653"/>
      <c r="F102" s="2653"/>
      <c r="G102" s="2653"/>
      <c r="H102" s="2653"/>
      <c r="I102" s="2653"/>
      <c r="J102" s="2653"/>
      <c r="K102" s="2653"/>
      <c r="L102" s="2653"/>
      <c r="M102" s="2653"/>
    </row>
    <row r="103" spans="1:13" s="2642" customFormat="1" ht="12.75" x14ac:dyDescent="0.2">
      <c r="A103" s="2641"/>
      <c r="B103" s="2652"/>
      <c r="C103" s="2652"/>
      <c r="D103" s="2653"/>
      <c r="E103" s="2653"/>
      <c r="F103" s="2653"/>
      <c r="G103" s="2653"/>
      <c r="H103" s="2653"/>
      <c r="I103" s="2653"/>
      <c r="J103" s="2653"/>
      <c r="K103" s="2653"/>
      <c r="L103" s="2653"/>
      <c r="M103" s="2653"/>
    </row>
    <row r="104" spans="1:13" s="2642" customFormat="1" ht="12.75" x14ac:dyDescent="0.2">
      <c r="A104" s="2641"/>
      <c r="B104" s="2652"/>
      <c r="C104" s="2652"/>
      <c r="D104" s="2653"/>
      <c r="E104" s="2653"/>
      <c r="F104" s="2653"/>
      <c r="G104" s="2653"/>
      <c r="H104" s="2653"/>
      <c r="I104" s="2653"/>
      <c r="J104" s="2653"/>
      <c r="K104" s="2653"/>
      <c r="L104" s="2653"/>
      <c r="M104" s="2653"/>
    </row>
    <row r="105" spans="1:13" s="2642" customFormat="1" ht="12.75" x14ac:dyDescent="0.2">
      <c r="A105" s="2641"/>
      <c r="B105" s="2652"/>
      <c r="C105" s="2652"/>
      <c r="D105" s="2653"/>
      <c r="E105" s="2653"/>
      <c r="F105" s="2653"/>
      <c r="G105" s="2653"/>
      <c r="H105" s="2653"/>
      <c r="I105" s="2653"/>
      <c r="J105" s="2653"/>
      <c r="K105" s="2653"/>
      <c r="L105" s="2653"/>
      <c r="M105" s="2653"/>
    </row>
    <row r="106" spans="1:13" s="2642" customFormat="1" ht="12.75" x14ac:dyDescent="0.2">
      <c r="A106" s="2641"/>
      <c r="B106" s="2652"/>
      <c r="C106" s="2652"/>
      <c r="D106" s="2653"/>
      <c r="E106" s="2653"/>
      <c r="F106" s="2653"/>
      <c r="G106" s="2653"/>
      <c r="H106" s="2653"/>
      <c r="I106" s="2653"/>
      <c r="J106" s="2653"/>
      <c r="K106" s="2653"/>
      <c r="L106" s="2653"/>
      <c r="M106" s="2653"/>
    </row>
    <row r="107" spans="1:13" s="2642" customFormat="1" ht="12.75" x14ac:dyDescent="0.2">
      <c r="A107" s="2641"/>
      <c r="B107" s="2652"/>
      <c r="C107" s="2652"/>
      <c r="D107" s="2653"/>
      <c r="E107" s="2653"/>
      <c r="F107" s="2653"/>
      <c r="G107" s="2653"/>
      <c r="H107" s="2653"/>
      <c r="I107" s="2653"/>
      <c r="J107" s="2653"/>
      <c r="K107" s="2653"/>
      <c r="L107" s="2653"/>
      <c r="M107" s="2653"/>
    </row>
    <row r="108" spans="1:13" s="2642" customFormat="1" ht="12.75" x14ac:dyDescent="0.2">
      <c r="A108" s="2641"/>
      <c r="B108" s="2652"/>
      <c r="C108" s="2652"/>
      <c r="D108" s="2653"/>
      <c r="E108" s="2653"/>
      <c r="F108" s="2653"/>
      <c r="G108" s="2653"/>
      <c r="H108" s="2653"/>
      <c r="I108" s="2653"/>
      <c r="J108" s="2653"/>
      <c r="K108" s="2653"/>
      <c r="L108" s="2653"/>
      <c r="M108" s="2653"/>
    </row>
    <row r="109" spans="1:13" s="2642" customFormat="1" ht="12.75" x14ac:dyDescent="0.2">
      <c r="A109" s="2641"/>
      <c r="B109" s="2652"/>
      <c r="C109" s="2652"/>
      <c r="D109" s="2653"/>
      <c r="E109" s="2653"/>
      <c r="F109" s="2653"/>
      <c r="G109" s="2653"/>
      <c r="H109" s="2653"/>
      <c r="I109" s="2653"/>
      <c r="J109" s="2653"/>
      <c r="K109" s="2653"/>
      <c r="L109" s="2653"/>
      <c r="M109" s="2653"/>
    </row>
    <row r="110" spans="1:13" s="2421" customFormat="1" x14ac:dyDescent="0.2">
      <c r="A110" s="2420"/>
      <c r="B110" s="2420"/>
      <c r="C110" s="2420"/>
    </row>
    <row r="111" spans="1:13" s="2421" customFormat="1" x14ac:dyDescent="0.2">
      <c r="A111" s="2420"/>
      <c r="B111" s="2420"/>
      <c r="C111" s="2420"/>
    </row>
    <row r="112" spans="1:13" s="2466" customFormat="1" x14ac:dyDescent="0.25">
      <c r="A112" s="2654"/>
      <c r="B112" s="2654"/>
      <c r="C112" s="2654"/>
    </row>
    <row r="113" spans="1:16" s="2466" customFormat="1" x14ac:dyDescent="0.25">
      <c r="A113" s="2654"/>
      <c r="B113" s="2654"/>
      <c r="C113" s="2654"/>
      <c r="N113" s="2655"/>
    </row>
    <row r="114" spans="1:16" s="2466" customFormat="1" x14ac:dyDescent="0.25">
      <c r="A114" s="2654"/>
      <c r="B114" s="2656"/>
      <c r="C114" s="2656"/>
      <c r="D114" s="2657"/>
      <c r="E114" s="2657"/>
      <c r="F114" s="2657"/>
      <c r="G114" s="2658"/>
      <c r="H114" s="2658"/>
      <c r="I114" s="2657"/>
      <c r="J114" s="2659"/>
      <c r="K114" s="2658"/>
      <c r="L114" s="2658"/>
      <c r="M114" s="2657"/>
      <c r="N114" s="2660"/>
      <c r="O114" s="766"/>
      <c r="P114" s="2661"/>
    </row>
    <row r="115" spans="1:16" s="2466" customFormat="1" x14ac:dyDescent="0.25">
      <c r="A115" s="2654"/>
      <c r="B115" s="2662"/>
      <c r="C115" s="2662"/>
      <c r="D115" s="2663"/>
      <c r="E115" s="2663"/>
      <c r="F115" s="2663"/>
      <c r="G115" s="2663"/>
      <c r="H115" s="2663"/>
      <c r="I115" s="2663"/>
      <c r="J115" s="2663"/>
      <c r="K115" s="2663"/>
      <c r="L115" s="2663"/>
      <c r="M115" s="2663"/>
      <c r="N115" s="2664"/>
      <c r="O115" s="2665"/>
      <c r="P115" s="2635"/>
    </row>
    <row r="116" spans="1:16" s="2466" customFormat="1" x14ac:dyDescent="0.25">
      <c r="A116" s="2654"/>
      <c r="B116" s="2662"/>
      <c r="C116" s="2662"/>
      <c r="D116" s="2663"/>
      <c r="E116" s="2663"/>
      <c r="F116" s="2663"/>
      <c r="G116" s="2663"/>
      <c r="H116" s="2663"/>
      <c r="I116" s="2663"/>
      <c r="J116" s="2663"/>
      <c r="K116" s="2663"/>
      <c r="L116" s="2663"/>
      <c r="M116" s="2663"/>
      <c r="N116" s="2664"/>
      <c r="O116" s="2665"/>
      <c r="P116" s="2635"/>
    </row>
    <row r="117" spans="1:16" s="2466" customFormat="1" x14ac:dyDescent="0.25">
      <c r="A117" s="2654"/>
      <c r="B117" s="2662"/>
      <c r="C117" s="2662"/>
      <c r="D117" s="2663"/>
      <c r="E117" s="2663"/>
      <c r="F117" s="2663"/>
      <c r="G117" s="2663"/>
      <c r="H117" s="2663"/>
      <c r="I117" s="2663"/>
      <c r="J117" s="2663"/>
      <c r="K117" s="2663"/>
      <c r="L117" s="2663"/>
      <c r="M117" s="2663"/>
      <c r="N117" s="2664"/>
      <c r="O117" s="2665"/>
      <c r="P117" s="2635"/>
    </row>
    <row r="118" spans="1:16" s="2466" customFormat="1" x14ac:dyDescent="0.25">
      <c r="A118" s="2654"/>
      <c r="B118" s="2662"/>
      <c r="C118" s="2662"/>
      <c r="D118" s="2663"/>
      <c r="E118" s="2663"/>
      <c r="F118" s="2663"/>
      <c r="G118" s="2663"/>
      <c r="H118" s="2663"/>
      <c r="I118" s="2663"/>
      <c r="J118" s="2663"/>
      <c r="K118" s="2663"/>
      <c r="L118" s="2666"/>
      <c r="M118" s="2666"/>
      <c r="N118" s="2667"/>
      <c r="O118" s="2665"/>
      <c r="P118" s="2668"/>
    </row>
    <row r="119" spans="1:16" s="2466" customFormat="1" x14ac:dyDescent="0.25">
      <c r="A119" s="2654"/>
      <c r="B119" s="2662"/>
      <c r="C119" s="2662"/>
      <c r="D119" s="2663"/>
      <c r="E119" s="2663"/>
      <c r="F119" s="2663"/>
      <c r="G119" s="2663"/>
      <c r="H119" s="2663"/>
      <c r="I119" s="2663"/>
      <c r="J119" s="2663"/>
      <c r="K119" s="2663"/>
      <c r="L119" s="2666"/>
      <c r="M119" s="2666"/>
      <c r="N119" s="2667"/>
      <c r="O119" s="2665"/>
      <c r="P119" s="2668"/>
    </row>
    <row r="120" spans="1:16" s="2466" customFormat="1" x14ac:dyDescent="0.25">
      <c r="A120" s="2654"/>
      <c r="B120" s="2654"/>
      <c r="C120" s="2654"/>
      <c r="N120" s="2655"/>
    </row>
    <row r="121" spans="1:16" s="2466" customFormat="1" x14ac:dyDescent="0.25">
      <c r="A121" s="2654"/>
      <c r="B121" s="2654"/>
      <c r="C121" s="2654"/>
      <c r="N121" s="2655"/>
    </row>
    <row r="122" spans="1:16" s="2466" customFormat="1" x14ac:dyDescent="0.25">
      <c r="A122" s="2654"/>
      <c r="B122" s="2656"/>
      <c r="C122" s="2656"/>
      <c r="D122" s="2657"/>
      <c r="E122" s="2657"/>
      <c r="F122" s="2657"/>
      <c r="G122" s="2658"/>
      <c r="H122" s="2658"/>
      <c r="I122" s="2657"/>
      <c r="J122" s="2659"/>
      <c r="K122" s="2658"/>
      <c r="L122" s="2658"/>
      <c r="M122" s="2657"/>
      <c r="N122" s="2669"/>
      <c r="O122" s="766"/>
      <c r="P122" s="2657"/>
    </row>
    <row r="123" spans="1:16" s="2421" customFormat="1" x14ac:dyDescent="0.25">
      <c r="A123" s="2654"/>
      <c r="B123" s="2670"/>
      <c r="C123" s="2670"/>
      <c r="D123" s="2671"/>
      <c r="E123" s="2671"/>
      <c r="F123" s="2671"/>
      <c r="G123" s="2671"/>
      <c r="H123" s="2671"/>
      <c r="I123" s="2671"/>
      <c r="J123" s="2671"/>
      <c r="K123" s="2671"/>
      <c r="L123" s="2671"/>
      <c r="M123" s="2671"/>
      <c r="N123" s="2672"/>
      <c r="O123" s="2428"/>
      <c r="P123" s="2467"/>
    </row>
    <row r="124" spans="1:16" s="2421" customFormat="1" x14ac:dyDescent="0.25">
      <c r="A124" s="2420"/>
      <c r="B124" s="2428"/>
      <c r="C124" s="2428"/>
      <c r="D124" s="2467"/>
      <c r="E124" s="2467"/>
      <c r="F124" s="2467"/>
      <c r="G124" s="2467"/>
      <c r="H124" s="2467"/>
      <c r="I124" s="2467"/>
      <c r="J124" s="2467"/>
      <c r="K124" s="2467"/>
      <c r="L124" s="2467"/>
      <c r="M124" s="2467"/>
      <c r="N124" s="2672"/>
      <c r="O124" s="2428"/>
      <c r="P124" s="2467"/>
    </row>
    <row r="125" spans="1:16" s="2421" customFormat="1" x14ac:dyDescent="0.25">
      <c r="A125" s="2420"/>
      <c r="B125" s="2428"/>
      <c r="C125" s="2428"/>
      <c r="D125" s="2467"/>
      <c r="E125" s="2467"/>
      <c r="F125" s="2467"/>
      <c r="G125" s="2467"/>
      <c r="H125" s="2467"/>
      <c r="I125" s="2467"/>
      <c r="J125" s="2467"/>
      <c r="K125" s="2467"/>
      <c r="L125" s="2467"/>
      <c r="M125" s="2467"/>
      <c r="N125" s="2672"/>
      <c r="O125" s="2428"/>
      <c r="P125" s="2467"/>
    </row>
    <row r="126" spans="1:16" s="2421" customFormat="1" x14ac:dyDescent="0.25">
      <c r="A126" s="2420"/>
      <c r="B126" s="2428"/>
      <c r="C126" s="2428"/>
      <c r="D126" s="2467"/>
      <c r="E126" s="2467"/>
      <c r="F126" s="2467"/>
      <c r="G126" s="2467"/>
      <c r="H126" s="2467"/>
      <c r="I126" s="2467"/>
      <c r="J126" s="2467"/>
      <c r="K126" s="2467"/>
      <c r="L126" s="2467"/>
      <c r="M126" s="2467"/>
      <c r="N126" s="2672"/>
      <c r="O126" s="2428"/>
      <c r="P126" s="2467"/>
    </row>
    <row r="127" spans="1:16" s="2421" customFormat="1" x14ac:dyDescent="0.25">
      <c r="A127" s="2420"/>
      <c r="B127" s="2428"/>
      <c r="C127" s="2428"/>
      <c r="D127" s="2467"/>
      <c r="E127" s="2467"/>
      <c r="F127" s="2467"/>
      <c r="G127" s="2467"/>
      <c r="H127" s="2467"/>
      <c r="I127" s="2467"/>
      <c r="J127" s="2467"/>
      <c r="K127" s="2467"/>
      <c r="L127" s="2467"/>
      <c r="M127" s="2467"/>
      <c r="N127" s="2672"/>
      <c r="O127" s="2428"/>
      <c r="P127" s="2467"/>
    </row>
  </sheetData>
  <mergeCells count="8">
    <mergeCell ref="D35:AB35"/>
    <mergeCell ref="D36:AB36"/>
    <mergeCell ref="D2:AB2"/>
    <mergeCell ref="D3:AB3"/>
    <mergeCell ref="D4:AB4"/>
    <mergeCell ref="D33:AB33"/>
    <mergeCell ref="D34:AB34"/>
    <mergeCell ref="E15:K15"/>
  </mergeCells>
  <pageMargins left="0.74803149606299213" right="0.74803149606299213" top="0.98425196850393704" bottom="0.98425196850393704" header="0.51181102362204722" footer="0.51181102362204722"/>
  <pageSetup paperSize="9" scale="53"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C42"/>
  <sheetViews>
    <sheetView showGridLines="0" view="pageBreakPreview" zoomScaleNormal="100" zoomScaleSheetLayoutView="100" workbookViewId="0">
      <selection activeCell="A43" sqref="A43:XFD43"/>
    </sheetView>
  </sheetViews>
  <sheetFormatPr defaultColWidth="9.140625" defaultRowHeight="15" x14ac:dyDescent="0.25"/>
  <cols>
    <col min="1" max="1" width="3.7109375" style="2358" customWidth="1"/>
    <col min="2" max="2" width="14.42578125" style="2355" customWidth="1"/>
    <col min="3" max="3" width="3.7109375" style="2355" customWidth="1"/>
    <col min="4" max="4" width="20.28515625" style="2357" customWidth="1"/>
    <col min="5" max="5" width="8.7109375" style="2357" customWidth="1"/>
    <col min="6" max="6" width="9" style="2357" customWidth="1"/>
    <col min="7" max="7" width="7" style="2357" customWidth="1"/>
    <col min="8" max="8" width="7.85546875" style="2699" customWidth="1"/>
    <col min="9" max="9" width="6.85546875" style="2357" customWidth="1"/>
    <col min="10" max="10" width="6.5703125" style="2357" customWidth="1"/>
    <col min="11" max="11" width="6.85546875" style="2357" customWidth="1"/>
    <col min="12" max="12" width="6.7109375" style="2357" customWidth="1"/>
    <col min="13" max="13" width="7.7109375" style="2357" customWidth="1"/>
    <col min="14" max="14" width="8.28515625" style="2357" customWidth="1"/>
    <col min="15" max="15" width="7.42578125" style="2357" customWidth="1"/>
    <col min="16" max="16" width="6.85546875" style="2357" customWidth="1"/>
    <col min="17" max="17" width="6.28515625" style="2357" customWidth="1"/>
    <col min="18" max="18" width="6.42578125" style="2357" customWidth="1"/>
    <col min="19" max="19" width="7.85546875" style="2357" customWidth="1"/>
    <col min="20" max="20" width="7.140625" style="2357" customWidth="1"/>
    <col min="21" max="21" width="7.28515625" style="2357" customWidth="1"/>
    <col min="22" max="22" width="7.42578125" style="2357" customWidth="1"/>
    <col min="23" max="23" width="7.140625" style="2357" customWidth="1"/>
    <col min="24" max="24" width="7.28515625" style="2357" customWidth="1"/>
    <col min="25" max="25" width="7.5703125" style="2357" customWidth="1"/>
    <col min="26" max="26" width="8.140625" style="2357" customWidth="1"/>
    <col min="27" max="27" width="7.5703125" style="2357" customWidth="1"/>
    <col min="28" max="28" width="9" style="2357" customWidth="1"/>
    <col min="29" max="264" width="9.140625" style="2357"/>
    <col min="265" max="265" width="3.7109375" style="2357" customWidth="1"/>
    <col min="266" max="266" width="14.42578125" style="2357" customWidth="1"/>
    <col min="267" max="267" width="3.7109375" style="2357" customWidth="1"/>
    <col min="268" max="268" width="20.28515625" style="2357" customWidth="1"/>
    <col min="269" max="282" width="9.5703125" style="2357" customWidth="1"/>
    <col min="283" max="284" width="9" style="2357" customWidth="1"/>
    <col min="285" max="520" width="9.140625" style="2357"/>
    <col min="521" max="521" width="3.7109375" style="2357" customWidth="1"/>
    <col min="522" max="522" width="14.42578125" style="2357" customWidth="1"/>
    <col min="523" max="523" width="3.7109375" style="2357" customWidth="1"/>
    <col min="524" max="524" width="20.28515625" style="2357" customWidth="1"/>
    <col min="525" max="538" width="9.5703125" style="2357" customWidth="1"/>
    <col min="539" max="540" width="9" style="2357" customWidth="1"/>
    <col min="541" max="776" width="9.140625" style="2357"/>
    <col min="777" max="777" width="3.7109375" style="2357" customWidth="1"/>
    <col min="778" max="778" width="14.42578125" style="2357" customWidth="1"/>
    <col min="779" max="779" width="3.7109375" style="2357" customWidth="1"/>
    <col min="780" max="780" width="20.28515625" style="2357" customWidth="1"/>
    <col min="781" max="794" width="9.5703125" style="2357" customWidth="1"/>
    <col min="795" max="796" width="9" style="2357" customWidth="1"/>
    <col min="797" max="1032" width="9.140625" style="2357"/>
    <col min="1033" max="1033" width="3.7109375" style="2357" customWidth="1"/>
    <col min="1034" max="1034" width="14.42578125" style="2357" customWidth="1"/>
    <col min="1035" max="1035" width="3.7109375" style="2357" customWidth="1"/>
    <col min="1036" max="1036" width="20.28515625" style="2357" customWidth="1"/>
    <col min="1037" max="1050" width="9.5703125" style="2357" customWidth="1"/>
    <col min="1051" max="1052" width="9" style="2357" customWidth="1"/>
    <col min="1053" max="1288" width="9.140625" style="2357"/>
    <col min="1289" max="1289" width="3.7109375" style="2357" customWidth="1"/>
    <col min="1290" max="1290" width="14.42578125" style="2357" customWidth="1"/>
    <col min="1291" max="1291" width="3.7109375" style="2357" customWidth="1"/>
    <col min="1292" max="1292" width="20.28515625" style="2357" customWidth="1"/>
    <col min="1293" max="1306" width="9.5703125" style="2357" customWidth="1"/>
    <col min="1307" max="1308" width="9" style="2357" customWidth="1"/>
    <col min="1309" max="1544" width="9.140625" style="2357"/>
    <col min="1545" max="1545" width="3.7109375" style="2357" customWidth="1"/>
    <col min="1546" max="1546" width="14.42578125" style="2357" customWidth="1"/>
    <col min="1547" max="1547" width="3.7109375" style="2357" customWidth="1"/>
    <col min="1548" max="1548" width="20.28515625" style="2357" customWidth="1"/>
    <col min="1549" max="1562" width="9.5703125" style="2357" customWidth="1"/>
    <col min="1563" max="1564" width="9" style="2357" customWidth="1"/>
    <col min="1565" max="1800" width="9.140625" style="2357"/>
    <col min="1801" max="1801" width="3.7109375" style="2357" customWidth="1"/>
    <col min="1802" max="1802" width="14.42578125" style="2357" customWidth="1"/>
    <col min="1803" max="1803" width="3.7109375" style="2357" customWidth="1"/>
    <col min="1804" max="1804" width="20.28515625" style="2357" customWidth="1"/>
    <col min="1805" max="1818" width="9.5703125" style="2357" customWidth="1"/>
    <col min="1819" max="1820" width="9" style="2357" customWidth="1"/>
    <col min="1821" max="2056" width="9.140625" style="2357"/>
    <col min="2057" max="2057" width="3.7109375" style="2357" customWidth="1"/>
    <col min="2058" max="2058" width="14.42578125" style="2357" customWidth="1"/>
    <col min="2059" max="2059" width="3.7109375" style="2357" customWidth="1"/>
    <col min="2060" max="2060" width="20.28515625" style="2357" customWidth="1"/>
    <col min="2061" max="2074" width="9.5703125" style="2357" customWidth="1"/>
    <col min="2075" max="2076" width="9" style="2357" customWidth="1"/>
    <col min="2077" max="2312" width="9.140625" style="2357"/>
    <col min="2313" max="2313" width="3.7109375" style="2357" customWidth="1"/>
    <col min="2314" max="2314" width="14.42578125" style="2357" customWidth="1"/>
    <col min="2315" max="2315" width="3.7109375" style="2357" customWidth="1"/>
    <col min="2316" max="2316" width="20.28515625" style="2357" customWidth="1"/>
    <col min="2317" max="2330" width="9.5703125" style="2357" customWidth="1"/>
    <col min="2331" max="2332" width="9" style="2357" customWidth="1"/>
    <col min="2333" max="2568" width="9.140625" style="2357"/>
    <col min="2569" max="2569" width="3.7109375" style="2357" customWidth="1"/>
    <col min="2570" max="2570" width="14.42578125" style="2357" customWidth="1"/>
    <col min="2571" max="2571" width="3.7109375" style="2357" customWidth="1"/>
    <col min="2572" max="2572" width="20.28515625" style="2357" customWidth="1"/>
    <col min="2573" max="2586" width="9.5703125" style="2357" customWidth="1"/>
    <col min="2587" max="2588" width="9" style="2357" customWidth="1"/>
    <col min="2589" max="2824" width="9.140625" style="2357"/>
    <col min="2825" max="2825" width="3.7109375" style="2357" customWidth="1"/>
    <col min="2826" max="2826" width="14.42578125" style="2357" customWidth="1"/>
    <col min="2827" max="2827" width="3.7109375" style="2357" customWidth="1"/>
    <col min="2828" max="2828" width="20.28515625" style="2357" customWidth="1"/>
    <col min="2829" max="2842" width="9.5703125" style="2357" customWidth="1"/>
    <col min="2843" max="2844" width="9" style="2357" customWidth="1"/>
    <col min="2845" max="3080" width="9.140625" style="2357"/>
    <col min="3081" max="3081" width="3.7109375" style="2357" customWidth="1"/>
    <col min="3082" max="3082" width="14.42578125" style="2357" customWidth="1"/>
    <col min="3083" max="3083" width="3.7109375" style="2357" customWidth="1"/>
    <col min="3084" max="3084" width="20.28515625" style="2357" customWidth="1"/>
    <col min="3085" max="3098" width="9.5703125" style="2357" customWidth="1"/>
    <col min="3099" max="3100" width="9" style="2357" customWidth="1"/>
    <col min="3101" max="3336" width="9.140625" style="2357"/>
    <col min="3337" max="3337" width="3.7109375" style="2357" customWidth="1"/>
    <col min="3338" max="3338" width="14.42578125" style="2357" customWidth="1"/>
    <col min="3339" max="3339" width="3.7109375" style="2357" customWidth="1"/>
    <col min="3340" max="3340" width="20.28515625" style="2357" customWidth="1"/>
    <col min="3341" max="3354" width="9.5703125" style="2357" customWidth="1"/>
    <col min="3355" max="3356" width="9" style="2357" customWidth="1"/>
    <col min="3357" max="3592" width="9.140625" style="2357"/>
    <col min="3593" max="3593" width="3.7109375" style="2357" customWidth="1"/>
    <col min="3594" max="3594" width="14.42578125" style="2357" customWidth="1"/>
    <col min="3595" max="3595" width="3.7109375" style="2357" customWidth="1"/>
    <col min="3596" max="3596" width="20.28515625" style="2357" customWidth="1"/>
    <col min="3597" max="3610" width="9.5703125" style="2357" customWidth="1"/>
    <col min="3611" max="3612" width="9" style="2357" customWidth="1"/>
    <col min="3613" max="3848" width="9.140625" style="2357"/>
    <col min="3849" max="3849" width="3.7109375" style="2357" customWidth="1"/>
    <col min="3850" max="3850" width="14.42578125" style="2357" customWidth="1"/>
    <col min="3851" max="3851" width="3.7109375" style="2357" customWidth="1"/>
    <col min="3852" max="3852" width="20.28515625" style="2357" customWidth="1"/>
    <col min="3853" max="3866" width="9.5703125" style="2357" customWidth="1"/>
    <col min="3867" max="3868" width="9" style="2357" customWidth="1"/>
    <col min="3869" max="4104" width="9.140625" style="2357"/>
    <col min="4105" max="4105" width="3.7109375" style="2357" customWidth="1"/>
    <col min="4106" max="4106" width="14.42578125" style="2357" customWidth="1"/>
    <col min="4107" max="4107" width="3.7109375" style="2357" customWidth="1"/>
    <col min="4108" max="4108" width="20.28515625" style="2357" customWidth="1"/>
    <col min="4109" max="4122" width="9.5703125" style="2357" customWidth="1"/>
    <col min="4123" max="4124" width="9" style="2357" customWidth="1"/>
    <col min="4125" max="4360" width="9.140625" style="2357"/>
    <col min="4361" max="4361" width="3.7109375" style="2357" customWidth="1"/>
    <col min="4362" max="4362" width="14.42578125" style="2357" customWidth="1"/>
    <col min="4363" max="4363" width="3.7109375" style="2357" customWidth="1"/>
    <col min="4364" max="4364" width="20.28515625" style="2357" customWidth="1"/>
    <col min="4365" max="4378" width="9.5703125" style="2357" customWidth="1"/>
    <col min="4379" max="4380" width="9" style="2357" customWidth="1"/>
    <col min="4381" max="4616" width="9.140625" style="2357"/>
    <col min="4617" max="4617" width="3.7109375" style="2357" customWidth="1"/>
    <col min="4618" max="4618" width="14.42578125" style="2357" customWidth="1"/>
    <col min="4619" max="4619" width="3.7109375" style="2357" customWidth="1"/>
    <col min="4620" max="4620" width="20.28515625" style="2357" customWidth="1"/>
    <col min="4621" max="4634" width="9.5703125" style="2357" customWidth="1"/>
    <col min="4635" max="4636" width="9" style="2357" customWidth="1"/>
    <col min="4637" max="4872" width="9.140625" style="2357"/>
    <col min="4873" max="4873" width="3.7109375" style="2357" customWidth="1"/>
    <col min="4874" max="4874" width="14.42578125" style="2357" customWidth="1"/>
    <col min="4875" max="4875" width="3.7109375" style="2357" customWidth="1"/>
    <col min="4876" max="4876" width="20.28515625" style="2357" customWidth="1"/>
    <col min="4877" max="4890" width="9.5703125" style="2357" customWidth="1"/>
    <col min="4891" max="4892" width="9" style="2357" customWidth="1"/>
    <col min="4893" max="5128" width="9.140625" style="2357"/>
    <col min="5129" max="5129" width="3.7109375" style="2357" customWidth="1"/>
    <col min="5130" max="5130" width="14.42578125" style="2357" customWidth="1"/>
    <col min="5131" max="5131" width="3.7109375" style="2357" customWidth="1"/>
    <col min="5132" max="5132" width="20.28515625" style="2357" customWidth="1"/>
    <col min="5133" max="5146" width="9.5703125" style="2357" customWidth="1"/>
    <col min="5147" max="5148" width="9" style="2357" customWidth="1"/>
    <col min="5149" max="5384" width="9.140625" style="2357"/>
    <col min="5385" max="5385" width="3.7109375" style="2357" customWidth="1"/>
    <col min="5386" max="5386" width="14.42578125" style="2357" customWidth="1"/>
    <col min="5387" max="5387" width="3.7109375" style="2357" customWidth="1"/>
    <col min="5388" max="5388" width="20.28515625" style="2357" customWidth="1"/>
    <col min="5389" max="5402" width="9.5703125" style="2357" customWidth="1"/>
    <col min="5403" max="5404" width="9" style="2357" customWidth="1"/>
    <col min="5405" max="5640" width="9.140625" style="2357"/>
    <col min="5641" max="5641" width="3.7109375" style="2357" customWidth="1"/>
    <col min="5642" max="5642" width="14.42578125" style="2357" customWidth="1"/>
    <col min="5643" max="5643" width="3.7109375" style="2357" customWidth="1"/>
    <col min="5644" max="5644" width="20.28515625" style="2357" customWidth="1"/>
    <col min="5645" max="5658" width="9.5703125" style="2357" customWidth="1"/>
    <col min="5659" max="5660" width="9" style="2357" customWidth="1"/>
    <col min="5661" max="5896" width="9.140625" style="2357"/>
    <col min="5897" max="5897" width="3.7109375" style="2357" customWidth="1"/>
    <col min="5898" max="5898" width="14.42578125" style="2357" customWidth="1"/>
    <col min="5899" max="5899" width="3.7109375" style="2357" customWidth="1"/>
    <col min="5900" max="5900" width="20.28515625" style="2357" customWidth="1"/>
    <col min="5901" max="5914" width="9.5703125" style="2357" customWidth="1"/>
    <col min="5915" max="5916" width="9" style="2357" customWidth="1"/>
    <col min="5917" max="6152" width="9.140625" style="2357"/>
    <col min="6153" max="6153" width="3.7109375" style="2357" customWidth="1"/>
    <col min="6154" max="6154" width="14.42578125" style="2357" customWidth="1"/>
    <col min="6155" max="6155" width="3.7109375" style="2357" customWidth="1"/>
    <col min="6156" max="6156" width="20.28515625" style="2357" customWidth="1"/>
    <col min="6157" max="6170" width="9.5703125" style="2357" customWidth="1"/>
    <col min="6171" max="6172" width="9" style="2357" customWidth="1"/>
    <col min="6173" max="6408" width="9.140625" style="2357"/>
    <col min="6409" max="6409" width="3.7109375" style="2357" customWidth="1"/>
    <col min="6410" max="6410" width="14.42578125" style="2357" customWidth="1"/>
    <col min="6411" max="6411" width="3.7109375" style="2357" customWidth="1"/>
    <col min="6412" max="6412" width="20.28515625" style="2357" customWidth="1"/>
    <col min="6413" max="6426" width="9.5703125" style="2357" customWidth="1"/>
    <col min="6427" max="6428" width="9" style="2357" customWidth="1"/>
    <col min="6429" max="6664" width="9.140625" style="2357"/>
    <col min="6665" max="6665" width="3.7109375" style="2357" customWidth="1"/>
    <col min="6666" max="6666" width="14.42578125" style="2357" customWidth="1"/>
    <col min="6667" max="6667" width="3.7109375" style="2357" customWidth="1"/>
    <col min="6668" max="6668" width="20.28515625" style="2357" customWidth="1"/>
    <col min="6669" max="6682" width="9.5703125" style="2357" customWidth="1"/>
    <col min="6683" max="6684" width="9" style="2357" customWidth="1"/>
    <col min="6685" max="6920" width="9.140625" style="2357"/>
    <col min="6921" max="6921" width="3.7109375" style="2357" customWidth="1"/>
    <col min="6922" max="6922" width="14.42578125" style="2357" customWidth="1"/>
    <col min="6923" max="6923" width="3.7109375" style="2357" customWidth="1"/>
    <col min="6924" max="6924" width="20.28515625" style="2357" customWidth="1"/>
    <col min="6925" max="6938" width="9.5703125" style="2357" customWidth="1"/>
    <col min="6939" max="6940" width="9" style="2357" customWidth="1"/>
    <col min="6941" max="7176" width="9.140625" style="2357"/>
    <col min="7177" max="7177" width="3.7109375" style="2357" customWidth="1"/>
    <col min="7178" max="7178" width="14.42578125" style="2357" customWidth="1"/>
    <col min="7179" max="7179" width="3.7109375" style="2357" customWidth="1"/>
    <col min="7180" max="7180" width="20.28515625" style="2357" customWidth="1"/>
    <col min="7181" max="7194" width="9.5703125" style="2357" customWidth="1"/>
    <col min="7195" max="7196" width="9" style="2357" customWidth="1"/>
    <col min="7197" max="7432" width="9.140625" style="2357"/>
    <col min="7433" max="7433" width="3.7109375" style="2357" customWidth="1"/>
    <col min="7434" max="7434" width="14.42578125" style="2357" customWidth="1"/>
    <col min="7435" max="7435" width="3.7109375" style="2357" customWidth="1"/>
    <col min="7436" max="7436" width="20.28515625" style="2357" customWidth="1"/>
    <col min="7437" max="7450" width="9.5703125" style="2357" customWidth="1"/>
    <col min="7451" max="7452" width="9" style="2357" customWidth="1"/>
    <col min="7453" max="7688" width="9.140625" style="2357"/>
    <col min="7689" max="7689" width="3.7109375" style="2357" customWidth="1"/>
    <col min="7690" max="7690" width="14.42578125" style="2357" customWidth="1"/>
    <col min="7691" max="7691" width="3.7109375" style="2357" customWidth="1"/>
    <col min="7692" max="7692" width="20.28515625" style="2357" customWidth="1"/>
    <col min="7693" max="7706" width="9.5703125" style="2357" customWidth="1"/>
    <col min="7707" max="7708" width="9" style="2357" customWidth="1"/>
    <col min="7709" max="7944" width="9.140625" style="2357"/>
    <col min="7945" max="7945" width="3.7109375" style="2357" customWidth="1"/>
    <col min="7946" max="7946" width="14.42578125" style="2357" customWidth="1"/>
    <col min="7947" max="7947" width="3.7109375" style="2357" customWidth="1"/>
    <col min="7948" max="7948" width="20.28515625" style="2357" customWidth="1"/>
    <col min="7949" max="7962" width="9.5703125" style="2357" customWidth="1"/>
    <col min="7963" max="7964" width="9" style="2357" customWidth="1"/>
    <col min="7965" max="8200" width="9.140625" style="2357"/>
    <col min="8201" max="8201" width="3.7109375" style="2357" customWidth="1"/>
    <col min="8202" max="8202" width="14.42578125" style="2357" customWidth="1"/>
    <col min="8203" max="8203" width="3.7109375" style="2357" customWidth="1"/>
    <col min="8204" max="8204" width="20.28515625" style="2357" customWidth="1"/>
    <col min="8205" max="8218" width="9.5703125" style="2357" customWidth="1"/>
    <col min="8219" max="8220" width="9" style="2357" customWidth="1"/>
    <col min="8221" max="8456" width="9.140625" style="2357"/>
    <col min="8457" max="8457" width="3.7109375" style="2357" customWidth="1"/>
    <col min="8458" max="8458" width="14.42578125" style="2357" customWidth="1"/>
    <col min="8459" max="8459" width="3.7109375" style="2357" customWidth="1"/>
    <col min="8460" max="8460" width="20.28515625" style="2357" customWidth="1"/>
    <col min="8461" max="8474" width="9.5703125" style="2357" customWidth="1"/>
    <col min="8475" max="8476" width="9" style="2357" customWidth="1"/>
    <col min="8477" max="8712" width="9.140625" style="2357"/>
    <col min="8713" max="8713" width="3.7109375" style="2357" customWidth="1"/>
    <col min="8714" max="8714" width="14.42578125" style="2357" customWidth="1"/>
    <col min="8715" max="8715" width="3.7109375" style="2357" customWidth="1"/>
    <col min="8716" max="8716" width="20.28515625" style="2357" customWidth="1"/>
    <col min="8717" max="8730" width="9.5703125" style="2357" customWidth="1"/>
    <col min="8731" max="8732" width="9" style="2357" customWidth="1"/>
    <col min="8733" max="8968" width="9.140625" style="2357"/>
    <col min="8969" max="8969" width="3.7109375" style="2357" customWidth="1"/>
    <col min="8970" max="8970" width="14.42578125" style="2357" customWidth="1"/>
    <col min="8971" max="8971" width="3.7109375" style="2357" customWidth="1"/>
    <col min="8972" max="8972" width="20.28515625" style="2357" customWidth="1"/>
    <col min="8973" max="8986" width="9.5703125" style="2357" customWidth="1"/>
    <col min="8987" max="8988" width="9" style="2357" customWidth="1"/>
    <col min="8989" max="9224" width="9.140625" style="2357"/>
    <col min="9225" max="9225" width="3.7109375" style="2357" customWidth="1"/>
    <col min="9226" max="9226" width="14.42578125" style="2357" customWidth="1"/>
    <col min="9227" max="9227" width="3.7109375" style="2357" customWidth="1"/>
    <col min="9228" max="9228" width="20.28515625" style="2357" customWidth="1"/>
    <col min="9229" max="9242" width="9.5703125" style="2357" customWidth="1"/>
    <col min="9243" max="9244" width="9" style="2357" customWidth="1"/>
    <col min="9245" max="9480" width="9.140625" style="2357"/>
    <col min="9481" max="9481" width="3.7109375" style="2357" customWidth="1"/>
    <col min="9482" max="9482" width="14.42578125" style="2357" customWidth="1"/>
    <col min="9483" max="9483" width="3.7109375" style="2357" customWidth="1"/>
    <col min="9484" max="9484" width="20.28515625" style="2357" customWidth="1"/>
    <col min="9485" max="9498" width="9.5703125" style="2357" customWidth="1"/>
    <col min="9499" max="9500" width="9" style="2357" customWidth="1"/>
    <col min="9501" max="9736" width="9.140625" style="2357"/>
    <col min="9737" max="9737" width="3.7109375" style="2357" customWidth="1"/>
    <col min="9738" max="9738" width="14.42578125" style="2357" customWidth="1"/>
    <col min="9739" max="9739" width="3.7109375" style="2357" customWidth="1"/>
    <col min="9740" max="9740" width="20.28515625" style="2357" customWidth="1"/>
    <col min="9741" max="9754" width="9.5703125" style="2357" customWidth="1"/>
    <col min="9755" max="9756" width="9" style="2357" customWidth="1"/>
    <col min="9757" max="9992" width="9.140625" style="2357"/>
    <col min="9993" max="9993" width="3.7109375" style="2357" customWidth="1"/>
    <col min="9994" max="9994" width="14.42578125" style="2357" customWidth="1"/>
    <col min="9995" max="9995" width="3.7109375" style="2357" customWidth="1"/>
    <col min="9996" max="9996" width="20.28515625" style="2357" customWidth="1"/>
    <col min="9997" max="10010" width="9.5703125" style="2357" customWidth="1"/>
    <col min="10011" max="10012" width="9" style="2357" customWidth="1"/>
    <col min="10013" max="10248" width="9.140625" style="2357"/>
    <col min="10249" max="10249" width="3.7109375" style="2357" customWidth="1"/>
    <col min="10250" max="10250" width="14.42578125" style="2357" customWidth="1"/>
    <col min="10251" max="10251" width="3.7109375" style="2357" customWidth="1"/>
    <col min="10252" max="10252" width="20.28515625" style="2357" customWidth="1"/>
    <col min="10253" max="10266" width="9.5703125" style="2357" customWidth="1"/>
    <col min="10267" max="10268" width="9" style="2357" customWidth="1"/>
    <col min="10269" max="10504" width="9.140625" style="2357"/>
    <col min="10505" max="10505" width="3.7109375" style="2357" customWidth="1"/>
    <col min="10506" max="10506" width="14.42578125" style="2357" customWidth="1"/>
    <col min="10507" max="10507" width="3.7109375" style="2357" customWidth="1"/>
    <col min="10508" max="10508" width="20.28515625" style="2357" customWidth="1"/>
    <col min="10509" max="10522" width="9.5703125" style="2357" customWidth="1"/>
    <col min="10523" max="10524" width="9" style="2357" customWidth="1"/>
    <col min="10525" max="10760" width="9.140625" style="2357"/>
    <col min="10761" max="10761" width="3.7109375" style="2357" customWidth="1"/>
    <col min="10762" max="10762" width="14.42578125" style="2357" customWidth="1"/>
    <col min="10763" max="10763" width="3.7109375" style="2357" customWidth="1"/>
    <col min="10764" max="10764" width="20.28515625" style="2357" customWidth="1"/>
    <col min="10765" max="10778" width="9.5703125" style="2357" customWidth="1"/>
    <col min="10779" max="10780" width="9" style="2357" customWidth="1"/>
    <col min="10781" max="11016" width="9.140625" style="2357"/>
    <col min="11017" max="11017" width="3.7109375" style="2357" customWidth="1"/>
    <col min="11018" max="11018" width="14.42578125" style="2357" customWidth="1"/>
    <col min="11019" max="11019" width="3.7109375" style="2357" customWidth="1"/>
    <col min="11020" max="11020" width="20.28515625" style="2357" customWidth="1"/>
    <col min="11021" max="11034" width="9.5703125" style="2357" customWidth="1"/>
    <col min="11035" max="11036" width="9" style="2357" customWidth="1"/>
    <col min="11037" max="11272" width="9.140625" style="2357"/>
    <col min="11273" max="11273" width="3.7109375" style="2357" customWidth="1"/>
    <col min="11274" max="11274" width="14.42578125" style="2357" customWidth="1"/>
    <col min="11275" max="11275" width="3.7109375" style="2357" customWidth="1"/>
    <col min="11276" max="11276" width="20.28515625" style="2357" customWidth="1"/>
    <col min="11277" max="11290" width="9.5703125" style="2357" customWidth="1"/>
    <col min="11291" max="11292" width="9" style="2357" customWidth="1"/>
    <col min="11293" max="11528" width="9.140625" style="2357"/>
    <col min="11529" max="11529" width="3.7109375" style="2357" customWidth="1"/>
    <col min="11530" max="11530" width="14.42578125" style="2357" customWidth="1"/>
    <col min="11531" max="11531" width="3.7109375" style="2357" customWidth="1"/>
    <col min="11532" max="11532" width="20.28515625" style="2357" customWidth="1"/>
    <col min="11533" max="11546" width="9.5703125" style="2357" customWidth="1"/>
    <col min="11547" max="11548" width="9" style="2357" customWidth="1"/>
    <col min="11549" max="11784" width="9.140625" style="2357"/>
    <col min="11785" max="11785" width="3.7109375" style="2357" customWidth="1"/>
    <col min="11786" max="11786" width="14.42578125" style="2357" customWidth="1"/>
    <col min="11787" max="11787" width="3.7109375" style="2357" customWidth="1"/>
    <col min="11788" max="11788" width="20.28515625" style="2357" customWidth="1"/>
    <col min="11789" max="11802" width="9.5703125" style="2357" customWidth="1"/>
    <col min="11803" max="11804" width="9" style="2357" customWidth="1"/>
    <col min="11805" max="12040" width="9.140625" style="2357"/>
    <col min="12041" max="12041" width="3.7109375" style="2357" customWidth="1"/>
    <col min="12042" max="12042" width="14.42578125" style="2357" customWidth="1"/>
    <col min="12043" max="12043" width="3.7109375" style="2357" customWidth="1"/>
    <col min="12044" max="12044" width="20.28515625" style="2357" customWidth="1"/>
    <col min="12045" max="12058" width="9.5703125" style="2357" customWidth="1"/>
    <col min="12059" max="12060" width="9" style="2357" customWidth="1"/>
    <col min="12061" max="12296" width="9.140625" style="2357"/>
    <col min="12297" max="12297" width="3.7109375" style="2357" customWidth="1"/>
    <col min="12298" max="12298" width="14.42578125" style="2357" customWidth="1"/>
    <col min="12299" max="12299" width="3.7109375" style="2357" customWidth="1"/>
    <col min="12300" max="12300" width="20.28515625" style="2357" customWidth="1"/>
    <col min="12301" max="12314" width="9.5703125" style="2357" customWidth="1"/>
    <col min="12315" max="12316" width="9" style="2357" customWidth="1"/>
    <col min="12317" max="12552" width="9.140625" style="2357"/>
    <col min="12553" max="12553" width="3.7109375" style="2357" customWidth="1"/>
    <col min="12554" max="12554" width="14.42578125" style="2357" customWidth="1"/>
    <col min="12555" max="12555" width="3.7109375" style="2357" customWidth="1"/>
    <col min="12556" max="12556" width="20.28515625" style="2357" customWidth="1"/>
    <col min="12557" max="12570" width="9.5703125" style="2357" customWidth="1"/>
    <col min="12571" max="12572" width="9" style="2357" customWidth="1"/>
    <col min="12573" max="12808" width="9.140625" style="2357"/>
    <col min="12809" max="12809" width="3.7109375" style="2357" customWidth="1"/>
    <col min="12810" max="12810" width="14.42578125" style="2357" customWidth="1"/>
    <col min="12811" max="12811" width="3.7109375" style="2357" customWidth="1"/>
    <col min="12812" max="12812" width="20.28515625" style="2357" customWidth="1"/>
    <col min="12813" max="12826" width="9.5703125" style="2357" customWidth="1"/>
    <col min="12827" max="12828" width="9" style="2357" customWidth="1"/>
    <col min="12829" max="13064" width="9.140625" style="2357"/>
    <col min="13065" max="13065" width="3.7109375" style="2357" customWidth="1"/>
    <col min="13066" max="13066" width="14.42578125" style="2357" customWidth="1"/>
    <col min="13067" max="13067" width="3.7109375" style="2357" customWidth="1"/>
    <col min="13068" max="13068" width="20.28515625" style="2357" customWidth="1"/>
    <col min="13069" max="13082" width="9.5703125" style="2357" customWidth="1"/>
    <col min="13083" max="13084" width="9" style="2357" customWidth="1"/>
    <col min="13085" max="13320" width="9.140625" style="2357"/>
    <col min="13321" max="13321" width="3.7109375" style="2357" customWidth="1"/>
    <col min="13322" max="13322" width="14.42578125" style="2357" customWidth="1"/>
    <col min="13323" max="13323" width="3.7109375" style="2357" customWidth="1"/>
    <col min="13324" max="13324" width="20.28515625" style="2357" customWidth="1"/>
    <col min="13325" max="13338" width="9.5703125" style="2357" customWidth="1"/>
    <col min="13339" max="13340" width="9" style="2357" customWidth="1"/>
    <col min="13341" max="13576" width="9.140625" style="2357"/>
    <col min="13577" max="13577" width="3.7109375" style="2357" customWidth="1"/>
    <col min="13578" max="13578" width="14.42578125" style="2357" customWidth="1"/>
    <col min="13579" max="13579" width="3.7109375" style="2357" customWidth="1"/>
    <col min="13580" max="13580" width="20.28515625" style="2357" customWidth="1"/>
    <col min="13581" max="13594" width="9.5703125" style="2357" customWidth="1"/>
    <col min="13595" max="13596" width="9" style="2357" customWidth="1"/>
    <col min="13597" max="13832" width="9.140625" style="2357"/>
    <col min="13833" max="13833" width="3.7109375" style="2357" customWidth="1"/>
    <col min="13834" max="13834" width="14.42578125" style="2357" customWidth="1"/>
    <col min="13835" max="13835" width="3.7109375" style="2357" customWidth="1"/>
    <col min="13836" max="13836" width="20.28515625" style="2357" customWidth="1"/>
    <col min="13837" max="13850" width="9.5703125" style="2357" customWidth="1"/>
    <col min="13851" max="13852" width="9" style="2357" customWidth="1"/>
    <col min="13853" max="14088" width="9.140625" style="2357"/>
    <col min="14089" max="14089" width="3.7109375" style="2357" customWidth="1"/>
    <col min="14090" max="14090" width="14.42578125" style="2357" customWidth="1"/>
    <col min="14091" max="14091" width="3.7109375" style="2357" customWidth="1"/>
    <col min="14092" max="14092" width="20.28515625" style="2357" customWidth="1"/>
    <col min="14093" max="14106" width="9.5703125" style="2357" customWidth="1"/>
    <col min="14107" max="14108" width="9" style="2357" customWidth="1"/>
    <col min="14109" max="14344" width="9.140625" style="2357"/>
    <col min="14345" max="14345" width="3.7109375" style="2357" customWidth="1"/>
    <col min="14346" max="14346" width="14.42578125" style="2357" customWidth="1"/>
    <col min="14347" max="14347" width="3.7109375" style="2357" customWidth="1"/>
    <col min="14348" max="14348" width="20.28515625" style="2357" customWidth="1"/>
    <col min="14349" max="14362" width="9.5703125" style="2357" customWidth="1"/>
    <col min="14363" max="14364" width="9" style="2357" customWidth="1"/>
    <col min="14365" max="14600" width="9.140625" style="2357"/>
    <col min="14601" max="14601" width="3.7109375" style="2357" customWidth="1"/>
    <col min="14602" max="14602" width="14.42578125" style="2357" customWidth="1"/>
    <col min="14603" max="14603" width="3.7109375" style="2357" customWidth="1"/>
    <col min="14604" max="14604" width="20.28515625" style="2357" customWidth="1"/>
    <col min="14605" max="14618" width="9.5703125" style="2357" customWidth="1"/>
    <col min="14619" max="14620" width="9" style="2357" customWidth="1"/>
    <col min="14621" max="14856" width="9.140625" style="2357"/>
    <col min="14857" max="14857" width="3.7109375" style="2357" customWidth="1"/>
    <col min="14858" max="14858" width="14.42578125" style="2357" customWidth="1"/>
    <col min="14859" max="14859" width="3.7109375" style="2357" customWidth="1"/>
    <col min="14860" max="14860" width="20.28515625" style="2357" customWidth="1"/>
    <col min="14861" max="14874" width="9.5703125" style="2357" customWidth="1"/>
    <col min="14875" max="14876" width="9" style="2357" customWidth="1"/>
    <col min="14877" max="15112" width="9.140625" style="2357"/>
    <col min="15113" max="15113" width="3.7109375" style="2357" customWidth="1"/>
    <col min="15114" max="15114" width="14.42578125" style="2357" customWidth="1"/>
    <col min="15115" max="15115" width="3.7109375" style="2357" customWidth="1"/>
    <col min="15116" max="15116" width="20.28515625" style="2357" customWidth="1"/>
    <col min="15117" max="15130" width="9.5703125" style="2357" customWidth="1"/>
    <col min="15131" max="15132" width="9" style="2357" customWidth="1"/>
    <col min="15133" max="15368" width="9.140625" style="2357"/>
    <col min="15369" max="15369" width="3.7109375" style="2357" customWidth="1"/>
    <col min="15370" max="15370" width="14.42578125" style="2357" customWidth="1"/>
    <col min="15371" max="15371" width="3.7109375" style="2357" customWidth="1"/>
    <col min="15372" max="15372" width="20.28515625" style="2357" customWidth="1"/>
    <col min="15373" max="15386" width="9.5703125" style="2357" customWidth="1"/>
    <col min="15387" max="15388" width="9" style="2357" customWidth="1"/>
    <col min="15389" max="15624" width="9.140625" style="2357"/>
    <col min="15625" max="15625" width="3.7109375" style="2357" customWidth="1"/>
    <col min="15626" max="15626" width="14.42578125" style="2357" customWidth="1"/>
    <col min="15627" max="15627" width="3.7109375" style="2357" customWidth="1"/>
    <col min="15628" max="15628" width="20.28515625" style="2357" customWidth="1"/>
    <col min="15629" max="15642" width="9.5703125" style="2357" customWidth="1"/>
    <col min="15643" max="15644" width="9" style="2357" customWidth="1"/>
    <col min="15645" max="15880" width="9.140625" style="2357"/>
    <col min="15881" max="15881" width="3.7109375" style="2357" customWidth="1"/>
    <col min="15882" max="15882" width="14.42578125" style="2357" customWidth="1"/>
    <col min="15883" max="15883" width="3.7109375" style="2357" customWidth="1"/>
    <col min="15884" max="15884" width="20.28515625" style="2357" customWidth="1"/>
    <col min="15885" max="15898" width="9.5703125" style="2357" customWidth="1"/>
    <col min="15899" max="15900" width="9" style="2357" customWidth="1"/>
    <col min="15901" max="16136" width="9.140625" style="2357"/>
    <col min="16137" max="16137" width="3.7109375" style="2357" customWidth="1"/>
    <col min="16138" max="16138" width="14.42578125" style="2357" customWidth="1"/>
    <col min="16139" max="16139" width="3.7109375" style="2357" customWidth="1"/>
    <col min="16140" max="16140" width="20.28515625" style="2357" customWidth="1"/>
    <col min="16141" max="16154" width="9.5703125" style="2357" customWidth="1"/>
    <col min="16155" max="16156" width="9" style="2357" customWidth="1"/>
    <col min="16157" max="16384" width="9.140625" style="2357"/>
  </cols>
  <sheetData>
    <row r="1" spans="1:29" x14ac:dyDescent="0.25">
      <c r="D1" s="2356"/>
      <c r="E1" s="2356"/>
      <c r="F1" s="2356"/>
      <c r="G1" s="2356"/>
      <c r="H1" s="2673"/>
      <c r="I1" s="2356"/>
      <c r="J1" s="2356"/>
      <c r="K1" s="2356"/>
      <c r="L1" s="2356"/>
      <c r="M1" s="2356"/>
      <c r="N1" s="2356"/>
      <c r="O1" s="2356"/>
      <c r="P1" s="2356"/>
      <c r="Q1" s="2356"/>
      <c r="R1" s="2356"/>
      <c r="S1" s="2356"/>
      <c r="T1" s="2356"/>
      <c r="U1" s="2356"/>
      <c r="V1" s="2356"/>
      <c r="W1" s="2356"/>
      <c r="X1" s="2356"/>
      <c r="Y1" s="2356"/>
      <c r="Z1" s="2356"/>
    </row>
    <row r="2" spans="1:29" ht="15" customHeight="1" x14ac:dyDescent="0.25">
      <c r="A2" s="2358">
        <v>1</v>
      </c>
      <c r="B2" s="2358" t="s">
        <v>0</v>
      </c>
      <c r="C2" s="2358">
        <f>1+'Property crime'!C2</f>
        <v>63</v>
      </c>
      <c r="D2" s="171" t="s">
        <v>1093</v>
      </c>
      <c r="E2" s="172"/>
      <c r="F2" s="172"/>
      <c r="G2" s="172"/>
      <c r="H2" s="172"/>
      <c r="I2" s="172"/>
      <c r="J2" s="172"/>
      <c r="K2" s="172"/>
      <c r="L2" s="172"/>
      <c r="M2" s="172"/>
      <c r="N2" s="172"/>
      <c r="O2" s="172"/>
      <c r="P2" s="172"/>
      <c r="Q2" s="172"/>
      <c r="R2" s="172"/>
      <c r="S2" s="172"/>
      <c r="T2" s="172"/>
      <c r="U2" s="172"/>
      <c r="V2" s="172"/>
      <c r="W2" s="172"/>
      <c r="X2" s="172"/>
      <c r="Y2" s="2674"/>
      <c r="Z2" s="2674"/>
      <c r="AA2" s="2674"/>
      <c r="AB2" s="2675"/>
    </row>
    <row r="3" spans="1:29" ht="15" customHeight="1" x14ac:dyDescent="0.25">
      <c r="A3" s="2358">
        <v>2</v>
      </c>
      <c r="B3" s="2358" t="s">
        <v>2</v>
      </c>
      <c r="C3" s="2358"/>
      <c r="D3" s="4057" t="s">
        <v>1032</v>
      </c>
      <c r="E3" s="4061"/>
      <c r="F3" s="4061"/>
      <c r="G3" s="4061"/>
      <c r="H3" s="4061"/>
      <c r="I3" s="4061"/>
      <c r="J3" s="4061"/>
      <c r="K3" s="4061"/>
      <c r="L3" s="4061"/>
      <c r="M3" s="4061"/>
      <c r="N3" s="4061"/>
      <c r="O3" s="4061"/>
      <c r="P3" s="4061"/>
      <c r="Q3" s="4061"/>
      <c r="R3" s="4061"/>
      <c r="S3" s="4061"/>
      <c r="T3" s="4061"/>
      <c r="U3" s="4061"/>
      <c r="V3" s="4061"/>
      <c r="W3" s="4061"/>
      <c r="X3" s="4061"/>
      <c r="Y3" s="4411"/>
      <c r="Z3" s="4411"/>
      <c r="AA3" s="4411"/>
      <c r="AB3" s="4412"/>
    </row>
    <row r="4" spans="1:29" ht="12.75" customHeight="1" x14ac:dyDescent="0.25">
      <c r="A4" s="2358">
        <v>3</v>
      </c>
      <c r="B4" s="2358" t="s">
        <v>4</v>
      </c>
      <c r="C4" s="2358"/>
      <c r="D4" s="4057" t="s">
        <v>1120</v>
      </c>
      <c r="E4" s="4061"/>
      <c r="F4" s="4061"/>
      <c r="G4" s="4061"/>
      <c r="H4" s="4061"/>
      <c r="I4" s="4061"/>
      <c r="J4" s="4061"/>
      <c r="K4" s="4061"/>
      <c r="L4" s="4061"/>
      <c r="M4" s="4061"/>
      <c r="N4" s="4061"/>
      <c r="O4" s="4061"/>
      <c r="P4" s="4061"/>
      <c r="Q4" s="4061"/>
      <c r="R4" s="4061"/>
      <c r="S4" s="4061"/>
      <c r="T4" s="4061"/>
      <c r="U4" s="4061"/>
      <c r="V4" s="4061"/>
      <c r="W4" s="4061"/>
      <c r="X4" s="4061"/>
      <c r="Y4" s="4411"/>
      <c r="Z4" s="4411"/>
      <c r="AA4" s="4411"/>
      <c r="AB4" s="4412"/>
    </row>
    <row r="5" spans="1:29" ht="15.75" customHeight="1" x14ac:dyDescent="0.25">
      <c r="A5" s="2633"/>
      <c r="B5" s="2633"/>
      <c r="C5" s="2633"/>
      <c r="D5" s="2676"/>
      <c r="E5" s="229"/>
      <c r="F5" s="229"/>
      <c r="G5" s="229"/>
      <c r="H5" s="2677"/>
      <c r="I5" s="229"/>
      <c r="J5" s="229"/>
      <c r="K5" s="229"/>
      <c r="L5" s="229"/>
      <c r="M5" s="229"/>
      <c r="N5" s="229"/>
      <c r="O5" s="229"/>
      <c r="P5" s="229"/>
      <c r="Q5" s="229"/>
      <c r="R5" s="229"/>
      <c r="S5" s="229"/>
      <c r="T5" s="229"/>
      <c r="U5" s="229"/>
      <c r="V5" s="229"/>
      <c r="W5" s="229"/>
      <c r="X5" s="229"/>
      <c r="Y5" s="320"/>
      <c r="Z5" s="320"/>
    </row>
    <row r="6" spans="1:29" x14ac:dyDescent="0.25">
      <c r="A6" s="2358">
        <v>4</v>
      </c>
      <c r="B6" s="902" t="s">
        <v>5</v>
      </c>
      <c r="D6" s="305" t="s">
        <v>112</v>
      </c>
      <c r="E6" s="122" t="s">
        <v>1121</v>
      </c>
      <c r="F6" s="122"/>
      <c r="G6" s="122"/>
      <c r="H6" s="122"/>
      <c r="I6" s="2678"/>
      <c r="J6" s="2678"/>
      <c r="K6" s="122"/>
      <c r="L6" s="122"/>
      <c r="M6" s="320"/>
      <c r="N6" s="122"/>
      <c r="O6" s="122"/>
      <c r="P6" s="320"/>
      <c r="Q6" s="122"/>
      <c r="R6" s="122"/>
      <c r="S6" s="122"/>
      <c r="T6" s="122"/>
      <c r="U6" s="122"/>
      <c r="V6" s="945"/>
      <c r="W6" s="945"/>
      <c r="X6" s="945"/>
      <c r="Y6" s="320"/>
      <c r="Z6" s="320"/>
      <c r="AA6" s="320"/>
      <c r="AB6" s="320"/>
    </row>
    <row r="7" spans="1:29" x14ac:dyDescent="0.25">
      <c r="A7" s="2679"/>
      <c r="B7" s="1391"/>
      <c r="C7" s="1391"/>
      <c r="D7" s="2435"/>
      <c r="E7" s="3697" t="s">
        <v>132</v>
      </c>
      <c r="F7" s="3697" t="s">
        <v>133</v>
      </c>
      <c r="G7" s="3697" t="s">
        <v>134</v>
      </c>
      <c r="H7" s="3697" t="s">
        <v>135</v>
      </c>
      <c r="I7" s="2743" t="s">
        <v>136</v>
      </c>
      <c r="J7" s="2743" t="s">
        <v>137</v>
      </c>
      <c r="K7" s="3697" t="s">
        <v>138</v>
      </c>
      <c r="L7" s="3698" t="s">
        <v>139</v>
      </c>
      <c r="M7" s="3698" t="s">
        <v>140</v>
      </c>
      <c r="N7" s="3698" t="s">
        <v>141</v>
      </c>
      <c r="O7" s="3698" t="s">
        <v>142</v>
      </c>
      <c r="P7" s="3698" t="s">
        <v>143</v>
      </c>
      <c r="Q7" s="3698" t="s">
        <v>144</v>
      </c>
      <c r="R7" s="3698" t="s">
        <v>145</v>
      </c>
      <c r="S7" s="3698" t="s">
        <v>8</v>
      </c>
      <c r="T7" s="3698" t="s">
        <v>9</v>
      </c>
      <c r="U7" s="3698" t="s">
        <v>10</v>
      </c>
      <c r="V7" s="3698" t="s">
        <v>11</v>
      </c>
      <c r="W7" s="3698" t="s">
        <v>12</v>
      </c>
      <c r="X7" s="3698" t="s">
        <v>13</v>
      </c>
      <c r="Y7" s="3698" t="s">
        <v>14</v>
      </c>
      <c r="Z7" s="3698" t="s">
        <v>15</v>
      </c>
      <c r="AA7" s="3699" t="s">
        <v>333</v>
      </c>
    </row>
    <row r="8" spans="1:29" x14ac:dyDescent="0.25">
      <c r="A8" s="2679"/>
      <c r="B8" s="1391"/>
      <c r="C8" s="1391"/>
      <c r="D8" s="764" t="s">
        <v>1122</v>
      </c>
      <c r="E8" s="766"/>
      <c r="F8" s="766"/>
      <c r="G8" s="766"/>
      <c r="H8" s="766"/>
      <c r="I8" s="2661"/>
      <c r="J8" s="2661"/>
      <c r="K8" s="766"/>
      <c r="L8" s="2680"/>
      <c r="M8" s="2680"/>
      <c r="N8" s="2680"/>
      <c r="O8" s="2680"/>
      <c r="P8" s="2680"/>
      <c r="Q8" s="2680"/>
      <c r="R8" s="2680"/>
      <c r="S8" s="2680"/>
      <c r="T8" s="2680"/>
      <c r="U8" s="2680"/>
      <c r="V8" s="2680"/>
      <c r="W8" s="2680"/>
      <c r="X8" s="2680"/>
      <c r="AA8" s="3700"/>
    </row>
    <row r="9" spans="1:29" x14ac:dyDescent="0.25">
      <c r="B9" s="4413"/>
      <c r="C9" s="2681"/>
      <c r="D9" s="2439" t="s">
        <v>1123</v>
      </c>
      <c r="E9" s="2635">
        <v>67.90893930971751</v>
      </c>
      <c r="F9" s="2635">
        <v>62.759382965122363</v>
      </c>
      <c r="G9" s="2635">
        <v>59.478235522736107</v>
      </c>
      <c r="H9" s="2635">
        <v>59.837588112021344</v>
      </c>
      <c r="I9" s="2635">
        <v>52.501135368408086</v>
      </c>
      <c r="J9" s="2635">
        <v>49.805772822817829</v>
      </c>
      <c r="K9" s="2635">
        <v>47.757934008508478</v>
      </c>
      <c r="L9" s="2635">
        <v>47.418095377055813</v>
      </c>
      <c r="M9" s="2635">
        <v>42.73800107013161</v>
      </c>
      <c r="N9" s="2635">
        <v>40.299999999999997</v>
      </c>
      <c r="O9" s="2635">
        <v>39.6</v>
      </c>
      <c r="P9" s="2635">
        <v>40.5</v>
      </c>
      <c r="Q9" s="2635">
        <v>38.6</v>
      </c>
      <c r="R9" s="2635">
        <v>37.299999999999997</v>
      </c>
      <c r="S9" s="2635">
        <v>34.1</v>
      </c>
      <c r="T9" s="2635">
        <v>31.9</v>
      </c>
      <c r="U9" s="2635">
        <v>30.9</v>
      </c>
      <c r="V9" s="2635">
        <v>31.1</v>
      </c>
      <c r="W9" s="2635">
        <v>32.200000000000003</v>
      </c>
      <c r="X9" s="2682">
        <v>32.971029159426344</v>
      </c>
      <c r="Y9" s="2683">
        <v>33.977535122978189</v>
      </c>
      <c r="Z9" s="2357">
        <v>34.1</v>
      </c>
      <c r="AA9" s="3701">
        <f>(20336/56753327)*100000</f>
        <v>35.832260547474156</v>
      </c>
    </row>
    <row r="10" spans="1:29" x14ac:dyDescent="0.25">
      <c r="B10" s="4413"/>
      <c r="C10" s="2681"/>
      <c r="D10" s="2439" t="s">
        <v>1124</v>
      </c>
      <c r="E10" s="2635">
        <v>67.906412653494357</v>
      </c>
      <c r="F10" s="2635">
        <v>70.412725858317103</v>
      </c>
      <c r="G10" s="2635">
        <v>68.366206762534006</v>
      </c>
      <c r="H10" s="2635">
        <v>70.35863974090303</v>
      </c>
      <c r="I10" s="2635">
        <v>65.449897962589432</v>
      </c>
      <c r="J10" s="2635">
        <v>64.38720369336427</v>
      </c>
      <c r="K10" s="2635">
        <v>69.819622935213999</v>
      </c>
      <c r="L10" s="2635">
        <v>78.896688085955475</v>
      </c>
      <c r="M10" s="2635">
        <v>64.839997991589897</v>
      </c>
      <c r="N10" s="2635">
        <v>52.6</v>
      </c>
      <c r="O10" s="2635">
        <v>43.8</v>
      </c>
      <c r="P10" s="2635">
        <v>42.5</v>
      </c>
      <c r="Q10" s="2635">
        <v>39.299999999999997</v>
      </c>
      <c r="R10" s="2635">
        <v>37.6</v>
      </c>
      <c r="S10" s="2635">
        <v>35.299999999999997</v>
      </c>
      <c r="T10" s="2635">
        <v>31</v>
      </c>
      <c r="U10" s="2635">
        <v>29.4</v>
      </c>
      <c r="V10" s="2635">
        <v>31.3</v>
      </c>
      <c r="W10" s="2635">
        <v>32.299999999999997</v>
      </c>
      <c r="X10" s="2682">
        <v>32.474750821053625</v>
      </c>
      <c r="Y10" s="2683">
        <v>32.984029302962867</v>
      </c>
      <c r="Z10" s="2357">
        <v>32.6</v>
      </c>
      <c r="AA10" s="3701">
        <f>(18233/56753327)*100000</f>
        <v>32.126750912770277</v>
      </c>
    </row>
    <row r="11" spans="1:29" x14ac:dyDescent="0.25">
      <c r="B11" s="4413"/>
      <c r="C11" s="2681"/>
      <c r="D11" s="2439" t="s">
        <v>1125</v>
      </c>
      <c r="E11" s="2635">
        <v>520.50634190712015</v>
      </c>
      <c r="F11" s="2635">
        <v>500.25905801837609</v>
      </c>
      <c r="G11" s="2635">
        <v>489.01331130975518</v>
      </c>
      <c r="H11" s="2635">
        <v>485.04000762049913</v>
      </c>
      <c r="I11" s="2635">
        <v>538.9100793098354</v>
      </c>
      <c r="J11" s="2635">
        <v>569.66468591929822</v>
      </c>
      <c r="K11" s="2635">
        <v>584.30900751003276</v>
      </c>
      <c r="L11" s="2635">
        <v>621.57680204602934</v>
      </c>
      <c r="M11" s="2635">
        <v>605.67491407611556</v>
      </c>
      <c r="N11" s="2635">
        <v>575</v>
      </c>
      <c r="O11" s="2635">
        <v>485.3</v>
      </c>
      <c r="P11" s="2635">
        <v>443.2</v>
      </c>
      <c r="Q11" s="2635">
        <v>413.9</v>
      </c>
      <c r="R11" s="2635">
        <v>396.1</v>
      </c>
      <c r="S11" s="2635">
        <v>400</v>
      </c>
      <c r="T11" s="2635">
        <v>371.8</v>
      </c>
      <c r="U11" s="2635">
        <v>359.1</v>
      </c>
      <c r="V11" s="2635">
        <v>330.8</v>
      </c>
      <c r="W11" s="2635">
        <v>315.5</v>
      </c>
      <c r="X11" s="2682">
        <v>299.03732742707791</v>
      </c>
      <c r="Y11" s="2683">
        <v>300.15885175473869</v>
      </c>
      <c r="Z11" s="2357">
        <v>280.2</v>
      </c>
      <c r="AA11" s="3701">
        <f>(156243/56753327)*100000</f>
        <v>275.30192194723668</v>
      </c>
    </row>
    <row r="12" spans="1:29" x14ac:dyDescent="0.25">
      <c r="B12" s="4413"/>
      <c r="C12" s="2681"/>
      <c r="D12" s="2439" t="s">
        <v>1126</v>
      </c>
      <c r="E12" s="2635">
        <v>563.68942341704985</v>
      </c>
      <c r="F12" s="2635">
        <v>570.42045065869388</v>
      </c>
      <c r="G12" s="2635">
        <v>570.39205207928489</v>
      </c>
      <c r="H12" s="2635">
        <v>566.34120784911408</v>
      </c>
      <c r="I12" s="2635">
        <v>608.07853671875387</v>
      </c>
      <c r="J12" s="2635">
        <v>630.15816686371431</v>
      </c>
      <c r="K12" s="2635">
        <v>589.05244912190324</v>
      </c>
      <c r="L12" s="2635">
        <v>585.92467772063662</v>
      </c>
      <c r="M12" s="2635">
        <v>560.70342989921153</v>
      </c>
      <c r="N12" s="2635">
        <v>535.29999999999995</v>
      </c>
      <c r="O12" s="2635">
        <v>484</v>
      </c>
      <c r="P12" s="2635">
        <v>460.1</v>
      </c>
      <c r="Q12" s="2635">
        <v>439.1</v>
      </c>
      <c r="R12" s="2635">
        <v>418.5</v>
      </c>
      <c r="S12" s="2635">
        <v>416.2</v>
      </c>
      <c r="T12" s="2635">
        <v>397.3</v>
      </c>
      <c r="U12" s="2635">
        <v>380.8</v>
      </c>
      <c r="V12" s="2635">
        <v>355.6</v>
      </c>
      <c r="W12" s="2635">
        <v>345.7</v>
      </c>
      <c r="X12" s="2682">
        <v>338.05443410436595</v>
      </c>
      <c r="Y12" s="2683">
        <v>332.86630068289878</v>
      </c>
      <c r="Z12" s="2357">
        <v>305.5</v>
      </c>
      <c r="AA12" s="3701">
        <f>(167352/56753327)*100000</f>
        <v>294.87610479646418</v>
      </c>
    </row>
    <row r="13" spans="1:29" x14ac:dyDescent="0.25">
      <c r="B13" s="4413"/>
      <c r="C13" s="2681"/>
      <c r="D13" s="2439" t="s">
        <v>1127</v>
      </c>
      <c r="E13" s="2635"/>
      <c r="F13" s="2635"/>
      <c r="G13" s="2635"/>
      <c r="H13" s="2635"/>
      <c r="I13" s="2635"/>
      <c r="J13" s="2635"/>
      <c r="K13" s="2635"/>
      <c r="L13" s="2635"/>
      <c r="M13" s="2635">
        <v>142.5</v>
      </c>
      <c r="N13" s="2635">
        <v>148.4</v>
      </c>
      <c r="O13" s="2635">
        <v>145.19999999999999</v>
      </c>
      <c r="P13" s="2635">
        <v>137.6</v>
      </c>
      <c r="Q13" s="2635">
        <v>133.4</v>
      </c>
      <c r="R13" s="2635">
        <v>144.80000000000001</v>
      </c>
      <c r="S13" s="2635">
        <v>138.5</v>
      </c>
      <c r="T13" s="2635">
        <v>132.4</v>
      </c>
      <c r="U13" s="2635">
        <v>127.5</v>
      </c>
      <c r="V13" s="2635">
        <v>127</v>
      </c>
      <c r="W13" s="2635">
        <v>118.2</v>
      </c>
      <c r="X13" s="2682">
        <v>99.287148016903245</v>
      </c>
      <c r="Y13" s="2683">
        <v>94.428543094679654</v>
      </c>
      <c r="Z13" s="2684">
        <f>(49660/55910000)*100000</f>
        <v>88.821319978536934</v>
      </c>
      <c r="AA13" s="3701">
        <f>(50108/56753327)*100000</f>
        <v>88.29085914205524</v>
      </c>
    </row>
    <row r="14" spans="1:29" x14ac:dyDescent="0.25">
      <c r="B14" s="2685"/>
      <c r="C14" s="2681"/>
      <c r="D14" s="2439" t="s">
        <v>1128</v>
      </c>
      <c r="E14" s="2635">
        <v>194.97448077214614</v>
      </c>
      <c r="F14" s="2635">
        <v>163.02901669106365</v>
      </c>
      <c r="G14" s="2635">
        <v>177.45093276331133</v>
      </c>
      <c r="H14" s="2635">
        <v>220.58963612116594</v>
      </c>
      <c r="I14" s="2635">
        <v>229.50781672086839</v>
      </c>
      <c r="J14" s="2635">
        <v>260.30486544349441</v>
      </c>
      <c r="K14" s="2635">
        <v>260.45644402790214</v>
      </c>
      <c r="L14" s="2635">
        <v>279.19980484504561</v>
      </c>
      <c r="M14" s="2635">
        <v>288.14950297778705</v>
      </c>
      <c r="N14" s="2635">
        <v>272.2</v>
      </c>
      <c r="O14" s="2635">
        <v>255.3</v>
      </c>
      <c r="P14" s="2635">
        <v>267.10000000000002</v>
      </c>
      <c r="Q14" s="2635">
        <v>247.3</v>
      </c>
      <c r="R14" s="2635">
        <v>249.3</v>
      </c>
      <c r="S14" s="2635">
        <v>230.6</v>
      </c>
      <c r="T14" s="2635">
        <v>203</v>
      </c>
      <c r="U14" s="2635">
        <v>200.1</v>
      </c>
      <c r="V14" s="2635">
        <v>202.6</v>
      </c>
      <c r="W14" s="2635">
        <v>225.3</v>
      </c>
      <c r="X14" s="2682">
        <v>238.96357528099816</v>
      </c>
      <c r="Y14" s="2683">
        <v>241.1471534966492</v>
      </c>
      <c r="Z14" s="2684">
        <f>(140956/55910000)*100000</f>
        <v>252.11232337685567</v>
      </c>
      <c r="AA14" s="3701">
        <f>(138364/56753327)*100000</f>
        <v>243.79892301291866</v>
      </c>
    </row>
    <row r="15" spans="1:29" x14ac:dyDescent="0.25">
      <c r="B15" s="2685"/>
      <c r="C15" s="2681"/>
      <c r="D15" s="2686" t="s">
        <v>1129</v>
      </c>
      <c r="E15" s="2687">
        <v>115.42523624235687</v>
      </c>
      <c r="F15" s="2687">
        <v>124.86825642483475</v>
      </c>
      <c r="G15" s="2687">
        <v>133.43373493975903</v>
      </c>
      <c r="H15" s="2687">
        <v>154.73899790436275</v>
      </c>
      <c r="I15" s="2687">
        <v>173.52735465002374</v>
      </c>
      <c r="J15" s="2687">
        <v>206.50922856928531</v>
      </c>
      <c r="K15" s="2687">
        <v>201.2615948253916</v>
      </c>
      <c r="L15" s="2687">
        <v>223.38844477799452</v>
      </c>
      <c r="M15" s="2687">
        <v>205.99569916526156</v>
      </c>
      <c r="N15" s="2687">
        <v>195</v>
      </c>
      <c r="O15" s="2687">
        <v>159.4</v>
      </c>
      <c r="P15" s="2687">
        <v>150.1</v>
      </c>
      <c r="Q15" s="2687">
        <v>135.80000000000001</v>
      </c>
      <c r="R15" s="2687">
        <v>121.7</v>
      </c>
      <c r="S15" s="2687">
        <v>116.7</v>
      </c>
      <c r="T15" s="2687">
        <v>109.8</v>
      </c>
      <c r="U15" s="2687">
        <v>104.7</v>
      </c>
      <c r="V15" s="2687">
        <v>102.4</v>
      </c>
      <c r="W15" s="2687">
        <v>101.7</v>
      </c>
      <c r="X15" s="2688">
        <v>101.71298616342661</v>
      </c>
      <c r="Y15" s="2689">
        <v>98.458974214338866</v>
      </c>
      <c r="Z15" s="2357">
        <v>95.7</v>
      </c>
      <c r="AA15" s="3701">
        <f>(50730/56753327)*100000</f>
        <v>89.386830132443151</v>
      </c>
    </row>
    <row r="16" spans="1:29" x14ac:dyDescent="0.25">
      <c r="B16" s="2685"/>
      <c r="C16" s="2681"/>
      <c r="D16" s="2690" t="s">
        <v>257</v>
      </c>
      <c r="E16" s="2691">
        <v>1656.3</v>
      </c>
      <c r="F16" s="2691">
        <v>1618.5</v>
      </c>
      <c r="G16" s="2691">
        <v>1624.4</v>
      </c>
      <c r="H16" s="2691">
        <v>1675.1</v>
      </c>
      <c r="I16" s="2691">
        <v>1790.7</v>
      </c>
      <c r="J16" s="2691">
        <v>1901.9</v>
      </c>
      <c r="K16" s="2691">
        <v>1873.9</v>
      </c>
      <c r="L16" s="2691">
        <v>1951.7</v>
      </c>
      <c r="M16" s="2691">
        <v>1910.5</v>
      </c>
      <c r="N16" s="2691">
        <f>SUM(N9:N15)</f>
        <v>1818.8</v>
      </c>
      <c r="O16" s="2691">
        <f t="shared" ref="O16:W16" si="0">SUM(O9:O15)</f>
        <v>1612.6000000000001</v>
      </c>
      <c r="P16" s="2691">
        <f t="shared" si="0"/>
        <v>1541.1</v>
      </c>
      <c r="Q16" s="2691">
        <f t="shared" si="0"/>
        <v>1447.3999999999999</v>
      </c>
      <c r="R16" s="2691">
        <f t="shared" si="0"/>
        <v>1405.3</v>
      </c>
      <c r="S16" s="2691">
        <f t="shared" si="0"/>
        <v>1371.3999999999999</v>
      </c>
      <c r="T16" s="2691">
        <f t="shared" si="0"/>
        <v>1277.2</v>
      </c>
      <c r="U16" s="2691">
        <f t="shared" si="0"/>
        <v>1232.5</v>
      </c>
      <c r="V16" s="2691">
        <f t="shared" si="0"/>
        <v>1180.8000000000002</v>
      </c>
      <c r="W16" s="2691">
        <f t="shared" si="0"/>
        <v>1170.9000000000001</v>
      </c>
      <c r="X16" s="2692">
        <f>SUM(X9:X15)</f>
        <v>1142.5012509732519</v>
      </c>
      <c r="Y16" s="2693">
        <f>SUM(Y9:Y15)</f>
        <v>1134.0213876692462</v>
      </c>
      <c r="Z16" s="2693">
        <f>SUM(Z9:Z15)</f>
        <v>1089.0336433553925</v>
      </c>
      <c r="AA16" s="3702">
        <f>SUM(AA9:AA15)</f>
        <v>1059.6136504913623</v>
      </c>
      <c r="AB16" s="540"/>
      <c r="AC16" s="540"/>
    </row>
    <row r="17" spans="2:28" x14ac:dyDescent="0.25">
      <c r="B17" s="2685"/>
      <c r="C17" s="2681"/>
      <c r="D17" s="759"/>
      <c r="E17" s="2694"/>
      <c r="F17" s="2694"/>
      <c r="G17" s="2694"/>
      <c r="H17" s="2694"/>
      <c r="I17" s="2694"/>
      <c r="J17" s="2694"/>
      <c r="K17" s="2694"/>
      <c r="L17" s="2694"/>
      <c r="M17" s="2694"/>
      <c r="N17" s="2694"/>
      <c r="O17" s="2694"/>
      <c r="P17" s="2694"/>
      <c r="Q17" s="2694"/>
      <c r="R17" s="2694"/>
      <c r="S17" s="2694"/>
      <c r="T17" s="2694"/>
      <c r="U17" s="2694"/>
      <c r="V17" s="2694"/>
      <c r="W17" s="2694"/>
      <c r="X17" s="2694"/>
      <c r="Y17" s="540"/>
      <c r="Z17" s="540"/>
      <c r="AA17" s="540"/>
      <c r="AB17" s="540"/>
    </row>
    <row r="18" spans="2:28" x14ac:dyDescent="0.25">
      <c r="B18" s="2685"/>
      <c r="C18" s="2681"/>
      <c r="D18" s="759"/>
      <c r="E18" s="2694"/>
      <c r="F18" s="2694"/>
      <c r="G18" s="2694"/>
      <c r="H18" s="2694"/>
      <c r="I18" s="2694"/>
      <c r="J18" s="2694"/>
      <c r="K18" s="2694"/>
      <c r="L18" s="2694"/>
      <c r="M18" s="2694"/>
      <c r="N18" s="2694"/>
      <c r="O18" s="2694"/>
      <c r="P18" s="2694"/>
      <c r="Q18" s="2694"/>
      <c r="R18" s="2694"/>
      <c r="S18" s="2694"/>
      <c r="T18" s="2694"/>
      <c r="U18" s="2694"/>
      <c r="V18" s="2694"/>
      <c r="W18" s="2694"/>
      <c r="X18" s="2694"/>
      <c r="Y18" s="540"/>
      <c r="Z18" s="540"/>
      <c r="AA18" s="540"/>
      <c r="AB18" s="540"/>
    </row>
    <row r="19" spans="2:28" x14ac:dyDescent="0.25">
      <c r="B19" s="2685"/>
      <c r="C19" s="2681"/>
      <c r="D19" s="759"/>
      <c r="E19" s="2694"/>
      <c r="F19" s="2694"/>
      <c r="G19" s="2694"/>
      <c r="H19" s="2694"/>
      <c r="I19" s="2694"/>
      <c r="J19" s="2694"/>
      <c r="K19" s="2694"/>
      <c r="L19" s="2694"/>
      <c r="M19" s="2694"/>
      <c r="N19" s="2694"/>
      <c r="O19" s="2694"/>
      <c r="P19" s="2694"/>
      <c r="Q19" s="2694"/>
      <c r="R19" s="2694"/>
      <c r="S19" s="2694"/>
      <c r="T19" s="2694"/>
      <c r="U19" s="2694"/>
      <c r="V19" s="2694"/>
      <c r="W19" s="2694"/>
      <c r="X19" s="2694"/>
      <c r="Y19" s="540"/>
      <c r="Z19" s="540"/>
      <c r="AA19" s="540"/>
      <c r="AB19" s="540"/>
    </row>
    <row r="20" spans="2:28" x14ac:dyDescent="0.25">
      <c r="B20" s="2685"/>
      <c r="C20" s="2681"/>
      <c r="D20" s="759"/>
      <c r="E20" s="2694"/>
      <c r="F20" s="2694"/>
      <c r="G20" s="2694"/>
      <c r="H20" s="2694"/>
      <c r="I20" s="2694"/>
      <c r="J20" s="2694"/>
      <c r="K20" s="2694"/>
      <c r="L20" s="2694"/>
      <c r="M20" s="2694"/>
      <c r="N20" s="2694"/>
      <c r="O20" s="2694"/>
      <c r="P20" s="2694"/>
      <c r="Q20" s="2694"/>
      <c r="R20" s="2694"/>
      <c r="S20" s="2694"/>
      <c r="T20" s="2694"/>
      <c r="U20" s="2694"/>
      <c r="V20" s="2694"/>
      <c r="W20" s="2694"/>
      <c r="X20" s="2694"/>
      <c r="Y20" s="540"/>
      <c r="Z20" s="540"/>
      <c r="AA20" s="540"/>
      <c r="AB20" s="540"/>
    </row>
    <row r="21" spans="2:28" x14ac:dyDescent="0.25">
      <c r="B21" s="2685"/>
      <c r="C21" s="2681"/>
      <c r="D21" s="759"/>
      <c r="E21" s="2694"/>
      <c r="F21" s="2694"/>
      <c r="G21" s="2694"/>
      <c r="H21" s="2694"/>
      <c r="I21" s="2694"/>
      <c r="J21" s="2694"/>
      <c r="K21" s="2694"/>
      <c r="L21" s="2694"/>
      <c r="M21" s="2694"/>
      <c r="N21" s="2694"/>
      <c r="O21" s="2694"/>
      <c r="P21" s="2694"/>
      <c r="Q21" s="2694"/>
      <c r="R21" s="2694"/>
      <c r="S21" s="2694"/>
      <c r="T21" s="2694"/>
      <c r="U21" s="2694"/>
      <c r="V21" s="2694"/>
      <c r="W21" s="2694"/>
      <c r="X21" s="2694"/>
      <c r="Y21" s="540"/>
      <c r="Z21" s="540"/>
      <c r="AA21" s="540"/>
      <c r="AB21" s="540"/>
    </row>
    <row r="22" spans="2:28" x14ac:dyDescent="0.25">
      <c r="B22" s="2685"/>
      <c r="C22" s="2681"/>
      <c r="D22" s="759"/>
      <c r="E22" s="2694"/>
      <c r="F22" s="2694"/>
      <c r="G22" s="2694"/>
      <c r="H22" s="2694"/>
      <c r="I22" s="2694"/>
      <c r="J22" s="2694"/>
      <c r="K22" s="2694"/>
      <c r="L22" s="2694"/>
      <c r="M22" s="2694"/>
      <c r="N22" s="2694"/>
      <c r="O22" s="2694"/>
      <c r="P22" s="2694"/>
      <c r="Q22" s="2694"/>
      <c r="R22" s="2694"/>
      <c r="S22" s="2694"/>
      <c r="T22" s="2694"/>
      <c r="U22" s="2694"/>
      <c r="V22" s="2694"/>
      <c r="W22" s="2694"/>
      <c r="X22" s="2694"/>
      <c r="Y22" s="540"/>
      <c r="Z22" s="540"/>
      <c r="AA22" s="540"/>
      <c r="AB22" s="540"/>
    </row>
    <row r="23" spans="2:28" x14ac:dyDescent="0.25">
      <c r="B23" s="2685"/>
      <c r="C23" s="2681"/>
      <c r="D23" s="759"/>
      <c r="E23" s="2694"/>
      <c r="F23" s="2694"/>
      <c r="G23" s="2694"/>
      <c r="H23" s="2694"/>
      <c r="I23" s="2694"/>
      <c r="J23" s="2694"/>
      <c r="K23" s="2694"/>
      <c r="L23" s="2694"/>
      <c r="M23" s="2694"/>
      <c r="N23" s="2694"/>
      <c r="O23" s="2694"/>
      <c r="P23" s="2694"/>
      <c r="Q23" s="2694"/>
      <c r="R23" s="2694"/>
      <c r="S23" s="2694"/>
      <c r="T23" s="2694"/>
      <c r="U23" s="2694"/>
      <c r="V23" s="2694"/>
      <c r="W23" s="2694"/>
      <c r="X23" s="2694"/>
      <c r="Y23" s="540"/>
      <c r="Z23" s="540"/>
      <c r="AA23" s="540"/>
      <c r="AB23" s="540"/>
    </row>
    <row r="24" spans="2:28" x14ac:dyDescent="0.25">
      <c r="B24" s="2685"/>
      <c r="C24" s="2681"/>
      <c r="D24" s="759"/>
      <c r="E24" s="2694"/>
      <c r="F24" s="2694"/>
      <c r="G24" s="2694"/>
      <c r="H24" s="2694"/>
      <c r="I24" s="2694"/>
      <c r="J24" s="2694"/>
      <c r="K24" s="2694"/>
      <c r="L24" s="2694"/>
      <c r="M24" s="2694"/>
      <c r="N24" s="2694"/>
      <c r="O24" s="2694"/>
      <c r="P24" s="2694"/>
      <c r="Q24" s="2694"/>
      <c r="R24" s="2694"/>
      <c r="S24" s="2694"/>
      <c r="T24" s="2694"/>
      <c r="U24" s="2694"/>
      <c r="V24" s="2694"/>
      <c r="W24" s="2694"/>
      <c r="X24" s="2694"/>
      <c r="Y24" s="540"/>
      <c r="Z24" s="540"/>
      <c r="AA24" s="540"/>
      <c r="AB24" s="540"/>
    </row>
    <row r="25" spans="2:28" x14ac:dyDescent="0.25">
      <c r="B25" s="2685"/>
      <c r="C25" s="2681"/>
      <c r="D25" s="759"/>
      <c r="E25" s="2694"/>
      <c r="F25" s="2694"/>
      <c r="G25" s="2694"/>
      <c r="H25" s="2694"/>
      <c r="I25" s="2694"/>
      <c r="J25" s="2694"/>
      <c r="K25" s="2694"/>
      <c r="L25" s="2694"/>
      <c r="M25" s="2694"/>
      <c r="N25" s="2694"/>
      <c r="O25" s="2694"/>
      <c r="P25" s="2694"/>
      <c r="Q25" s="2694"/>
      <c r="R25" s="2694"/>
      <c r="S25" s="2694"/>
      <c r="T25" s="2694"/>
      <c r="U25" s="2694"/>
      <c r="V25" s="2694"/>
      <c r="W25" s="2694"/>
      <c r="X25" s="2694"/>
      <c r="Y25" s="540"/>
      <c r="Z25" s="540"/>
      <c r="AA25" s="540"/>
      <c r="AB25" s="540"/>
    </row>
    <row r="26" spans="2:28" x14ac:dyDescent="0.25">
      <c r="B26" s="2685"/>
      <c r="C26" s="2681"/>
      <c r="D26" s="759"/>
      <c r="E26" s="2694"/>
      <c r="F26" s="2694"/>
      <c r="G26" s="2694"/>
      <c r="H26" s="2694"/>
      <c r="I26" s="2694"/>
      <c r="J26" s="2694"/>
      <c r="K26" s="2694"/>
      <c r="L26" s="2694"/>
      <c r="M26" s="2694"/>
      <c r="N26" s="2694"/>
      <c r="O26" s="2694"/>
      <c r="P26" s="2694"/>
      <c r="Q26" s="2694"/>
      <c r="R26" s="2694"/>
      <c r="S26" s="2694"/>
      <c r="T26" s="2694"/>
      <c r="U26" s="2694"/>
      <c r="V26" s="2694"/>
      <c r="W26" s="2694"/>
      <c r="X26" s="2694"/>
      <c r="Y26" s="540"/>
      <c r="Z26" s="540"/>
      <c r="AA26" s="540"/>
      <c r="AB26" s="540"/>
    </row>
    <row r="27" spans="2:28" x14ac:dyDescent="0.25">
      <c r="B27" s="2685"/>
      <c r="C27" s="2681"/>
      <c r="D27" s="759"/>
      <c r="E27" s="2694"/>
      <c r="F27" s="2694"/>
      <c r="G27" s="2694"/>
      <c r="H27" s="2694"/>
      <c r="I27" s="2694"/>
      <c r="J27" s="2694"/>
      <c r="K27" s="2694"/>
      <c r="L27" s="2694"/>
      <c r="M27" s="2694"/>
      <c r="N27" s="2694"/>
      <c r="O27" s="2694"/>
      <c r="P27" s="2694"/>
      <c r="Q27" s="2694"/>
      <c r="R27" s="2694"/>
      <c r="S27" s="2694"/>
      <c r="T27" s="2694"/>
      <c r="U27" s="2694"/>
      <c r="V27" s="2694"/>
      <c r="W27" s="2694"/>
      <c r="X27" s="2694"/>
      <c r="Y27" s="540"/>
      <c r="Z27" s="540"/>
      <c r="AA27" s="540"/>
      <c r="AB27" s="540"/>
    </row>
    <row r="28" spans="2:28" x14ac:dyDescent="0.25">
      <c r="B28" s="2685"/>
      <c r="C28" s="2681"/>
      <c r="D28" s="759"/>
      <c r="E28" s="2694"/>
      <c r="F28" s="2694"/>
      <c r="G28" s="2694"/>
      <c r="H28" s="2694"/>
      <c r="I28" s="2694"/>
      <c r="J28" s="2694"/>
      <c r="K28" s="2694"/>
      <c r="L28" s="2694"/>
      <c r="M28" s="2694"/>
      <c r="N28" s="2694"/>
      <c r="O28" s="2694"/>
      <c r="P28" s="2694"/>
      <c r="Q28" s="2694"/>
      <c r="R28" s="2694"/>
      <c r="S28" s="2694"/>
      <c r="T28" s="2694"/>
      <c r="U28" s="2694"/>
      <c r="V28" s="2694"/>
      <c r="W28" s="2694"/>
      <c r="X28" s="2694"/>
      <c r="Y28" s="540"/>
      <c r="Z28" s="540"/>
      <c r="AA28" s="540"/>
      <c r="AB28" s="540"/>
    </row>
    <row r="29" spans="2:28" x14ac:dyDescent="0.25">
      <c r="B29" s="2685"/>
      <c r="C29" s="2681"/>
      <c r="D29" s="759"/>
      <c r="E29" s="2694"/>
      <c r="F29" s="2694"/>
      <c r="G29" s="2694"/>
      <c r="H29" s="2694"/>
      <c r="I29" s="2694"/>
      <c r="J29" s="2694"/>
      <c r="K29" s="2694"/>
      <c r="L29" s="2694"/>
      <c r="M29" s="2694"/>
      <c r="N29" s="2694"/>
      <c r="O29" s="2694"/>
      <c r="P29" s="2694"/>
      <c r="Q29" s="2694"/>
      <c r="R29" s="2694"/>
      <c r="S29" s="2694"/>
      <c r="T29" s="2694"/>
      <c r="U29" s="2694"/>
      <c r="V29" s="2694"/>
      <c r="W29" s="2694"/>
      <c r="X29" s="2694"/>
      <c r="Y29" s="540"/>
      <c r="Z29" s="540"/>
      <c r="AA29" s="540"/>
      <c r="AB29" s="540"/>
    </row>
    <row r="30" spans="2:28" x14ac:dyDescent="0.25">
      <c r="B30" s="2685"/>
      <c r="C30" s="2681"/>
      <c r="D30" s="759"/>
      <c r="E30" s="2694"/>
      <c r="F30" s="2694"/>
      <c r="G30" s="2694"/>
      <c r="H30" s="2694"/>
      <c r="I30" s="2694"/>
      <c r="J30" s="2694"/>
      <c r="K30" s="2694"/>
      <c r="L30" s="2694"/>
      <c r="M30" s="2694"/>
      <c r="N30" s="2694"/>
      <c r="O30" s="2694"/>
      <c r="P30" s="2694"/>
      <c r="Q30" s="2694"/>
      <c r="R30" s="2694"/>
      <c r="S30" s="2694"/>
      <c r="T30" s="2694"/>
      <c r="U30" s="2694"/>
      <c r="V30" s="2694"/>
      <c r="W30" s="2694"/>
      <c r="X30" s="2694"/>
      <c r="Y30" s="540"/>
      <c r="Z30" s="540"/>
      <c r="AA30" s="540"/>
      <c r="AB30" s="540"/>
    </row>
    <row r="31" spans="2:28" x14ac:dyDescent="0.25">
      <c r="B31" s="2685"/>
      <c r="C31" s="2681"/>
      <c r="D31" s="759"/>
      <c r="E31" s="2694"/>
      <c r="F31" s="2694"/>
      <c r="G31" s="2694"/>
      <c r="H31" s="2694"/>
      <c r="I31" s="2694"/>
      <c r="J31" s="2694"/>
      <c r="K31" s="2694"/>
      <c r="L31" s="2694"/>
      <c r="M31" s="2694"/>
      <c r="N31" s="2694"/>
      <c r="O31" s="2694"/>
      <c r="P31" s="2694"/>
      <c r="Q31" s="2694"/>
      <c r="R31" s="2694"/>
      <c r="S31" s="2694"/>
      <c r="T31" s="2694"/>
      <c r="U31" s="2694"/>
      <c r="V31" s="2694"/>
      <c r="W31" s="2694"/>
      <c r="X31" s="2694"/>
      <c r="Y31" s="540"/>
      <c r="Z31" s="540"/>
      <c r="AA31" s="540"/>
      <c r="AB31" s="540"/>
    </row>
    <row r="32" spans="2:28" x14ac:dyDescent="0.25">
      <c r="B32" s="2685"/>
      <c r="C32" s="2681"/>
      <c r="D32" s="759"/>
      <c r="E32" s="2694"/>
      <c r="F32" s="2694"/>
      <c r="G32" s="2694"/>
      <c r="H32" s="2694"/>
      <c r="I32" s="2694"/>
      <c r="J32" s="2694"/>
      <c r="K32" s="2694"/>
      <c r="L32" s="2694"/>
      <c r="M32" s="2694"/>
      <c r="N32" s="2694"/>
      <c r="O32" s="2694"/>
      <c r="P32" s="2694"/>
      <c r="Q32" s="2694"/>
      <c r="R32" s="2694"/>
      <c r="S32" s="2694"/>
      <c r="T32" s="2694"/>
      <c r="U32" s="2694"/>
      <c r="V32" s="2694"/>
      <c r="W32" s="2694"/>
      <c r="X32" s="2694"/>
      <c r="Y32" s="540"/>
      <c r="Z32" s="540"/>
      <c r="AA32" s="540"/>
      <c r="AB32" s="540"/>
    </row>
    <row r="33" spans="1:28" x14ac:dyDescent="0.25">
      <c r="B33" s="2685"/>
      <c r="C33" s="2681"/>
      <c r="D33" s="759"/>
      <c r="E33" s="2694"/>
      <c r="F33" s="2694"/>
      <c r="G33" s="2694"/>
      <c r="H33" s="2694"/>
      <c r="I33" s="2694"/>
      <c r="J33" s="2694"/>
      <c r="K33" s="2694"/>
      <c r="L33" s="2694"/>
      <c r="M33" s="2694"/>
      <c r="N33" s="2694"/>
      <c r="O33" s="2694"/>
      <c r="P33" s="2694"/>
      <c r="Q33" s="2694"/>
      <c r="R33" s="2694"/>
      <c r="S33" s="2694"/>
      <c r="T33" s="2694"/>
      <c r="U33" s="2694"/>
      <c r="V33" s="2694"/>
      <c r="W33" s="2694"/>
      <c r="X33" s="2694"/>
      <c r="Y33" s="540"/>
      <c r="Z33" s="540"/>
      <c r="AA33" s="540"/>
      <c r="AB33" s="540"/>
    </row>
    <row r="34" spans="1:28" x14ac:dyDescent="0.25">
      <c r="B34" s="2685"/>
      <c r="C34" s="2681"/>
      <c r="D34" s="759"/>
      <c r="E34" s="2694"/>
      <c r="F34" s="2694"/>
      <c r="G34" s="2694"/>
      <c r="H34" s="2694"/>
      <c r="I34" s="2694"/>
      <c r="J34" s="2694"/>
      <c r="K34" s="2694"/>
      <c r="L34" s="2694"/>
      <c r="M34" s="2694"/>
      <c r="N34" s="2694"/>
      <c r="O34" s="2694"/>
      <c r="P34" s="2694"/>
      <c r="Q34" s="2694"/>
      <c r="R34" s="2694"/>
      <c r="S34" s="2694"/>
      <c r="T34" s="2694"/>
      <c r="U34" s="2694"/>
      <c r="V34" s="2694"/>
      <c r="W34" s="2694"/>
      <c r="X34" s="2694"/>
      <c r="Y34" s="540"/>
      <c r="Z34" s="540"/>
      <c r="AA34" s="540"/>
      <c r="AB34" s="540"/>
    </row>
    <row r="35" spans="1:28" x14ac:dyDescent="0.25">
      <c r="B35" s="2685"/>
      <c r="C35" s="2681"/>
      <c r="D35" s="759"/>
      <c r="E35" s="2694"/>
      <c r="F35" s="2694"/>
      <c r="G35" s="2694"/>
      <c r="H35" s="2694"/>
      <c r="I35" s="2694"/>
      <c r="J35" s="2694"/>
      <c r="K35" s="2694"/>
      <c r="L35" s="2694"/>
      <c r="M35" s="2694"/>
      <c r="N35" s="2694"/>
      <c r="O35" s="2694"/>
      <c r="P35" s="2694"/>
      <c r="Q35" s="2694"/>
      <c r="R35" s="2694"/>
      <c r="S35" s="2694"/>
      <c r="T35" s="2694"/>
      <c r="U35" s="2694"/>
      <c r="V35" s="2694"/>
      <c r="W35" s="2694"/>
      <c r="X35" s="2694"/>
      <c r="Y35" s="540"/>
      <c r="Z35" s="540"/>
      <c r="AA35" s="540"/>
      <c r="AB35" s="540"/>
    </row>
    <row r="36" spans="1:28" x14ac:dyDescent="0.25">
      <c r="B36" s="2685"/>
      <c r="C36" s="2681"/>
      <c r="D36" s="759"/>
      <c r="E36" s="2694"/>
      <c r="F36" s="2694"/>
      <c r="G36" s="2694"/>
      <c r="H36" s="2694"/>
      <c r="I36" s="2694"/>
      <c r="J36" s="2694"/>
      <c r="K36" s="2694"/>
      <c r="L36" s="2694"/>
      <c r="M36" s="2694"/>
      <c r="N36" s="2694"/>
      <c r="O36" s="2694"/>
      <c r="P36" s="2694"/>
      <c r="Q36" s="2694"/>
      <c r="R36" s="2694"/>
      <c r="S36" s="2694"/>
      <c r="T36" s="2694"/>
      <c r="U36" s="2694"/>
      <c r="V36" s="2694"/>
      <c r="W36" s="2694"/>
      <c r="X36" s="2694"/>
      <c r="Y36" s="540"/>
      <c r="Z36" s="540"/>
      <c r="AA36" s="540"/>
      <c r="AB36" s="540"/>
    </row>
    <row r="37" spans="1:28" x14ac:dyDescent="0.25">
      <c r="B37" s="2685"/>
      <c r="C37" s="2681"/>
      <c r="D37" s="759"/>
      <c r="E37" s="2694"/>
      <c r="F37" s="2694"/>
      <c r="G37" s="2694"/>
      <c r="H37" s="2694"/>
      <c r="I37" s="2694"/>
      <c r="J37" s="2694"/>
      <c r="K37" s="2694"/>
      <c r="L37" s="2694"/>
      <c r="M37" s="2694"/>
      <c r="N37" s="2694"/>
      <c r="O37" s="2694"/>
      <c r="P37" s="2694"/>
      <c r="Q37" s="2694"/>
      <c r="R37" s="2694"/>
      <c r="S37" s="2694"/>
      <c r="T37" s="2694"/>
      <c r="U37" s="2694"/>
      <c r="V37" s="2694"/>
      <c r="W37" s="2694"/>
      <c r="X37" s="2694"/>
      <c r="Y37" s="540"/>
      <c r="Z37" s="540"/>
      <c r="AA37" s="540"/>
      <c r="AB37" s="540"/>
    </row>
    <row r="38" spans="1:28" s="2472" customFormat="1" ht="12.75" x14ac:dyDescent="0.2">
      <c r="A38" s="2358"/>
      <c r="B38" s="2636"/>
      <c r="C38" s="2636"/>
      <c r="D38" s="371"/>
      <c r="E38" s="2414"/>
      <c r="F38" s="2414"/>
      <c r="G38" s="2695"/>
      <c r="H38" s="2414"/>
      <c r="I38" s="2696"/>
      <c r="J38" s="2696"/>
      <c r="K38" s="2414"/>
      <c r="L38" s="2414"/>
      <c r="M38" s="2696"/>
      <c r="N38" s="2414"/>
      <c r="O38" s="2414"/>
      <c r="P38" s="2696"/>
      <c r="Q38" s="2414"/>
      <c r="R38" s="2414"/>
      <c r="S38" s="2697"/>
      <c r="T38" s="2697"/>
      <c r="U38" s="2697"/>
      <c r="V38" s="2414"/>
      <c r="W38" s="2696"/>
      <c r="X38" s="2696"/>
      <c r="Y38" s="2695"/>
      <c r="Z38" s="2695"/>
    </row>
    <row r="39" spans="1:28" x14ac:dyDescent="0.25">
      <c r="D39" s="900"/>
      <c r="E39" s="900"/>
      <c r="F39" s="900"/>
      <c r="G39" s="900"/>
      <c r="H39" s="2698"/>
      <c r="I39" s="900"/>
      <c r="J39" s="900"/>
      <c r="K39" s="900"/>
      <c r="L39" s="900"/>
      <c r="M39" s="900"/>
      <c r="N39" s="900"/>
      <c r="O39" s="900"/>
      <c r="P39" s="900"/>
      <c r="Q39" s="900"/>
      <c r="R39" s="900"/>
      <c r="S39" s="900"/>
      <c r="T39" s="900"/>
      <c r="U39" s="900"/>
      <c r="V39" s="900"/>
      <c r="W39" s="900"/>
      <c r="X39" s="900"/>
      <c r="Y39" s="2356"/>
      <c r="Z39" s="2356"/>
    </row>
    <row r="40" spans="1:28" ht="15" customHeight="1" x14ac:dyDescent="0.25">
      <c r="A40" s="2358">
        <v>5</v>
      </c>
      <c r="B40" s="2358" t="s">
        <v>29</v>
      </c>
      <c r="C40" s="2358"/>
      <c r="D40" s="4048" t="s">
        <v>1130</v>
      </c>
      <c r="E40" s="4073"/>
      <c r="F40" s="4073"/>
      <c r="G40" s="4073"/>
      <c r="H40" s="4073"/>
      <c r="I40" s="4073"/>
      <c r="J40" s="4073"/>
      <c r="K40" s="4073"/>
      <c r="L40" s="4073"/>
      <c r="M40" s="4073"/>
      <c r="N40" s="4073"/>
      <c r="O40" s="4073"/>
      <c r="P40" s="4073"/>
      <c r="Q40" s="4073"/>
      <c r="R40" s="4073"/>
      <c r="S40" s="4073"/>
      <c r="T40" s="4073"/>
      <c r="U40" s="4073"/>
      <c r="V40" s="4073"/>
      <c r="W40" s="4073"/>
      <c r="X40" s="4073"/>
      <c r="Y40" s="4409"/>
      <c r="Z40" s="4409"/>
      <c r="AA40" s="4409"/>
      <c r="AB40" s="4410"/>
    </row>
    <row r="41" spans="1:28" ht="12.75" customHeight="1" x14ac:dyDescent="0.25">
      <c r="A41" s="2433">
        <v>6</v>
      </c>
      <c r="B41" s="2433" t="s">
        <v>32</v>
      </c>
      <c r="C41" s="2433"/>
      <c r="D41" s="4129" t="s">
        <v>1131</v>
      </c>
      <c r="E41" s="4414"/>
      <c r="F41" s="4414"/>
      <c r="G41" s="4414"/>
      <c r="H41" s="4414"/>
      <c r="I41" s="4414"/>
      <c r="J41" s="4414"/>
      <c r="K41" s="4414"/>
      <c r="L41" s="4414"/>
      <c r="M41" s="4414"/>
      <c r="N41" s="4414"/>
      <c r="O41" s="4414"/>
      <c r="P41" s="4414"/>
      <c r="Q41" s="4414"/>
      <c r="R41" s="4414"/>
      <c r="S41" s="4414"/>
      <c r="T41" s="4414"/>
      <c r="U41" s="4414"/>
      <c r="V41" s="4414"/>
      <c r="W41" s="4414"/>
      <c r="X41" s="4414"/>
      <c r="Y41" s="4415"/>
      <c r="Z41" s="4415"/>
      <c r="AA41" s="4415"/>
      <c r="AB41" s="4416"/>
    </row>
    <row r="42" spans="1:28" ht="12.75" customHeight="1" x14ac:dyDescent="0.25">
      <c r="A42" s="2358">
        <v>7</v>
      </c>
      <c r="B42" s="2358" t="s">
        <v>31</v>
      </c>
      <c r="C42" s="2358"/>
      <c r="D42" s="4048" t="s">
        <v>1132</v>
      </c>
      <c r="E42" s="4073"/>
      <c r="F42" s="4073"/>
      <c r="G42" s="4073"/>
      <c r="H42" s="4073"/>
      <c r="I42" s="4073"/>
      <c r="J42" s="4073"/>
      <c r="K42" s="4073"/>
      <c r="L42" s="4073"/>
      <c r="M42" s="4073"/>
      <c r="N42" s="4073"/>
      <c r="O42" s="4073"/>
      <c r="P42" s="4073"/>
      <c r="Q42" s="4073"/>
      <c r="R42" s="4073"/>
      <c r="S42" s="4073"/>
      <c r="T42" s="4073"/>
      <c r="U42" s="4073"/>
      <c r="V42" s="4073"/>
      <c r="W42" s="4073"/>
      <c r="X42" s="4073"/>
      <c r="Y42" s="4409"/>
      <c r="Z42" s="4409"/>
      <c r="AA42" s="4409"/>
      <c r="AB42" s="4410"/>
    </row>
  </sheetData>
  <mergeCells count="6">
    <mergeCell ref="D42:AB42"/>
    <mergeCell ref="D3:AB3"/>
    <mergeCell ref="D4:AB4"/>
    <mergeCell ref="B9:B13"/>
    <mergeCell ref="D40:AB40"/>
    <mergeCell ref="D41:AB41"/>
  </mergeCells>
  <pageMargins left="0.74803149606299213" right="0.74803149606299213" top="0.98425196850393704" bottom="0.98425196850393704" header="0.51181102362204722" footer="0.51181102362204722"/>
  <pageSetup paperSize="9" scale="56"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60"/>
  <sheetViews>
    <sheetView showGridLines="0" view="pageBreakPreview" zoomScaleNormal="100" zoomScaleSheetLayoutView="100" workbookViewId="0">
      <selection activeCell="D32" sqref="D32:AA32"/>
    </sheetView>
  </sheetViews>
  <sheetFormatPr defaultColWidth="9.28515625" defaultRowHeight="15" x14ac:dyDescent="0.25"/>
  <cols>
    <col min="1" max="1" width="3.7109375" style="116" customWidth="1"/>
    <col min="2" max="2" width="12.7109375" style="113" customWidth="1"/>
    <col min="3" max="3" width="3.7109375" style="114" customWidth="1"/>
    <col min="4" max="4" width="8.7109375" style="44" customWidth="1"/>
    <col min="5" max="5" width="4.28515625" style="44" customWidth="1"/>
    <col min="6" max="23" width="8.28515625" style="44" customWidth="1"/>
    <col min="24" max="27" width="9.28515625" style="44"/>
    <col min="28" max="28" width="8.140625" style="44" customWidth="1"/>
    <col min="29" max="16384" width="9.28515625" style="44"/>
  </cols>
  <sheetData>
    <row r="1" spans="1:29" x14ac:dyDescent="0.25">
      <c r="A1" s="112"/>
      <c r="D1" s="115"/>
      <c r="E1" s="115"/>
      <c r="F1" s="115"/>
      <c r="G1" s="115"/>
      <c r="H1" s="115"/>
      <c r="I1" s="115"/>
      <c r="J1" s="115"/>
      <c r="K1" s="115"/>
      <c r="L1" s="115"/>
      <c r="M1" s="115"/>
      <c r="N1" s="115"/>
      <c r="O1" s="115"/>
      <c r="P1" s="115"/>
      <c r="Q1" s="115"/>
      <c r="R1" s="115"/>
      <c r="S1" s="115"/>
      <c r="T1" s="115"/>
      <c r="U1" s="115"/>
      <c r="V1" s="115"/>
      <c r="W1" s="115"/>
    </row>
    <row r="2" spans="1:29" ht="12.75" customHeight="1" x14ac:dyDescent="0.25">
      <c r="A2" s="116">
        <v>1</v>
      </c>
      <c r="B2" s="117" t="s">
        <v>0</v>
      </c>
      <c r="C2" s="116">
        <f>[1]GFCF!C2+1</f>
        <v>5</v>
      </c>
      <c r="D2" s="4054" t="s">
        <v>126</v>
      </c>
      <c r="E2" s="4055"/>
      <c r="F2" s="4055"/>
      <c r="G2" s="4055"/>
      <c r="H2" s="4055"/>
      <c r="I2" s="4055"/>
      <c r="J2" s="4055"/>
      <c r="K2" s="4055"/>
      <c r="L2" s="4055"/>
      <c r="M2" s="4055"/>
      <c r="N2" s="4055"/>
      <c r="O2" s="4055"/>
      <c r="P2" s="4055"/>
      <c r="Q2" s="4055"/>
      <c r="R2" s="4055"/>
      <c r="S2" s="4055"/>
      <c r="T2" s="4055"/>
      <c r="U2" s="4055"/>
      <c r="V2" s="4055"/>
      <c r="W2" s="4055"/>
      <c r="X2" s="4055"/>
      <c r="Y2" s="4055"/>
      <c r="Z2" s="4055"/>
      <c r="AA2" s="4055"/>
      <c r="AB2" s="4056"/>
    </row>
    <row r="3" spans="1:29" ht="12.75" customHeight="1" x14ac:dyDescent="0.25">
      <c r="A3" s="116">
        <v>2</v>
      </c>
      <c r="B3" s="117" t="s">
        <v>2</v>
      </c>
      <c r="C3" s="116"/>
      <c r="D3" s="4057" t="s">
        <v>127</v>
      </c>
      <c r="E3" s="4058"/>
      <c r="F3" s="4058"/>
      <c r="G3" s="4058"/>
      <c r="H3" s="4058"/>
      <c r="I3" s="4058"/>
      <c r="J3" s="4058"/>
      <c r="K3" s="4058"/>
      <c r="L3" s="4058"/>
      <c r="M3" s="4058"/>
      <c r="N3" s="4058"/>
      <c r="O3" s="4058"/>
      <c r="P3" s="4058"/>
      <c r="Q3" s="4058"/>
      <c r="R3" s="4058"/>
      <c r="S3" s="4058"/>
      <c r="T3" s="4058"/>
      <c r="U3" s="4058"/>
      <c r="V3" s="4058"/>
      <c r="W3" s="4058"/>
      <c r="X3" s="4058"/>
      <c r="Y3" s="4058"/>
      <c r="Z3" s="4058"/>
      <c r="AA3" s="4058"/>
      <c r="AB3" s="4059"/>
    </row>
    <row r="4" spans="1:29" ht="12.75" customHeight="1" x14ac:dyDescent="0.25">
      <c r="A4" s="116">
        <v>3</v>
      </c>
      <c r="B4" s="117" t="s">
        <v>4</v>
      </c>
      <c r="C4" s="116"/>
      <c r="D4" s="4057" t="s">
        <v>128</v>
      </c>
      <c r="E4" s="4058"/>
      <c r="F4" s="4058"/>
      <c r="G4" s="4058"/>
      <c r="H4" s="4058"/>
      <c r="I4" s="4058"/>
      <c r="J4" s="4058"/>
      <c r="K4" s="4058"/>
      <c r="L4" s="4058"/>
      <c r="M4" s="4058"/>
      <c r="N4" s="4058"/>
      <c r="O4" s="4058"/>
      <c r="P4" s="4058"/>
      <c r="Q4" s="4058"/>
      <c r="R4" s="4058"/>
      <c r="S4" s="4058"/>
      <c r="T4" s="4058"/>
      <c r="U4" s="4058"/>
      <c r="V4" s="4058"/>
      <c r="W4" s="4058"/>
      <c r="X4" s="4058"/>
      <c r="Y4" s="4058"/>
      <c r="Z4" s="4058"/>
      <c r="AA4" s="4058"/>
      <c r="AB4" s="4059"/>
    </row>
    <row r="5" spans="1:29" ht="21" customHeight="1" x14ac:dyDescent="0.25">
      <c r="B5" s="117"/>
      <c r="C5" s="116"/>
      <c r="D5" s="4075"/>
      <c r="E5" s="4076"/>
      <c r="F5" s="4076"/>
      <c r="G5" s="4076"/>
      <c r="H5" s="4076"/>
      <c r="I5" s="4076"/>
      <c r="J5" s="4076"/>
      <c r="K5" s="4076"/>
      <c r="L5" s="4076"/>
      <c r="M5" s="4076"/>
      <c r="N5" s="4076"/>
      <c r="O5" s="4076"/>
      <c r="P5" s="4076"/>
      <c r="Q5" s="4076"/>
      <c r="R5" s="4076"/>
      <c r="S5" s="4076"/>
      <c r="T5" s="4076"/>
      <c r="U5" s="4076"/>
      <c r="V5" s="4076"/>
      <c r="W5" s="4076"/>
      <c r="X5" s="4076"/>
      <c r="Y5" s="4076"/>
      <c r="Z5" s="4076"/>
      <c r="AA5" s="4076"/>
      <c r="AB5" s="4077"/>
    </row>
    <row r="6" spans="1:29" x14ac:dyDescent="0.25">
      <c r="A6" s="116">
        <v>4</v>
      </c>
      <c r="B6" s="117" t="s">
        <v>5</v>
      </c>
      <c r="D6" s="123" t="s">
        <v>112</v>
      </c>
      <c r="E6" s="123" t="s">
        <v>129</v>
      </c>
      <c r="F6" s="123"/>
      <c r="G6" s="123"/>
      <c r="H6" s="123"/>
      <c r="I6" s="123"/>
      <c r="J6" s="123"/>
      <c r="K6" s="123"/>
      <c r="L6" s="123"/>
      <c r="M6" s="148"/>
      <c r="N6" s="148"/>
      <c r="O6" s="148"/>
      <c r="P6" s="148"/>
      <c r="Q6" s="148"/>
      <c r="R6" s="124"/>
      <c r="S6" s="124"/>
      <c r="T6" s="124"/>
      <c r="U6" s="124"/>
      <c r="V6" s="124"/>
      <c r="W6" s="202"/>
      <c r="X6" s="202"/>
      <c r="Y6" s="202"/>
    </row>
    <row r="7" spans="1:29" s="225" customFormat="1" ht="12.75" x14ac:dyDescent="0.2">
      <c r="A7" s="116"/>
      <c r="B7" s="218"/>
      <c r="C7" s="219"/>
      <c r="D7" s="220" t="s">
        <v>69</v>
      </c>
      <c r="E7" s="221" t="s">
        <v>130</v>
      </c>
      <c r="F7" s="221" t="s">
        <v>131</v>
      </c>
      <c r="G7" s="221" t="s">
        <v>132</v>
      </c>
      <c r="H7" s="221" t="s">
        <v>133</v>
      </c>
      <c r="I7" s="221" t="s">
        <v>134</v>
      </c>
      <c r="J7" s="221" t="s">
        <v>135</v>
      </c>
      <c r="K7" s="221" t="s">
        <v>136</v>
      </c>
      <c r="L7" s="221" t="s">
        <v>137</v>
      </c>
      <c r="M7" s="221" t="s">
        <v>138</v>
      </c>
      <c r="N7" s="221" t="s">
        <v>139</v>
      </c>
      <c r="O7" s="221" t="s">
        <v>140</v>
      </c>
      <c r="P7" s="222" t="s">
        <v>141</v>
      </c>
      <c r="Q7" s="222" t="s">
        <v>142</v>
      </c>
      <c r="R7" s="222" t="s">
        <v>143</v>
      </c>
      <c r="S7" s="222" t="s">
        <v>144</v>
      </c>
      <c r="T7" s="222" t="s">
        <v>145</v>
      </c>
      <c r="U7" s="223" t="s">
        <v>8</v>
      </c>
      <c r="V7" s="223" t="s">
        <v>9</v>
      </c>
      <c r="W7" s="223" t="s">
        <v>10</v>
      </c>
      <c r="X7" s="223" t="s">
        <v>11</v>
      </c>
      <c r="Y7" s="223" t="s">
        <v>12</v>
      </c>
      <c r="Z7" s="223" t="s">
        <v>13</v>
      </c>
      <c r="AA7" s="223" t="s">
        <v>14</v>
      </c>
      <c r="AB7" s="892" t="s">
        <v>15</v>
      </c>
      <c r="AC7" s="224"/>
    </row>
    <row r="8" spans="1:29" ht="23.25" x14ac:dyDescent="0.25">
      <c r="D8" s="134" t="s">
        <v>146</v>
      </c>
      <c r="E8" s="226">
        <v>-5.4</v>
      </c>
      <c r="F8" s="226">
        <v>-4.5</v>
      </c>
      <c r="G8" s="226">
        <v>-5</v>
      </c>
      <c r="H8" s="226">
        <v>-4.8</v>
      </c>
      <c r="I8" s="226">
        <v>-3.6</v>
      </c>
      <c r="J8" s="226">
        <v>-2.7</v>
      </c>
      <c r="K8" s="226">
        <v>-2.1</v>
      </c>
      <c r="L8" s="226">
        <v>-1.9</v>
      </c>
      <c r="M8" s="226">
        <v>-1.4</v>
      </c>
      <c r="N8" s="226">
        <v>-1</v>
      </c>
      <c r="O8" s="226">
        <v>-2.2000000000000002</v>
      </c>
      <c r="P8" s="226">
        <v>-1.4</v>
      </c>
      <c r="Q8" s="893">
        <v>-0.3</v>
      </c>
      <c r="R8" s="893">
        <v>0.7</v>
      </c>
      <c r="S8" s="893">
        <v>0.9</v>
      </c>
      <c r="T8" s="893">
        <v>-0.7</v>
      </c>
      <c r="U8" s="893">
        <v>-6.3</v>
      </c>
      <c r="V8" s="893">
        <v>-4.7</v>
      </c>
      <c r="W8" s="893">
        <v>-4.7</v>
      </c>
      <c r="X8" s="894">
        <v>-5</v>
      </c>
      <c r="Y8" s="891">
        <v>-4.4000000000000004</v>
      </c>
      <c r="Z8" s="891">
        <v>-4.3</v>
      </c>
      <c r="AA8" s="891">
        <v>-4.0999999999999996</v>
      </c>
      <c r="AB8" s="895">
        <v>-3.8</v>
      </c>
      <c r="AC8" s="227"/>
    </row>
    <row r="9" spans="1:29" x14ac:dyDescent="0.25">
      <c r="D9" s="138"/>
      <c r="E9" s="193"/>
      <c r="F9" s="228"/>
      <c r="G9" s="228"/>
      <c r="H9" s="228"/>
      <c r="I9" s="228"/>
      <c r="J9" s="228"/>
      <c r="K9" s="228"/>
      <c r="L9" s="228"/>
      <c r="M9" s="228"/>
      <c r="N9" s="228"/>
      <c r="O9" s="228"/>
      <c r="P9" s="228"/>
      <c r="Q9" s="228"/>
      <c r="R9" s="228"/>
      <c r="S9" s="228"/>
      <c r="T9" s="228"/>
      <c r="U9" s="228"/>
      <c r="V9" s="228"/>
      <c r="W9" s="228"/>
      <c r="X9" s="228"/>
      <c r="Y9" s="228"/>
      <c r="Z9" s="227"/>
    </row>
    <row r="10" spans="1:29" x14ac:dyDescent="0.25">
      <c r="D10" s="138"/>
      <c r="E10" s="193"/>
      <c r="F10" s="228"/>
      <c r="G10" s="228"/>
      <c r="H10" s="228"/>
      <c r="I10" s="228"/>
      <c r="J10" s="228"/>
      <c r="K10" s="228"/>
      <c r="L10" s="228"/>
      <c r="M10" s="228"/>
      <c r="N10" s="228"/>
      <c r="O10" s="228"/>
      <c r="P10" s="228"/>
      <c r="Q10" s="228"/>
      <c r="R10" s="228"/>
      <c r="S10" s="228"/>
      <c r="T10" s="228"/>
      <c r="U10" s="228"/>
      <c r="V10" s="228"/>
      <c r="W10" s="228"/>
      <c r="X10" s="228"/>
      <c r="Y10" s="228"/>
      <c r="Z10" s="227"/>
    </row>
    <row r="11" spans="1:29" x14ac:dyDescent="0.25">
      <c r="D11" s="115"/>
      <c r="E11" s="115"/>
      <c r="F11" s="120"/>
      <c r="G11" s="120"/>
      <c r="H11" s="120"/>
      <c r="I11" s="120"/>
      <c r="J11" s="120"/>
      <c r="K11" s="120"/>
      <c r="L11" s="120"/>
      <c r="M11" s="120"/>
      <c r="N11" s="120"/>
      <c r="O11" s="120"/>
      <c r="P11" s="120"/>
      <c r="Q11" s="120"/>
      <c r="R11" s="120"/>
      <c r="S11" s="115"/>
      <c r="T11" s="115"/>
      <c r="U11" s="115"/>
      <c r="V11" s="115"/>
      <c r="W11" s="115"/>
    </row>
    <row r="12" spans="1:29" x14ac:dyDescent="0.25">
      <c r="A12" s="116">
        <v>5</v>
      </c>
      <c r="B12" s="117" t="s">
        <v>90</v>
      </c>
      <c r="C12" s="116"/>
      <c r="D12" s="115"/>
      <c r="E12" s="115"/>
      <c r="F12" s="120"/>
      <c r="G12" s="120"/>
      <c r="H12" s="120"/>
      <c r="I12" s="120"/>
      <c r="J12" s="120"/>
      <c r="K12" s="120"/>
      <c r="L12" s="120"/>
      <c r="M12" s="120"/>
      <c r="N12" s="120"/>
      <c r="O12" s="120"/>
      <c r="P12" s="120"/>
      <c r="Q12" s="120"/>
      <c r="R12" s="120"/>
      <c r="S12" s="115"/>
      <c r="T12" s="115"/>
      <c r="U12" s="115"/>
      <c r="V12" s="115"/>
      <c r="W12" s="115"/>
      <c r="AC12" s="165"/>
    </row>
    <row r="13" spans="1:29" x14ac:dyDescent="0.25">
      <c r="D13" s="115"/>
      <c r="E13" s="115"/>
      <c r="F13" s="120"/>
      <c r="G13" s="120"/>
      <c r="H13" s="120"/>
      <c r="I13" s="120"/>
      <c r="J13" s="120"/>
      <c r="K13" s="120"/>
      <c r="L13" s="120"/>
      <c r="M13" s="120"/>
      <c r="N13" s="120"/>
      <c r="O13" s="120"/>
      <c r="P13" s="120"/>
      <c r="Q13" s="120"/>
      <c r="R13" s="120"/>
      <c r="S13" s="115"/>
      <c r="T13" s="115"/>
      <c r="U13" s="115"/>
      <c r="V13" s="115"/>
      <c r="W13" s="115"/>
      <c r="AC13" s="165"/>
    </row>
    <row r="14" spans="1:29" x14ac:dyDescent="0.25">
      <c r="D14" s="115"/>
      <c r="E14" s="115"/>
      <c r="F14" s="120"/>
      <c r="G14" s="120"/>
      <c r="H14" s="120"/>
      <c r="I14" s="120"/>
      <c r="J14" s="120"/>
      <c r="K14" s="120"/>
      <c r="L14" s="120"/>
      <c r="M14" s="120"/>
      <c r="N14" s="120"/>
      <c r="O14" s="120"/>
      <c r="P14" s="120"/>
      <c r="Q14" s="120"/>
      <c r="R14" s="120"/>
      <c r="S14" s="115"/>
      <c r="T14" s="115"/>
      <c r="U14" s="115"/>
      <c r="V14" s="115"/>
      <c r="W14" s="115"/>
      <c r="AC14" s="165"/>
    </row>
    <row r="15" spans="1:29" x14ac:dyDescent="0.25">
      <c r="D15" s="115"/>
      <c r="E15" s="115"/>
      <c r="F15" s="120"/>
      <c r="G15" s="120"/>
      <c r="H15" s="120"/>
      <c r="I15" s="120"/>
      <c r="J15" s="120"/>
      <c r="K15" s="120"/>
      <c r="L15" s="120"/>
      <c r="M15" s="120"/>
      <c r="N15" s="120"/>
      <c r="O15" s="120"/>
      <c r="P15" s="120"/>
      <c r="Q15" s="120"/>
      <c r="R15" s="120"/>
      <c r="S15" s="115"/>
      <c r="T15" s="115"/>
      <c r="U15" s="115"/>
      <c r="V15" s="115"/>
      <c r="W15" s="115"/>
      <c r="AC15" s="165"/>
    </row>
    <row r="16" spans="1:29" x14ac:dyDescent="0.25">
      <c r="D16" s="115"/>
      <c r="E16" s="115"/>
      <c r="F16" s="120"/>
      <c r="G16" s="120"/>
      <c r="H16" s="120"/>
      <c r="I16" s="120"/>
      <c r="J16" s="120"/>
      <c r="K16" s="120"/>
      <c r="L16" s="120"/>
      <c r="M16" s="120"/>
      <c r="N16" s="120"/>
      <c r="O16" s="120"/>
      <c r="P16" s="120"/>
      <c r="Q16" s="120"/>
      <c r="R16" s="120"/>
      <c r="S16" s="115"/>
      <c r="T16" s="115"/>
      <c r="U16" s="115"/>
      <c r="V16" s="115"/>
      <c r="W16" s="115"/>
      <c r="AC16" s="165"/>
    </row>
    <row r="17" spans="1:29" x14ac:dyDescent="0.25">
      <c r="D17" s="115"/>
      <c r="E17" s="115"/>
      <c r="F17" s="120"/>
      <c r="G17" s="120"/>
      <c r="H17" s="120"/>
      <c r="I17" s="120"/>
      <c r="J17" s="120"/>
      <c r="K17" s="120"/>
      <c r="L17" s="120"/>
      <c r="M17" s="120"/>
      <c r="N17" s="120"/>
      <c r="O17" s="120"/>
      <c r="P17" s="120"/>
      <c r="Q17" s="120"/>
      <c r="R17" s="120"/>
      <c r="S17" s="115"/>
      <c r="T17" s="115"/>
      <c r="U17" s="115"/>
      <c r="V17" s="115"/>
      <c r="W17" s="115"/>
      <c r="AC17" s="165"/>
    </row>
    <row r="18" spans="1:29" x14ac:dyDescent="0.25">
      <c r="D18" s="115"/>
      <c r="E18" s="115"/>
      <c r="F18" s="120"/>
      <c r="G18" s="120"/>
      <c r="H18" s="120"/>
      <c r="I18" s="120"/>
      <c r="J18" s="120"/>
      <c r="K18" s="120"/>
      <c r="L18" s="120"/>
      <c r="M18" s="120"/>
      <c r="N18" s="120"/>
      <c r="O18" s="120"/>
      <c r="P18" s="120"/>
      <c r="Q18" s="120"/>
      <c r="R18" s="120"/>
      <c r="S18" s="115"/>
      <c r="T18" s="115"/>
      <c r="U18" s="115"/>
      <c r="V18" s="115"/>
      <c r="W18" s="115"/>
      <c r="AC18" s="165"/>
    </row>
    <row r="19" spans="1:29" x14ac:dyDescent="0.25">
      <c r="D19" s="115"/>
      <c r="E19" s="115"/>
      <c r="F19" s="120"/>
      <c r="G19" s="120"/>
      <c r="H19" s="120"/>
      <c r="I19" s="120"/>
      <c r="J19" s="120"/>
      <c r="K19" s="120"/>
      <c r="L19" s="120"/>
      <c r="M19" s="120"/>
      <c r="N19" s="120"/>
      <c r="O19" s="120"/>
      <c r="P19" s="120"/>
      <c r="Q19" s="120"/>
      <c r="R19" s="120"/>
      <c r="S19" s="115"/>
      <c r="T19" s="115"/>
      <c r="U19" s="115"/>
      <c r="V19" s="115"/>
      <c r="W19" s="115"/>
      <c r="AC19" s="165"/>
    </row>
    <row r="20" spans="1:29" x14ac:dyDescent="0.25">
      <c r="D20" s="115"/>
      <c r="E20" s="115"/>
      <c r="F20" s="120"/>
      <c r="G20" s="120"/>
      <c r="H20" s="120"/>
      <c r="I20" s="120"/>
      <c r="J20" s="120"/>
      <c r="K20" s="120"/>
      <c r="L20" s="120"/>
      <c r="M20" s="120"/>
      <c r="N20" s="120"/>
      <c r="O20" s="120"/>
      <c r="P20" s="120"/>
      <c r="Q20" s="120"/>
      <c r="R20" s="120"/>
      <c r="S20" s="115"/>
      <c r="T20" s="115"/>
      <c r="U20" s="115"/>
      <c r="V20" s="115"/>
      <c r="W20" s="115"/>
      <c r="AC20" s="165"/>
    </row>
    <row r="21" spans="1:29" x14ac:dyDescent="0.25">
      <c r="D21" s="115"/>
      <c r="E21" s="115"/>
      <c r="F21" s="120"/>
      <c r="G21" s="120"/>
      <c r="H21" s="120"/>
      <c r="I21" s="120"/>
      <c r="J21" s="120"/>
      <c r="K21" s="120"/>
      <c r="L21" s="120"/>
      <c r="M21" s="120"/>
      <c r="N21" s="120"/>
      <c r="O21" s="120"/>
      <c r="P21" s="120"/>
      <c r="Q21" s="120"/>
      <c r="R21" s="120"/>
      <c r="S21" s="115"/>
      <c r="T21" s="115"/>
      <c r="U21" s="115"/>
      <c r="V21" s="115"/>
      <c r="W21" s="115"/>
      <c r="AC21" s="165"/>
    </row>
    <row r="22" spans="1:29" x14ac:dyDescent="0.25">
      <c r="D22" s="115"/>
      <c r="E22" s="115"/>
      <c r="F22" s="115"/>
      <c r="G22" s="115"/>
      <c r="H22" s="115"/>
      <c r="I22" s="115"/>
      <c r="J22" s="115"/>
      <c r="K22" s="115"/>
      <c r="L22" s="115"/>
      <c r="M22" s="115"/>
      <c r="N22" s="115"/>
      <c r="O22" s="115"/>
      <c r="P22" s="115"/>
      <c r="Q22" s="115"/>
      <c r="R22" s="115"/>
      <c r="S22" s="115"/>
      <c r="T22" s="115"/>
      <c r="U22" s="115"/>
      <c r="V22" s="115"/>
      <c r="W22" s="115"/>
      <c r="AC22" s="165"/>
    </row>
    <row r="23" spans="1:29" x14ac:dyDescent="0.25">
      <c r="D23" s="115"/>
      <c r="E23" s="115"/>
      <c r="F23" s="115"/>
      <c r="G23" s="115"/>
      <c r="H23" s="115"/>
      <c r="I23" s="115"/>
      <c r="J23" s="115"/>
      <c r="K23" s="115"/>
      <c r="L23" s="115"/>
      <c r="M23" s="115"/>
      <c r="N23" s="115"/>
      <c r="O23" s="115"/>
      <c r="P23" s="115"/>
      <c r="Q23" s="115"/>
      <c r="R23" s="115"/>
      <c r="S23" s="115"/>
      <c r="T23" s="115"/>
      <c r="U23" s="115"/>
      <c r="V23" s="115"/>
      <c r="W23" s="115"/>
      <c r="AC23" s="165"/>
    </row>
    <row r="24" spans="1:29" x14ac:dyDescent="0.25">
      <c r="D24" s="115"/>
      <c r="E24" s="115"/>
      <c r="F24" s="115"/>
      <c r="G24" s="115"/>
      <c r="H24" s="115"/>
      <c r="I24" s="115"/>
      <c r="J24" s="115"/>
      <c r="K24" s="115"/>
      <c r="L24" s="115"/>
      <c r="M24" s="115"/>
      <c r="N24" s="115"/>
      <c r="O24" s="115"/>
      <c r="P24" s="115"/>
      <c r="Q24" s="115"/>
      <c r="R24" s="115"/>
      <c r="S24" s="115"/>
      <c r="T24" s="115"/>
      <c r="U24" s="115"/>
      <c r="V24" s="115"/>
      <c r="W24" s="115"/>
      <c r="AC24" s="165"/>
    </row>
    <row r="25" spans="1:29" x14ac:dyDescent="0.25">
      <c r="D25" s="115"/>
      <c r="E25" s="115"/>
      <c r="F25" s="115"/>
      <c r="G25" s="115"/>
      <c r="H25" s="115"/>
      <c r="I25" s="115"/>
      <c r="J25" s="115"/>
      <c r="K25" s="115"/>
      <c r="L25" s="115"/>
      <c r="M25" s="115"/>
      <c r="N25" s="115"/>
      <c r="O25" s="115"/>
      <c r="P25" s="115"/>
      <c r="Q25" s="115"/>
      <c r="R25" s="115"/>
      <c r="S25" s="115"/>
      <c r="T25" s="115"/>
      <c r="U25" s="115"/>
      <c r="V25" s="115"/>
      <c r="W25" s="115"/>
      <c r="AC25" s="165"/>
    </row>
    <row r="26" spans="1:29" x14ac:dyDescent="0.25">
      <c r="D26" s="115"/>
      <c r="E26" s="115"/>
      <c r="F26" s="115"/>
      <c r="G26" s="115"/>
      <c r="H26" s="115"/>
      <c r="I26" s="115"/>
      <c r="J26" s="115"/>
      <c r="K26" s="115"/>
      <c r="L26" s="115"/>
      <c r="M26" s="115"/>
      <c r="N26" s="115"/>
      <c r="O26" s="115"/>
      <c r="P26" s="115"/>
      <c r="Q26" s="115"/>
      <c r="R26" s="115"/>
      <c r="S26" s="115"/>
      <c r="T26" s="115"/>
      <c r="U26" s="115"/>
      <c r="V26" s="115"/>
      <c r="W26" s="115"/>
      <c r="AC26" s="165"/>
    </row>
    <row r="27" spans="1:29" x14ac:dyDescent="0.25">
      <c r="D27" s="115"/>
      <c r="E27" s="115"/>
      <c r="F27" s="115"/>
      <c r="G27" s="115"/>
      <c r="H27" s="115"/>
      <c r="I27" s="115"/>
      <c r="J27" s="115"/>
      <c r="K27" s="115"/>
      <c r="L27" s="115"/>
      <c r="M27" s="115"/>
      <c r="N27" s="115"/>
      <c r="O27" s="115"/>
      <c r="P27" s="115"/>
      <c r="Q27" s="115"/>
      <c r="R27" s="115"/>
      <c r="S27" s="115"/>
      <c r="T27" s="115"/>
      <c r="U27" s="115"/>
      <c r="V27" s="115"/>
      <c r="W27" s="115"/>
      <c r="AC27" s="165"/>
    </row>
    <row r="28" spans="1:29" x14ac:dyDescent="0.25">
      <c r="D28" s="115"/>
      <c r="E28" s="115"/>
      <c r="F28" s="115"/>
      <c r="G28" s="115"/>
      <c r="H28" s="115"/>
      <c r="I28" s="115"/>
      <c r="J28" s="115"/>
      <c r="K28" s="115"/>
      <c r="L28" s="115"/>
      <c r="M28" s="115"/>
      <c r="N28" s="115"/>
      <c r="O28" s="115"/>
      <c r="P28" s="115"/>
      <c r="Q28" s="115"/>
      <c r="R28" s="115"/>
      <c r="S28" s="115"/>
      <c r="T28" s="115"/>
      <c r="U28" s="115"/>
      <c r="V28" s="115"/>
      <c r="W28" s="115"/>
      <c r="AC28" s="165"/>
    </row>
    <row r="29" spans="1:29" x14ac:dyDescent="0.25">
      <c r="D29" s="115"/>
      <c r="E29" s="115"/>
      <c r="F29" s="115"/>
      <c r="G29" s="115"/>
      <c r="H29" s="115"/>
      <c r="I29" s="115"/>
      <c r="J29" s="115"/>
      <c r="K29" s="115"/>
      <c r="L29" s="115"/>
      <c r="M29" s="115"/>
      <c r="N29" s="115"/>
      <c r="O29" s="115"/>
      <c r="P29" s="115"/>
      <c r="Q29" s="115"/>
      <c r="R29" s="115"/>
      <c r="S29" s="115"/>
      <c r="T29" s="115"/>
      <c r="U29" s="115"/>
      <c r="V29" s="115"/>
      <c r="W29" s="115"/>
      <c r="AC29" s="165"/>
    </row>
    <row r="30" spans="1:29" x14ac:dyDescent="0.25">
      <c r="D30" s="115"/>
      <c r="E30" s="115"/>
      <c r="F30" s="115"/>
      <c r="G30" s="115"/>
      <c r="H30" s="115"/>
      <c r="I30" s="115"/>
      <c r="J30" s="115"/>
      <c r="K30" s="115"/>
      <c r="L30" s="115"/>
      <c r="M30" s="115"/>
      <c r="N30" s="115"/>
      <c r="O30" s="115"/>
      <c r="P30" s="115"/>
      <c r="Q30" s="115"/>
      <c r="R30" s="115"/>
      <c r="S30" s="115"/>
      <c r="T30" s="115"/>
      <c r="U30" s="115"/>
      <c r="V30" s="115"/>
      <c r="W30" s="115"/>
      <c r="AC30" s="165"/>
    </row>
    <row r="31" spans="1:29" ht="12.75" customHeight="1" x14ac:dyDescent="0.25">
      <c r="A31" s="116">
        <v>6</v>
      </c>
      <c r="B31" s="117" t="s">
        <v>29</v>
      </c>
      <c r="C31" s="116"/>
      <c r="D31" s="4072" t="s">
        <v>147</v>
      </c>
      <c r="E31" s="4073"/>
      <c r="F31" s="4073"/>
      <c r="G31" s="4073"/>
      <c r="H31" s="4073"/>
      <c r="I31" s="4073"/>
      <c r="J31" s="4073"/>
      <c r="K31" s="4073"/>
      <c r="L31" s="4073"/>
      <c r="M31" s="4073"/>
      <c r="N31" s="4073"/>
      <c r="O31" s="4073"/>
      <c r="P31" s="4073"/>
      <c r="Q31" s="4073"/>
      <c r="R31" s="4073"/>
      <c r="S31" s="4073"/>
      <c r="T31" s="4073"/>
      <c r="U31" s="4073"/>
      <c r="V31" s="4073"/>
      <c r="W31" s="4073"/>
      <c r="X31" s="4073"/>
      <c r="Y31" s="4073"/>
      <c r="Z31" s="4073"/>
      <c r="AA31" s="4074"/>
      <c r="AB31" s="229"/>
      <c r="AC31" s="165"/>
    </row>
    <row r="32" spans="1:29" ht="14.25" customHeight="1" x14ac:dyDescent="0.25">
      <c r="A32" s="143">
        <v>7</v>
      </c>
      <c r="B32" s="144" t="s">
        <v>32</v>
      </c>
      <c r="C32" s="143"/>
      <c r="D32" s="4078" t="s">
        <v>148</v>
      </c>
      <c r="E32" s="4079"/>
      <c r="F32" s="4079"/>
      <c r="G32" s="4079"/>
      <c r="H32" s="4079"/>
      <c r="I32" s="4079"/>
      <c r="J32" s="4079"/>
      <c r="K32" s="4079"/>
      <c r="L32" s="4079"/>
      <c r="M32" s="4079"/>
      <c r="N32" s="4079"/>
      <c r="O32" s="4079"/>
      <c r="P32" s="4079"/>
      <c r="Q32" s="4079"/>
      <c r="R32" s="4079"/>
      <c r="S32" s="4079"/>
      <c r="T32" s="4079"/>
      <c r="U32" s="4079"/>
      <c r="V32" s="4079"/>
      <c r="W32" s="4079"/>
      <c r="X32" s="4079"/>
      <c r="Y32" s="4079"/>
      <c r="Z32" s="4079"/>
      <c r="AA32" s="4080"/>
      <c r="AB32" s="230"/>
      <c r="AC32" s="165"/>
    </row>
    <row r="33" spans="1:30" ht="12.75" customHeight="1" x14ac:dyDescent="0.25">
      <c r="A33" s="116">
        <v>8</v>
      </c>
      <c r="B33" s="117" t="s">
        <v>31</v>
      </c>
      <c r="C33" s="116"/>
      <c r="D33" s="4072" t="s">
        <v>149</v>
      </c>
      <c r="E33" s="4073"/>
      <c r="F33" s="4073"/>
      <c r="G33" s="4073"/>
      <c r="H33" s="4073"/>
      <c r="I33" s="4073"/>
      <c r="J33" s="4073"/>
      <c r="K33" s="4073"/>
      <c r="L33" s="4073"/>
      <c r="M33" s="4073"/>
      <c r="N33" s="4073"/>
      <c r="O33" s="4073"/>
      <c r="P33" s="4073"/>
      <c r="Q33" s="4073"/>
      <c r="R33" s="4073"/>
      <c r="S33" s="4073"/>
      <c r="T33" s="4073"/>
      <c r="U33" s="4073"/>
      <c r="V33" s="4073"/>
      <c r="W33" s="4073"/>
      <c r="X33" s="4073"/>
      <c r="Y33" s="4073"/>
      <c r="Z33" s="4073"/>
      <c r="AA33" s="4074"/>
      <c r="AB33" s="229"/>
    </row>
    <row r="34" spans="1:30" x14ac:dyDescent="0.25">
      <c r="AB34" s="145"/>
    </row>
    <row r="35" spans="1:30" x14ac:dyDescent="0.25">
      <c r="F35" s="231"/>
      <c r="G35" s="231"/>
      <c r="H35" s="231"/>
      <c r="I35" s="232"/>
      <c r="J35" s="232"/>
      <c r="K35" s="232"/>
      <c r="L35" s="232"/>
      <c r="M35" s="232"/>
      <c r="N35" s="232"/>
      <c r="O35" s="232"/>
      <c r="P35" s="233"/>
      <c r="Q35" s="233"/>
      <c r="R35" s="233"/>
      <c r="S35" s="233"/>
      <c r="T35" s="234"/>
      <c r="U35" s="234"/>
      <c r="V35" s="234"/>
      <c r="W35" s="234"/>
      <c r="X35" s="234"/>
      <c r="Y35" s="224"/>
      <c r="Z35" s="224"/>
      <c r="AA35" s="224"/>
      <c r="AB35" s="224"/>
      <c r="AC35" s="224"/>
    </row>
    <row r="36" spans="1:30" x14ac:dyDescent="0.25">
      <c r="F36" s="235"/>
      <c r="G36" s="235"/>
      <c r="H36" s="235"/>
      <c r="I36" s="235"/>
      <c r="J36" s="235"/>
      <c r="K36" s="235"/>
      <c r="L36" s="235"/>
      <c r="M36" s="235"/>
      <c r="N36" s="235"/>
      <c r="O36" s="235"/>
      <c r="P36" s="165"/>
      <c r="Q36" s="165"/>
      <c r="R36" s="165"/>
      <c r="S36" s="235"/>
      <c r="T36" s="235"/>
      <c r="U36" s="235"/>
      <c r="V36" s="165"/>
      <c r="W36" s="165"/>
      <c r="X36" s="235"/>
      <c r="Y36" s="235"/>
      <c r="Z36" s="235"/>
      <c r="AA36" s="235"/>
      <c r="AB36" s="235"/>
      <c r="AC36" s="235"/>
      <c r="AD36" s="235"/>
    </row>
    <row r="37" spans="1:30" x14ac:dyDescent="0.25">
      <c r="D37" s="52"/>
      <c r="E37" s="52"/>
      <c r="F37" s="236"/>
      <c r="G37" s="236"/>
      <c r="H37" s="236">
        <v>-4.5999999999999996</v>
      </c>
      <c r="I37" s="236">
        <v>-4.7</v>
      </c>
      <c r="J37" s="236">
        <v>-4.8</v>
      </c>
      <c r="K37" s="236">
        <v>-4.5</v>
      </c>
      <c r="L37" s="236">
        <v>-3.2</v>
      </c>
      <c r="M37" s="237">
        <v>-2.1</v>
      </c>
      <c r="N37" s="237">
        <v>-1.9</v>
      </c>
      <c r="O37" s="237">
        <v>-0.7</v>
      </c>
      <c r="P37" s="237">
        <v>-0.7</v>
      </c>
      <c r="Q37" s="238">
        <v>-2.4</v>
      </c>
      <c r="R37" s="238">
        <v>-1.9</v>
      </c>
      <c r="S37" s="238">
        <v>-0.5</v>
      </c>
      <c r="T37" s="238">
        <v>0.3</v>
      </c>
      <c r="U37" s="238">
        <v>0.7</v>
      </c>
      <c r="V37" s="238">
        <v>-0.4</v>
      </c>
      <c r="W37" s="238">
        <v>-4.5999999999999996</v>
      </c>
      <c r="X37" s="44">
        <v>-4.5999999999999996</v>
      </c>
      <c r="Y37" s="44">
        <v>-4</v>
      </c>
      <c r="Z37" s="44">
        <v>-5.0999999999999996</v>
      </c>
      <c r="AA37" s="44">
        <v>-4.5999999999999996</v>
      </c>
      <c r="AB37" s="44">
        <v>-4.5999999999999996</v>
      </c>
    </row>
    <row r="38" spans="1:30" x14ac:dyDescent="0.25">
      <c r="D38" s="239"/>
      <c r="E38" s="239"/>
      <c r="F38" s="64"/>
      <c r="G38" s="64"/>
      <c r="H38" s="64"/>
      <c r="I38" s="64"/>
      <c r="J38" s="64"/>
      <c r="K38" s="64"/>
      <c r="L38" s="64"/>
      <c r="M38" s="64"/>
      <c r="N38" s="64"/>
      <c r="O38" s="64"/>
      <c r="P38" s="64"/>
      <c r="Q38" s="64"/>
      <c r="R38" s="64"/>
      <c r="S38" s="240"/>
      <c r="T38" s="240"/>
      <c r="U38" s="240"/>
      <c r="V38" s="240"/>
      <c r="W38" s="240"/>
    </row>
    <row r="39" spans="1:30" x14ac:dyDescent="0.25">
      <c r="F39" s="241"/>
    </row>
    <row r="60" spans="29:29" x14ac:dyDescent="0.25">
      <c r="AC60" s="44" t="s">
        <v>97</v>
      </c>
    </row>
  </sheetData>
  <mergeCells count="7">
    <mergeCell ref="D33:AA33"/>
    <mergeCell ref="D2:AB2"/>
    <mergeCell ref="D3:AB3"/>
    <mergeCell ref="D4:AB4"/>
    <mergeCell ref="D5:AB5"/>
    <mergeCell ref="D31:AA31"/>
    <mergeCell ref="D32:AA32"/>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2:CT65"/>
  <sheetViews>
    <sheetView showGridLines="0" view="pageBreakPreview" zoomScale="90" zoomScaleNormal="100" zoomScaleSheetLayoutView="90" workbookViewId="0">
      <selection activeCell="I44" sqref="I44"/>
    </sheetView>
  </sheetViews>
  <sheetFormatPr defaultRowHeight="15" x14ac:dyDescent="0.2"/>
  <cols>
    <col min="1" max="1" width="3.7109375" style="2358" customWidth="1"/>
    <col min="2" max="2" width="14.42578125" style="2355" customWidth="1"/>
    <col min="3" max="3" width="9" style="2355" bestFit="1" customWidth="1"/>
    <col min="4" max="4" width="23.42578125" style="2421" customWidth="1"/>
    <col min="5" max="5" width="10.7109375" style="2421" bestFit="1" customWidth="1"/>
    <col min="6" max="6" width="9.5703125" style="2421" customWidth="1"/>
    <col min="7" max="7" width="8.85546875" style="2421" customWidth="1"/>
    <col min="8" max="8" width="8.7109375" style="2421" customWidth="1"/>
    <col min="9" max="9" width="9.140625" style="2421" customWidth="1"/>
    <col min="10" max="10" width="9.28515625" style="2421" bestFit="1" customWidth="1"/>
    <col min="11" max="11" width="9.140625" style="2421" customWidth="1"/>
    <col min="12" max="12" width="7.85546875" style="2421" customWidth="1"/>
    <col min="13" max="13" width="8.28515625" style="2421" customWidth="1"/>
    <col min="14" max="14" width="8.140625" style="2421" customWidth="1"/>
    <col min="15" max="15" width="8.28515625" style="2421" customWidth="1"/>
    <col min="16" max="16" width="8" style="2421" customWidth="1"/>
    <col min="17" max="17" width="8.140625" style="2718" customWidth="1"/>
    <col min="18" max="18" width="7.42578125" style="2421" customWidth="1"/>
    <col min="19" max="19" width="7.7109375" style="2421" customWidth="1"/>
    <col min="20" max="20" width="8.7109375" style="2421" customWidth="1"/>
    <col min="21" max="257" width="9.140625" style="2421"/>
    <col min="258" max="258" width="3.7109375" style="2421" customWidth="1"/>
    <col min="259" max="259" width="14.42578125" style="2421" customWidth="1"/>
    <col min="260" max="260" width="9" style="2421" bestFit="1" customWidth="1"/>
    <col min="261" max="261" width="23.42578125" style="2421" customWidth="1"/>
    <col min="262" max="266" width="10.7109375" style="2421" bestFit="1" customWidth="1"/>
    <col min="267" max="267" width="9.28515625" style="2421" bestFit="1" customWidth="1"/>
    <col min="268" max="271" width="9.28515625" style="2421" customWidth="1"/>
    <col min="272" max="513" width="9.140625" style="2421"/>
    <col min="514" max="514" width="3.7109375" style="2421" customWidth="1"/>
    <col min="515" max="515" width="14.42578125" style="2421" customWidth="1"/>
    <col min="516" max="516" width="9" style="2421" bestFit="1" customWidth="1"/>
    <col min="517" max="517" width="23.42578125" style="2421" customWidth="1"/>
    <col min="518" max="522" width="10.7109375" style="2421" bestFit="1" customWidth="1"/>
    <col min="523" max="523" width="9.28515625" style="2421" bestFit="1" customWidth="1"/>
    <col min="524" max="527" width="9.28515625" style="2421" customWidth="1"/>
    <col min="528" max="769" width="9.140625" style="2421"/>
    <col min="770" max="770" width="3.7109375" style="2421" customWidth="1"/>
    <col min="771" max="771" width="14.42578125" style="2421" customWidth="1"/>
    <col min="772" max="772" width="9" style="2421" bestFit="1" customWidth="1"/>
    <col min="773" max="773" width="23.42578125" style="2421" customWidth="1"/>
    <col min="774" max="778" width="10.7109375" style="2421" bestFit="1" customWidth="1"/>
    <col min="779" max="779" width="9.28515625" style="2421" bestFit="1" customWidth="1"/>
    <col min="780" max="783" width="9.28515625" style="2421" customWidth="1"/>
    <col min="784" max="1025" width="9.140625" style="2421"/>
    <col min="1026" max="1026" width="3.7109375" style="2421" customWidth="1"/>
    <col min="1027" max="1027" width="14.42578125" style="2421" customWidth="1"/>
    <col min="1028" max="1028" width="9" style="2421" bestFit="1" customWidth="1"/>
    <col min="1029" max="1029" width="23.42578125" style="2421" customWidth="1"/>
    <col min="1030" max="1034" width="10.7109375" style="2421" bestFit="1" customWidth="1"/>
    <col min="1035" max="1035" width="9.28515625" style="2421" bestFit="1" customWidth="1"/>
    <col min="1036" max="1039" width="9.28515625" style="2421" customWidth="1"/>
    <col min="1040" max="1281" width="9.140625" style="2421"/>
    <col min="1282" max="1282" width="3.7109375" style="2421" customWidth="1"/>
    <col min="1283" max="1283" width="14.42578125" style="2421" customWidth="1"/>
    <col min="1284" max="1284" width="9" style="2421" bestFit="1" customWidth="1"/>
    <col min="1285" max="1285" width="23.42578125" style="2421" customWidth="1"/>
    <col min="1286" max="1290" width="10.7109375" style="2421" bestFit="1" customWidth="1"/>
    <col min="1291" max="1291" width="9.28515625" style="2421" bestFit="1" customWidth="1"/>
    <col min="1292" max="1295" width="9.28515625" style="2421" customWidth="1"/>
    <col min="1296" max="1537" width="9.140625" style="2421"/>
    <col min="1538" max="1538" width="3.7109375" style="2421" customWidth="1"/>
    <col min="1539" max="1539" width="14.42578125" style="2421" customWidth="1"/>
    <col min="1540" max="1540" width="9" style="2421" bestFit="1" customWidth="1"/>
    <col min="1541" max="1541" width="23.42578125" style="2421" customWidth="1"/>
    <col min="1542" max="1546" width="10.7109375" style="2421" bestFit="1" customWidth="1"/>
    <col min="1547" max="1547" width="9.28515625" style="2421" bestFit="1" customWidth="1"/>
    <col min="1548" max="1551" width="9.28515625" style="2421" customWidth="1"/>
    <col min="1552" max="1793" width="9.140625" style="2421"/>
    <col min="1794" max="1794" width="3.7109375" style="2421" customWidth="1"/>
    <col min="1795" max="1795" width="14.42578125" style="2421" customWidth="1"/>
    <col min="1796" max="1796" width="9" style="2421" bestFit="1" customWidth="1"/>
    <col min="1797" max="1797" width="23.42578125" style="2421" customWidth="1"/>
    <col min="1798" max="1802" width="10.7109375" style="2421" bestFit="1" customWidth="1"/>
    <col min="1803" max="1803" width="9.28515625" style="2421" bestFit="1" customWidth="1"/>
    <col min="1804" max="1807" width="9.28515625" style="2421" customWidth="1"/>
    <col min="1808" max="2049" width="9.140625" style="2421"/>
    <col min="2050" max="2050" width="3.7109375" style="2421" customWidth="1"/>
    <col min="2051" max="2051" width="14.42578125" style="2421" customWidth="1"/>
    <col min="2052" max="2052" width="9" style="2421" bestFit="1" customWidth="1"/>
    <col min="2053" max="2053" width="23.42578125" style="2421" customWidth="1"/>
    <col min="2054" max="2058" width="10.7109375" style="2421" bestFit="1" customWidth="1"/>
    <col min="2059" max="2059" width="9.28515625" style="2421" bestFit="1" customWidth="1"/>
    <col min="2060" max="2063" width="9.28515625" style="2421" customWidth="1"/>
    <col min="2064" max="2305" width="9.140625" style="2421"/>
    <col min="2306" max="2306" width="3.7109375" style="2421" customWidth="1"/>
    <col min="2307" max="2307" width="14.42578125" style="2421" customWidth="1"/>
    <col min="2308" max="2308" width="9" style="2421" bestFit="1" customWidth="1"/>
    <col min="2309" max="2309" width="23.42578125" style="2421" customWidth="1"/>
    <col min="2310" max="2314" width="10.7109375" style="2421" bestFit="1" customWidth="1"/>
    <col min="2315" max="2315" width="9.28515625" style="2421" bestFit="1" customWidth="1"/>
    <col min="2316" max="2319" width="9.28515625" style="2421" customWidth="1"/>
    <col min="2320" max="2561" width="9.140625" style="2421"/>
    <col min="2562" max="2562" width="3.7109375" style="2421" customWidth="1"/>
    <col min="2563" max="2563" width="14.42578125" style="2421" customWidth="1"/>
    <col min="2564" max="2564" width="9" style="2421" bestFit="1" customWidth="1"/>
    <col min="2565" max="2565" width="23.42578125" style="2421" customWidth="1"/>
    <col min="2566" max="2570" width="10.7109375" style="2421" bestFit="1" customWidth="1"/>
    <col min="2571" max="2571" width="9.28515625" style="2421" bestFit="1" customWidth="1"/>
    <col min="2572" max="2575" width="9.28515625" style="2421" customWidth="1"/>
    <col min="2576" max="2817" width="9.140625" style="2421"/>
    <col min="2818" max="2818" width="3.7109375" style="2421" customWidth="1"/>
    <col min="2819" max="2819" width="14.42578125" style="2421" customWidth="1"/>
    <col min="2820" max="2820" width="9" style="2421" bestFit="1" customWidth="1"/>
    <col min="2821" max="2821" width="23.42578125" style="2421" customWidth="1"/>
    <col min="2822" max="2826" width="10.7109375" style="2421" bestFit="1" customWidth="1"/>
    <col min="2827" max="2827" width="9.28515625" style="2421" bestFit="1" customWidth="1"/>
    <col min="2828" max="2831" width="9.28515625" style="2421" customWidth="1"/>
    <col min="2832" max="3073" width="9.140625" style="2421"/>
    <col min="3074" max="3074" width="3.7109375" style="2421" customWidth="1"/>
    <col min="3075" max="3075" width="14.42578125" style="2421" customWidth="1"/>
    <col min="3076" max="3076" width="9" style="2421" bestFit="1" customWidth="1"/>
    <col min="3077" max="3077" width="23.42578125" style="2421" customWidth="1"/>
    <col min="3078" max="3082" width="10.7109375" style="2421" bestFit="1" customWidth="1"/>
    <col min="3083" max="3083" width="9.28515625" style="2421" bestFit="1" customWidth="1"/>
    <col min="3084" max="3087" width="9.28515625" style="2421" customWidth="1"/>
    <col min="3088" max="3329" width="9.140625" style="2421"/>
    <col min="3330" max="3330" width="3.7109375" style="2421" customWidth="1"/>
    <col min="3331" max="3331" width="14.42578125" style="2421" customWidth="1"/>
    <col min="3332" max="3332" width="9" style="2421" bestFit="1" customWidth="1"/>
    <col min="3333" max="3333" width="23.42578125" style="2421" customWidth="1"/>
    <col min="3334" max="3338" width="10.7109375" style="2421" bestFit="1" customWidth="1"/>
    <col min="3339" max="3339" width="9.28515625" style="2421" bestFit="1" customWidth="1"/>
    <col min="3340" max="3343" width="9.28515625" style="2421" customWidth="1"/>
    <col min="3344" max="3585" width="9.140625" style="2421"/>
    <col min="3586" max="3586" width="3.7109375" style="2421" customWidth="1"/>
    <col min="3587" max="3587" width="14.42578125" style="2421" customWidth="1"/>
    <col min="3588" max="3588" width="9" style="2421" bestFit="1" customWidth="1"/>
    <col min="3589" max="3589" width="23.42578125" style="2421" customWidth="1"/>
    <col min="3590" max="3594" width="10.7109375" style="2421" bestFit="1" customWidth="1"/>
    <col min="3595" max="3595" width="9.28515625" style="2421" bestFit="1" customWidth="1"/>
    <col min="3596" max="3599" width="9.28515625" style="2421" customWidth="1"/>
    <col min="3600" max="3841" width="9.140625" style="2421"/>
    <col min="3842" max="3842" width="3.7109375" style="2421" customWidth="1"/>
    <col min="3843" max="3843" width="14.42578125" style="2421" customWidth="1"/>
    <col min="3844" max="3844" width="9" style="2421" bestFit="1" customWidth="1"/>
    <col min="3845" max="3845" width="23.42578125" style="2421" customWidth="1"/>
    <col min="3846" max="3850" width="10.7109375" style="2421" bestFit="1" customWidth="1"/>
    <col min="3851" max="3851" width="9.28515625" style="2421" bestFit="1" customWidth="1"/>
    <col min="3852" max="3855" width="9.28515625" style="2421" customWidth="1"/>
    <col min="3856" max="4097" width="9.140625" style="2421"/>
    <col min="4098" max="4098" width="3.7109375" style="2421" customWidth="1"/>
    <col min="4099" max="4099" width="14.42578125" style="2421" customWidth="1"/>
    <col min="4100" max="4100" width="9" style="2421" bestFit="1" customWidth="1"/>
    <col min="4101" max="4101" width="23.42578125" style="2421" customWidth="1"/>
    <col min="4102" max="4106" width="10.7109375" style="2421" bestFit="1" customWidth="1"/>
    <col min="4107" max="4107" width="9.28515625" style="2421" bestFit="1" customWidth="1"/>
    <col min="4108" max="4111" width="9.28515625" style="2421" customWidth="1"/>
    <col min="4112" max="4353" width="9.140625" style="2421"/>
    <col min="4354" max="4354" width="3.7109375" style="2421" customWidth="1"/>
    <col min="4355" max="4355" width="14.42578125" style="2421" customWidth="1"/>
    <col min="4356" max="4356" width="9" style="2421" bestFit="1" customWidth="1"/>
    <col min="4357" max="4357" width="23.42578125" style="2421" customWidth="1"/>
    <col min="4358" max="4362" width="10.7109375" style="2421" bestFit="1" customWidth="1"/>
    <col min="4363" max="4363" width="9.28515625" style="2421" bestFit="1" customWidth="1"/>
    <col min="4364" max="4367" width="9.28515625" style="2421" customWidth="1"/>
    <col min="4368" max="4609" width="9.140625" style="2421"/>
    <col min="4610" max="4610" width="3.7109375" style="2421" customWidth="1"/>
    <col min="4611" max="4611" width="14.42578125" style="2421" customWidth="1"/>
    <col min="4612" max="4612" width="9" style="2421" bestFit="1" customWidth="1"/>
    <col min="4613" max="4613" width="23.42578125" style="2421" customWidth="1"/>
    <col min="4614" max="4618" width="10.7109375" style="2421" bestFit="1" customWidth="1"/>
    <col min="4619" max="4619" width="9.28515625" style="2421" bestFit="1" customWidth="1"/>
    <col min="4620" max="4623" width="9.28515625" style="2421" customWidth="1"/>
    <col min="4624" max="4865" width="9.140625" style="2421"/>
    <col min="4866" max="4866" width="3.7109375" style="2421" customWidth="1"/>
    <col min="4867" max="4867" width="14.42578125" style="2421" customWidth="1"/>
    <col min="4868" max="4868" width="9" style="2421" bestFit="1" customWidth="1"/>
    <col min="4869" max="4869" width="23.42578125" style="2421" customWidth="1"/>
    <col min="4870" max="4874" width="10.7109375" style="2421" bestFit="1" customWidth="1"/>
    <col min="4875" max="4875" width="9.28515625" style="2421" bestFit="1" customWidth="1"/>
    <col min="4876" max="4879" width="9.28515625" style="2421" customWidth="1"/>
    <col min="4880" max="5121" width="9.140625" style="2421"/>
    <col min="5122" max="5122" width="3.7109375" style="2421" customWidth="1"/>
    <col min="5123" max="5123" width="14.42578125" style="2421" customWidth="1"/>
    <col min="5124" max="5124" width="9" style="2421" bestFit="1" customWidth="1"/>
    <col min="5125" max="5125" width="23.42578125" style="2421" customWidth="1"/>
    <col min="5126" max="5130" width="10.7109375" style="2421" bestFit="1" customWidth="1"/>
    <col min="5131" max="5131" width="9.28515625" style="2421" bestFit="1" customWidth="1"/>
    <col min="5132" max="5135" width="9.28515625" style="2421" customWidth="1"/>
    <col min="5136" max="5377" width="9.140625" style="2421"/>
    <col min="5378" max="5378" width="3.7109375" style="2421" customWidth="1"/>
    <col min="5379" max="5379" width="14.42578125" style="2421" customWidth="1"/>
    <col min="5380" max="5380" width="9" style="2421" bestFit="1" customWidth="1"/>
    <col min="5381" max="5381" width="23.42578125" style="2421" customWidth="1"/>
    <col min="5382" max="5386" width="10.7109375" style="2421" bestFit="1" customWidth="1"/>
    <col min="5387" max="5387" width="9.28515625" style="2421" bestFit="1" customWidth="1"/>
    <col min="5388" max="5391" width="9.28515625" style="2421" customWidth="1"/>
    <col min="5392" max="5633" width="9.140625" style="2421"/>
    <col min="5634" max="5634" width="3.7109375" style="2421" customWidth="1"/>
    <col min="5635" max="5635" width="14.42578125" style="2421" customWidth="1"/>
    <col min="5636" max="5636" width="9" style="2421" bestFit="1" customWidth="1"/>
    <col min="5637" max="5637" width="23.42578125" style="2421" customWidth="1"/>
    <col min="5638" max="5642" width="10.7109375" style="2421" bestFit="1" customWidth="1"/>
    <col min="5643" max="5643" width="9.28515625" style="2421" bestFit="1" customWidth="1"/>
    <col min="5644" max="5647" width="9.28515625" style="2421" customWidth="1"/>
    <col min="5648" max="5889" width="9.140625" style="2421"/>
    <col min="5890" max="5890" width="3.7109375" style="2421" customWidth="1"/>
    <col min="5891" max="5891" width="14.42578125" style="2421" customWidth="1"/>
    <col min="5892" max="5892" width="9" style="2421" bestFit="1" customWidth="1"/>
    <col min="5893" max="5893" width="23.42578125" style="2421" customWidth="1"/>
    <col min="5894" max="5898" width="10.7109375" style="2421" bestFit="1" customWidth="1"/>
    <col min="5899" max="5899" width="9.28515625" style="2421" bestFit="1" customWidth="1"/>
    <col min="5900" max="5903" width="9.28515625" style="2421" customWidth="1"/>
    <col min="5904" max="6145" width="9.140625" style="2421"/>
    <col min="6146" max="6146" width="3.7109375" style="2421" customWidth="1"/>
    <col min="6147" max="6147" width="14.42578125" style="2421" customWidth="1"/>
    <col min="6148" max="6148" width="9" style="2421" bestFit="1" customWidth="1"/>
    <col min="6149" max="6149" width="23.42578125" style="2421" customWidth="1"/>
    <col min="6150" max="6154" width="10.7109375" style="2421" bestFit="1" customWidth="1"/>
    <col min="6155" max="6155" width="9.28515625" style="2421" bestFit="1" customWidth="1"/>
    <col min="6156" max="6159" width="9.28515625" style="2421" customWidth="1"/>
    <col min="6160" max="6401" width="9.140625" style="2421"/>
    <col min="6402" max="6402" width="3.7109375" style="2421" customWidth="1"/>
    <col min="6403" max="6403" width="14.42578125" style="2421" customWidth="1"/>
    <col min="6404" max="6404" width="9" style="2421" bestFit="1" customWidth="1"/>
    <col min="6405" max="6405" width="23.42578125" style="2421" customWidth="1"/>
    <col min="6406" max="6410" width="10.7109375" style="2421" bestFit="1" customWidth="1"/>
    <col min="6411" max="6411" width="9.28515625" style="2421" bestFit="1" customWidth="1"/>
    <col min="6412" max="6415" width="9.28515625" style="2421" customWidth="1"/>
    <col min="6416" max="6657" width="9.140625" style="2421"/>
    <col min="6658" max="6658" width="3.7109375" style="2421" customWidth="1"/>
    <col min="6659" max="6659" width="14.42578125" style="2421" customWidth="1"/>
    <col min="6660" max="6660" width="9" style="2421" bestFit="1" customWidth="1"/>
    <col min="6661" max="6661" width="23.42578125" style="2421" customWidth="1"/>
    <col min="6662" max="6666" width="10.7109375" style="2421" bestFit="1" customWidth="1"/>
    <col min="6667" max="6667" width="9.28515625" style="2421" bestFit="1" customWidth="1"/>
    <col min="6668" max="6671" width="9.28515625" style="2421" customWidth="1"/>
    <col min="6672" max="6913" width="9.140625" style="2421"/>
    <col min="6914" max="6914" width="3.7109375" style="2421" customWidth="1"/>
    <col min="6915" max="6915" width="14.42578125" style="2421" customWidth="1"/>
    <col min="6916" max="6916" width="9" style="2421" bestFit="1" customWidth="1"/>
    <col min="6917" max="6917" width="23.42578125" style="2421" customWidth="1"/>
    <col min="6918" max="6922" width="10.7109375" style="2421" bestFit="1" customWidth="1"/>
    <col min="6923" max="6923" width="9.28515625" style="2421" bestFit="1" customWidth="1"/>
    <col min="6924" max="6927" width="9.28515625" style="2421" customWidth="1"/>
    <col min="6928" max="7169" width="9.140625" style="2421"/>
    <col min="7170" max="7170" width="3.7109375" style="2421" customWidth="1"/>
    <col min="7171" max="7171" width="14.42578125" style="2421" customWidth="1"/>
    <col min="7172" max="7172" width="9" style="2421" bestFit="1" customWidth="1"/>
    <col min="7173" max="7173" width="23.42578125" style="2421" customWidth="1"/>
    <col min="7174" max="7178" width="10.7109375" style="2421" bestFit="1" customWidth="1"/>
    <col min="7179" max="7179" width="9.28515625" style="2421" bestFit="1" customWidth="1"/>
    <col min="7180" max="7183" width="9.28515625" style="2421" customWidth="1"/>
    <col min="7184" max="7425" width="9.140625" style="2421"/>
    <col min="7426" max="7426" width="3.7109375" style="2421" customWidth="1"/>
    <col min="7427" max="7427" width="14.42578125" style="2421" customWidth="1"/>
    <col min="7428" max="7428" width="9" style="2421" bestFit="1" customWidth="1"/>
    <col min="7429" max="7429" width="23.42578125" style="2421" customWidth="1"/>
    <col min="7430" max="7434" width="10.7109375" style="2421" bestFit="1" customWidth="1"/>
    <col min="7435" max="7435" width="9.28515625" style="2421" bestFit="1" customWidth="1"/>
    <col min="7436" max="7439" width="9.28515625" style="2421" customWidth="1"/>
    <col min="7440" max="7681" width="9.140625" style="2421"/>
    <col min="7682" max="7682" width="3.7109375" style="2421" customWidth="1"/>
    <col min="7683" max="7683" width="14.42578125" style="2421" customWidth="1"/>
    <col min="7684" max="7684" width="9" style="2421" bestFit="1" customWidth="1"/>
    <col min="7685" max="7685" width="23.42578125" style="2421" customWidth="1"/>
    <col min="7686" max="7690" width="10.7109375" style="2421" bestFit="1" customWidth="1"/>
    <col min="7691" max="7691" width="9.28515625" style="2421" bestFit="1" customWidth="1"/>
    <col min="7692" max="7695" width="9.28515625" style="2421" customWidth="1"/>
    <col min="7696" max="7937" width="9.140625" style="2421"/>
    <col min="7938" max="7938" width="3.7109375" style="2421" customWidth="1"/>
    <col min="7939" max="7939" width="14.42578125" style="2421" customWidth="1"/>
    <col min="7940" max="7940" width="9" style="2421" bestFit="1" customWidth="1"/>
    <col min="7941" max="7941" width="23.42578125" style="2421" customWidth="1"/>
    <col min="7942" max="7946" width="10.7109375" style="2421" bestFit="1" customWidth="1"/>
    <col min="7947" max="7947" width="9.28515625" style="2421" bestFit="1" customWidth="1"/>
    <col min="7948" max="7951" width="9.28515625" style="2421" customWidth="1"/>
    <col min="7952" max="8193" width="9.140625" style="2421"/>
    <col min="8194" max="8194" width="3.7109375" style="2421" customWidth="1"/>
    <col min="8195" max="8195" width="14.42578125" style="2421" customWidth="1"/>
    <col min="8196" max="8196" width="9" style="2421" bestFit="1" customWidth="1"/>
    <col min="8197" max="8197" width="23.42578125" style="2421" customWidth="1"/>
    <col min="8198" max="8202" width="10.7109375" style="2421" bestFit="1" customWidth="1"/>
    <col min="8203" max="8203" width="9.28515625" style="2421" bestFit="1" customWidth="1"/>
    <col min="8204" max="8207" width="9.28515625" style="2421" customWidth="1"/>
    <col min="8208" max="8449" width="9.140625" style="2421"/>
    <col min="8450" max="8450" width="3.7109375" style="2421" customWidth="1"/>
    <col min="8451" max="8451" width="14.42578125" style="2421" customWidth="1"/>
    <col min="8452" max="8452" width="9" style="2421" bestFit="1" customWidth="1"/>
    <col min="8453" max="8453" width="23.42578125" style="2421" customWidth="1"/>
    <col min="8454" max="8458" width="10.7109375" style="2421" bestFit="1" customWidth="1"/>
    <col min="8459" max="8459" width="9.28515625" style="2421" bestFit="1" customWidth="1"/>
    <col min="8460" max="8463" width="9.28515625" style="2421" customWidth="1"/>
    <col min="8464" max="8705" width="9.140625" style="2421"/>
    <col min="8706" max="8706" width="3.7109375" style="2421" customWidth="1"/>
    <col min="8707" max="8707" width="14.42578125" style="2421" customWidth="1"/>
    <col min="8708" max="8708" width="9" style="2421" bestFit="1" customWidth="1"/>
    <col min="8709" max="8709" width="23.42578125" style="2421" customWidth="1"/>
    <col min="8710" max="8714" width="10.7109375" style="2421" bestFit="1" customWidth="1"/>
    <col min="8715" max="8715" width="9.28515625" style="2421" bestFit="1" customWidth="1"/>
    <col min="8716" max="8719" width="9.28515625" style="2421" customWidth="1"/>
    <col min="8720" max="8961" width="9.140625" style="2421"/>
    <col min="8962" max="8962" width="3.7109375" style="2421" customWidth="1"/>
    <col min="8963" max="8963" width="14.42578125" style="2421" customWidth="1"/>
    <col min="8964" max="8964" width="9" style="2421" bestFit="1" customWidth="1"/>
    <col min="8965" max="8965" width="23.42578125" style="2421" customWidth="1"/>
    <col min="8966" max="8970" width="10.7109375" style="2421" bestFit="1" customWidth="1"/>
    <col min="8971" max="8971" width="9.28515625" style="2421" bestFit="1" customWidth="1"/>
    <col min="8972" max="8975" width="9.28515625" style="2421" customWidth="1"/>
    <col min="8976" max="9217" width="9.140625" style="2421"/>
    <col min="9218" max="9218" width="3.7109375" style="2421" customWidth="1"/>
    <col min="9219" max="9219" width="14.42578125" style="2421" customWidth="1"/>
    <col min="9220" max="9220" width="9" style="2421" bestFit="1" customWidth="1"/>
    <col min="9221" max="9221" width="23.42578125" style="2421" customWidth="1"/>
    <col min="9222" max="9226" width="10.7109375" style="2421" bestFit="1" customWidth="1"/>
    <col min="9227" max="9227" width="9.28515625" style="2421" bestFit="1" customWidth="1"/>
    <col min="9228" max="9231" width="9.28515625" style="2421" customWidth="1"/>
    <col min="9232" max="9473" width="9.140625" style="2421"/>
    <col min="9474" max="9474" width="3.7109375" style="2421" customWidth="1"/>
    <col min="9475" max="9475" width="14.42578125" style="2421" customWidth="1"/>
    <col min="9476" max="9476" width="9" style="2421" bestFit="1" customWidth="1"/>
    <col min="9477" max="9477" width="23.42578125" style="2421" customWidth="1"/>
    <col min="9478" max="9482" width="10.7109375" style="2421" bestFit="1" customWidth="1"/>
    <col min="9483" max="9483" width="9.28515625" style="2421" bestFit="1" customWidth="1"/>
    <col min="9484" max="9487" width="9.28515625" style="2421" customWidth="1"/>
    <col min="9488" max="9729" width="9.140625" style="2421"/>
    <col min="9730" max="9730" width="3.7109375" style="2421" customWidth="1"/>
    <col min="9731" max="9731" width="14.42578125" style="2421" customWidth="1"/>
    <col min="9732" max="9732" width="9" style="2421" bestFit="1" customWidth="1"/>
    <col min="9733" max="9733" width="23.42578125" style="2421" customWidth="1"/>
    <col min="9734" max="9738" width="10.7109375" style="2421" bestFit="1" customWidth="1"/>
    <col min="9739" max="9739" width="9.28515625" style="2421" bestFit="1" customWidth="1"/>
    <col min="9740" max="9743" width="9.28515625" style="2421" customWidth="1"/>
    <col min="9744" max="9985" width="9.140625" style="2421"/>
    <col min="9986" max="9986" width="3.7109375" style="2421" customWidth="1"/>
    <col min="9987" max="9987" width="14.42578125" style="2421" customWidth="1"/>
    <col min="9988" max="9988" width="9" style="2421" bestFit="1" customWidth="1"/>
    <col min="9989" max="9989" width="23.42578125" style="2421" customWidth="1"/>
    <col min="9990" max="9994" width="10.7109375" style="2421" bestFit="1" customWidth="1"/>
    <col min="9995" max="9995" width="9.28515625" style="2421" bestFit="1" customWidth="1"/>
    <col min="9996" max="9999" width="9.28515625" style="2421" customWidth="1"/>
    <col min="10000" max="10241" width="9.140625" style="2421"/>
    <col min="10242" max="10242" width="3.7109375" style="2421" customWidth="1"/>
    <col min="10243" max="10243" width="14.42578125" style="2421" customWidth="1"/>
    <col min="10244" max="10244" width="9" style="2421" bestFit="1" customWidth="1"/>
    <col min="10245" max="10245" width="23.42578125" style="2421" customWidth="1"/>
    <col min="10246" max="10250" width="10.7109375" style="2421" bestFit="1" customWidth="1"/>
    <col min="10251" max="10251" width="9.28515625" style="2421" bestFit="1" customWidth="1"/>
    <col min="10252" max="10255" width="9.28515625" style="2421" customWidth="1"/>
    <col min="10256" max="10497" width="9.140625" style="2421"/>
    <col min="10498" max="10498" width="3.7109375" style="2421" customWidth="1"/>
    <col min="10499" max="10499" width="14.42578125" style="2421" customWidth="1"/>
    <col min="10500" max="10500" width="9" style="2421" bestFit="1" customWidth="1"/>
    <col min="10501" max="10501" width="23.42578125" style="2421" customWidth="1"/>
    <col min="10502" max="10506" width="10.7109375" style="2421" bestFit="1" customWidth="1"/>
    <col min="10507" max="10507" width="9.28515625" style="2421" bestFit="1" customWidth="1"/>
    <col min="10508" max="10511" width="9.28515625" style="2421" customWidth="1"/>
    <col min="10512" max="10753" width="9.140625" style="2421"/>
    <col min="10754" max="10754" width="3.7109375" style="2421" customWidth="1"/>
    <col min="10755" max="10755" width="14.42578125" style="2421" customWidth="1"/>
    <col min="10756" max="10756" width="9" style="2421" bestFit="1" customWidth="1"/>
    <col min="10757" max="10757" width="23.42578125" style="2421" customWidth="1"/>
    <col min="10758" max="10762" width="10.7109375" style="2421" bestFit="1" customWidth="1"/>
    <col min="10763" max="10763" width="9.28515625" style="2421" bestFit="1" customWidth="1"/>
    <col min="10764" max="10767" width="9.28515625" style="2421" customWidth="1"/>
    <col min="10768" max="11009" width="9.140625" style="2421"/>
    <col min="11010" max="11010" width="3.7109375" style="2421" customWidth="1"/>
    <col min="11011" max="11011" width="14.42578125" style="2421" customWidth="1"/>
    <col min="11012" max="11012" width="9" style="2421" bestFit="1" customWidth="1"/>
    <col min="11013" max="11013" width="23.42578125" style="2421" customWidth="1"/>
    <col min="11014" max="11018" width="10.7109375" style="2421" bestFit="1" customWidth="1"/>
    <col min="11019" max="11019" width="9.28515625" style="2421" bestFit="1" customWidth="1"/>
    <col min="11020" max="11023" width="9.28515625" style="2421" customWidth="1"/>
    <col min="11024" max="11265" width="9.140625" style="2421"/>
    <col min="11266" max="11266" width="3.7109375" style="2421" customWidth="1"/>
    <col min="11267" max="11267" width="14.42578125" style="2421" customWidth="1"/>
    <col min="11268" max="11268" width="9" style="2421" bestFit="1" customWidth="1"/>
    <col min="11269" max="11269" width="23.42578125" style="2421" customWidth="1"/>
    <col min="11270" max="11274" width="10.7109375" style="2421" bestFit="1" customWidth="1"/>
    <col min="11275" max="11275" width="9.28515625" style="2421" bestFit="1" customWidth="1"/>
    <col min="11276" max="11279" width="9.28515625" style="2421" customWidth="1"/>
    <col min="11280" max="11521" width="9.140625" style="2421"/>
    <col min="11522" max="11522" width="3.7109375" style="2421" customWidth="1"/>
    <col min="11523" max="11523" width="14.42578125" style="2421" customWidth="1"/>
    <col min="11524" max="11524" width="9" style="2421" bestFit="1" customWidth="1"/>
    <col min="11525" max="11525" width="23.42578125" style="2421" customWidth="1"/>
    <col min="11526" max="11530" width="10.7109375" style="2421" bestFit="1" customWidth="1"/>
    <col min="11531" max="11531" width="9.28515625" style="2421" bestFit="1" customWidth="1"/>
    <col min="11532" max="11535" width="9.28515625" style="2421" customWidth="1"/>
    <col min="11536" max="11777" width="9.140625" style="2421"/>
    <col min="11778" max="11778" width="3.7109375" style="2421" customWidth="1"/>
    <col min="11779" max="11779" width="14.42578125" style="2421" customWidth="1"/>
    <col min="11780" max="11780" width="9" style="2421" bestFit="1" customWidth="1"/>
    <col min="11781" max="11781" width="23.42578125" style="2421" customWidth="1"/>
    <col min="11782" max="11786" width="10.7109375" style="2421" bestFit="1" customWidth="1"/>
    <col min="11787" max="11787" width="9.28515625" style="2421" bestFit="1" customWidth="1"/>
    <col min="11788" max="11791" width="9.28515625" style="2421" customWidth="1"/>
    <col min="11792" max="12033" width="9.140625" style="2421"/>
    <col min="12034" max="12034" width="3.7109375" style="2421" customWidth="1"/>
    <col min="12035" max="12035" width="14.42578125" style="2421" customWidth="1"/>
    <col min="12036" max="12036" width="9" style="2421" bestFit="1" customWidth="1"/>
    <col min="12037" max="12037" width="23.42578125" style="2421" customWidth="1"/>
    <col min="12038" max="12042" width="10.7109375" style="2421" bestFit="1" customWidth="1"/>
    <col min="12043" max="12043" width="9.28515625" style="2421" bestFit="1" customWidth="1"/>
    <col min="12044" max="12047" width="9.28515625" style="2421" customWidth="1"/>
    <col min="12048" max="12289" width="9.140625" style="2421"/>
    <col min="12290" max="12290" width="3.7109375" style="2421" customWidth="1"/>
    <col min="12291" max="12291" width="14.42578125" style="2421" customWidth="1"/>
    <col min="12292" max="12292" width="9" style="2421" bestFit="1" customWidth="1"/>
    <col min="12293" max="12293" width="23.42578125" style="2421" customWidth="1"/>
    <col min="12294" max="12298" width="10.7109375" style="2421" bestFit="1" customWidth="1"/>
    <col min="12299" max="12299" width="9.28515625" style="2421" bestFit="1" customWidth="1"/>
    <col min="12300" max="12303" width="9.28515625" style="2421" customWidth="1"/>
    <col min="12304" max="12545" width="9.140625" style="2421"/>
    <col min="12546" max="12546" width="3.7109375" style="2421" customWidth="1"/>
    <col min="12547" max="12547" width="14.42578125" style="2421" customWidth="1"/>
    <col min="12548" max="12548" width="9" style="2421" bestFit="1" customWidth="1"/>
    <col min="12549" max="12549" width="23.42578125" style="2421" customWidth="1"/>
    <col min="12550" max="12554" width="10.7109375" style="2421" bestFit="1" customWidth="1"/>
    <col min="12555" max="12555" width="9.28515625" style="2421" bestFit="1" customWidth="1"/>
    <col min="12556" max="12559" width="9.28515625" style="2421" customWidth="1"/>
    <col min="12560" max="12801" width="9.140625" style="2421"/>
    <col min="12802" max="12802" width="3.7109375" style="2421" customWidth="1"/>
    <col min="12803" max="12803" width="14.42578125" style="2421" customWidth="1"/>
    <col min="12804" max="12804" width="9" style="2421" bestFit="1" customWidth="1"/>
    <col min="12805" max="12805" width="23.42578125" style="2421" customWidth="1"/>
    <col min="12806" max="12810" width="10.7109375" style="2421" bestFit="1" customWidth="1"/>
    <col min="12811" max="12811" width="9.28515625" style="2421" bestFit="1" customWidth="1"/>
    <col min="12812" max="12815" width="9.28515625" style="2421" customWidth="1"/>
    <col min="12816" max="13057" width="9.140625" style="2421"/>
    <col min="13058" max="13058" width="3.7109375" style="2421" customWidth="1"/>
    <col min="13059" max="13059" width="14.42578125" style="2421" customWidth="1"/>
    <col min="13060" max="13060" width="9" style="2421" bestFit="1" customWidth="1"/>
    <col min="13061" max="13061" width="23.42578125" style="2421" customWidth="1"/>
    <col min="13062" max="13066" width="10.7109375" style="2421" bestFit="1" customWidth="1"/>
    <col min="13067" max="13067" width="9.28515625" style="2421" bestFit="1" customWidth="1"/>
    <col min="13068" max="13071" width="9.28515625" style="2421" customWidth="1"/>
    <col min="13072" max="13313" width="9.140625" style="2421"/>
    <col min="13314" max="13314" width="3.7109375" style="2421" customWidth="1"/>
    <col min="13315" max="13315" width="14.42578125" style="2421" customWidth="1"/>
    <col min="13316" max="13316" width="9" style="2421" bestFit="1" customWidth="1"/>
    <col min="13317" max="13317" width="23.42578125" style="2421" customWidth="1"/>
    <col min="13318" max="13322" width="10.7109375" style="2421" bestFit="1" customWidth="1"/>
    <col min="13323" max="13323" width="9.28515625" style="2421" bestFit="1" customWidth="1"/>
    <col min="13324" max="13327" width="9.28515625" style="2421" customWidth="1"/>
    <col min="13328" max="13569" width="9.140625" style="2421"/>
    <col min="13570" max="13570" width="3.7109375" style="2421" customWidth="1"/>
    <col min="13571" max="13571" width="14.42578125" style="2421" customWidth="1"/>
    <col min="13572" max="13572" width="9" style="2421" bestFit="1" customWidth="1"/>
    <col min="13573" max="13573" width="23.42578125" style="2421" customWidth="1"/>
    <col min="13574" max="13578" width="10.7109375" style="2421" bestFit="1" customWidth="1"/>
    <col min="13579" max="13579" width="9.28515625" style="2421" bestFit="1" customWidth="1"/>
    <col min="13580" max="13583" width="9.28515625" style="2421" customWidth="1"/>
    <col min="13584" max="13825" width="9.140625" style="2421"/>
    <col min="13826" max="13826" width="3.7109375" style="2421" customWidth="1"/>
    <col min="13827" max="13827" width="14.42578125" style="2421" customWidth="1"/>
    <col min="13828" max="13828" width="9" style="2421" bestFit="1" customWidth="1"/>
    <col min="13829" max="13829" width="23.42578125" style="2421" customWidth="1"/>
    <col min="13830" max="13834" width="10.7109375" style="2421" bestFit="1" customWidth="1"/>
    <col min="13835" max="13835" width="9.28515625" style="2421" bestFit="1" customWidth="1"/>
    <col min="13836" max="13839" width="9.28515625" style="2421" customWidth="1"/>
    <col min="13840" max="14081" width="9.140625" style="2421"/>
    <col min="14082" max="14082" width="3.7109375" style="2421" customWidth="1"/>
    <col min="14083" max="14083" width="14.42578125" style="2421" customWidth="1"/>
    <col min="14084" max="14084" width="9" style="2421" bestFit="1" customWidth="1"/>
    <col min="14085" max="14085" width="23.42578125" style="2421" customWidth="1"/>
    <col min="14086" max="14090" width="10.7109375" style="2421" bestFit="1" customWidth="1"/>
    <col min="14091" max="14091" width="9.28515625" style="2421" bestFit="1" customWidth="1"/>
    <col min="14092" max="14095" width="9.28515625" style="2421" customWidth="1"/>
    <col min="14096" max="14337" width="9.140625" style="2421"/>
    <col min="14338" max="14338" width="3.7109375" style="2421" customWidth="1"/>
    <col min="14339" max="14339" width="14.42578125" style="2421" customWidth="1"/>
    <col min="14340" max="14340" width="9" style="2421" bestFit="1" customWidth="1"/>
    <col min="14341" max="14341" width="23.42578125" style="2421" customWidth="1"/>
    <col min="14342" max="14346" width="10.7109375" style="2421" bestFit="1" customWidth="1"/>
    <col min="14347" max="14347" width="9.28515625" style="2421" bestFit="1" customWidth="1"/>
    <col min="14348" max="14351" width="9.28515625" style="2421" customWidth="1"/>
    <col min="14352" max="14593" width="9.140625" style="2421"/>
    <col min="14594" max="14594" width="3.7109375" style="2421" customWidth="1"/>
    <col min="14595" max="14595" width="14.42578125" style="2421" customWidth="1"/>
    <col min="14596" max="14596" width="9" style="2421" bestFit="1" customWidth="1"/>
    <col min="14597" max="14597" width="23.42578125" style="2421" customWidth="1"/>
    <col min="14598" max="14602" width="10.7109375" style="2421" bestFit="1" customWidth="1"/>
    <col min="14603" max="14603" width="9.28515625" style="2421" bestFit="1" customWidth="1"/>
    <col min="14604" max="14607" width="9.28515625" style="2421" customWidth="1"/>
    <col min="14608" max="14849" width="9.140625" style="2421"/>
    <col min="14850" max="14850" width="3.7109375" style="2421" customWidth="1"/>
    <col min="14851" max="14851" width="14.42578125" style="2421" customWidth="1"/>
    <col min="14852" max="14852" width="9" style="2421" bestFit="1" customWidth="1"/>
    <col min="14853" max="14853" width="23.42578125" style="2421" customWidth="1"/>
    <col min="14854" max="14858" width="10.7109375" style="2421" bestFit="1" customWidth="1"/>
    <col min="14859" max="14859" width="9.28515625" style="2421" bestFit="1" customWidth="1"/>
    <col min="14860" max="14863" width="9.28515625" style="2421" customWidth="1"/>
    <col min="14864" max="15105" width="9.140625" style="2421"/>
    <col min="15106" max="15106" width="3.7109375" style="2421" customWidth="1"/>
    <col min="15107" max="15107" width="14.42578125" style="2421" customWidth="1"/>
    <col min="15108" max="15108" width="9" style="2421" bestFit="1" customWidth="1"/>
    <col min="15109" max="15109" width="23.42578125" style="2421" customWidth="1"/>
    <col min="15110" max="15114" width="10.7109375" style="2421" bestFit="1" customWidth="1"/>
    <col min="15115" max="15115" width="9.28515625" style="2421" bestFit="1" customWidth="1"/>
    <col min="15116" max="15119" width="9.28515625" style="2421" customWidth="1"/>
    <col min="15120" max="15361" width="9.140625" style="2421"/>
    <col min="15362" max="15362" width="3.7109375" style="2421" customWidth="1"/>
    <col min="15363" max="15363" width="14.42578125" style="2421" customWidth="1"/>
    <col min="15364" max="15364" width="9" style="2421" bestFit="1" customWidth="1"/>
    <col min="15365" max="15365" width="23.42578125" style="2421" customWidth="1"/>
    <col min="15366" max="15370" width="10.7109375" style="2421" bestFit="1" customWidth="1"/>
    <col min="15371" max="15371" width="9.28515625" style="2421" bestFit="1" customWidth="1"/>
    <col min="15372" max="15375" width="9.28515625" style="2421" customWidth="1"/>
    <col min="15376" max="15617" width="9.140625" style="2421"/>
    <col min="15618" max="15618" width="3.7109375" style="2421" customWidth="1"/>
    <col min="15619" max="15619" width="14.42578125" style="2421" customWidth="1"/>
    <col min="15620" max="15620" width="9" style="2421" bestFit="1" customWidth="1"/>
    <col min="15621" max="15621" width="23.42578125" style="2421" customWidth="1"/>
    <col min="15622" max="15626" width="10.7109375" style="2421" bestFit="1" customWidth="1"/>
    <col min="15627" max="15627" width="9.28515625" style="2421" bestFit="1" customWidth="1"/>
    <col min="15628" max="15631" width="9.28515625" style="2421" customWidth="1"/>
    <col min="15632" max="15873" width="9.140625" style="2421"/>
    <col min="15874" max="15874" width="3.7109375" style="2421" customWidth="1"/>
    <col min="15875" max="15875" width="14.42578125" style="2421" customWidth="1"/>
    <col min="15876" max="15876" width="9" style="2421" bestFit="1" customWidth="1"/>
    <col min="15877" max="15877" width="23.42578125" style="2421" customWidth="1"/>
    <col min="15878" max="15882" width="10.7109375" style="2421" bestFit="1" customWidth="1"/>
    <col min="15883" max="15883" width="9.28515625" style="2421" bestFit="1" customWidth="1"/>
    <col min="15884" max="15887" width="9.28515625" style="2421" customWidth="1"/>
    <col min="15888" max="16129" width="9.140625" style="2421"/>
    <col min="16130" max="16130" width="3.7109375" style="2421" customWidth="1"/>
    <col min="16131" max="16131" width="14.42578125" style="2421" customWidth="1"/>
    <col min="16132" max="16132" width="9" style="2421" bestFit="1" customWidth="1"/>
    <col min="16133" max="16133" width="23.42578125" style="2421" customWidth="1"/>
    <col min="16134" max="16138" width="10.7109375" style="2421" bestFit="1" customWidth="1"/>
    <col min="16139" max="16139" width="9.28515625" style="2421" bestFit="1" customWidth="1"/>
    <col min="16140" max="16143" width="9.28515625" style="2421" customWidth="1"/>
    <col min="16144" max="16384" width="9.140625" style="2421"/>
  </cols>
  <sheetData>
    <row r="2" spans="1:98" ht="15" customHeight="1" x14ac:dyDescent="0.25">
      <c r="A2" s="2358">
        <v>1</v>
      </c>
      <c r="B2" s="2358" t="s">
        <v>0</v>
      </c>
      <c r="C2" s="2358">
        <v>64</v>
      </c>
      <c r="D2" s="4057" t="s">
        <v>1133</v>
      </c>
      <c r="E2" s="4058"/>
      <c r="F2" s="4058"/>
      <c r="G2" s="4058"/>
      <c r="H2" s="4058"/>
      <c r="I2" s="4058"/>
      <c r="J2" s="4058"/>
      <c r="K2" s="4058"/>
      <c r="L2" s="4058"/>
      <c r="M2" s="4058"/>
      <c r="N2" s="4058"/>
      <c r="O2" s="4058"/>
      <c r="P2" s="4058"/>
      <c r="Q2" s="4058"/>
      <c r="R2" s="4058"/>
      <c r="S2" s="4058"/>
      <c r="T2" s="4058"/>
      <c r="U2" s="4059"/>
      <c r="V2" s="2700"/>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6"/>
      <c r="BC2" s="2466"/>
      <c r="BD2" s="2466"/>
      <c r="BE2" s="2466"/>
      <c r="BF2" s="2466"/>
      <c r="BG2" s="2466"/>
      <c r="BH2" s="2466"/>
      <c r="BI2" s="2466"/>
      <c r="BJ2" s="2466"/>
      <c r="BK2" s="2466"/>
      <c r="BL2" s="2466"/>
      <c r="BM2" s="2466"/>
      <c r="BN2" s="2466"/>
      <c r="BO2" s="2466"/>
      <c r="BP2" s="2466"/>
      <c r="BQ2" s="2466"/>
      <c r="BR2" s="2466"/>
      <c r="BS2" s="2466"/>
      <c r="BT2" s="2466"/>
      <c r="BU2" s="2466"/>
      <c r="BV2" s="2466"/>
      <c r="BW2" s="2466"/>
      <c r="BX2" s="2466"/>
      <c r="BY2" s="2466"/>
      <c r="BZ2" s="2466"/>
      <c r="CA2" s="2466"/>
      <c r="CB2" s="2466"/>
      <c r="CC2" s="2466"/>
      <c r="CD2" s="2466"/>
      <c r="CE2" s="2466"/>
      <c r="CF2" s="2466"/>
      <c r="CG2" s="2466"/>
      <c r="CH2" s="2466"/>
      <c r="CI2" s="2466"/>
      <c r="CJ2" s="2466"/>
      <c r="CK2" s="2466"/>
      <c r="CL2" s="2466"/>
      <c r="CM2" s="2466"/>
      <c r="CN2" s="2466"/>
      <c r="CO2" s="2466"/>
      <c r="CP2" s="2466"/>
      <c r="CQ2" s="2466"/>
      <c r="CR2" s="2466"/>
      <c r="CS2" s="2466"/>
    </row>
    <row r="3" spans="1:98" ht="15" customHeight="1" x14ac:dyDescent="0.25">
      <c r="A3" s="2358">
        <v>2</v>
      </c>
      <c r="B3" s="2358" t="s">
        <v>2</v>
      </c>
      <c r="C3" s="2358"/>
      <c r="D3" s="4057" t="s">
        <v>1032</v>
      </c>
      <c r="E3" s="4058"/>
      <c r="F3" s="4058"/>
      <c r="G3" s="4058"/>
      <c r="H3" s="4058"/>
      <c r="I3" s="4058"/>
      <c r="J3" s="4058"/>
      <c r="K3" s="4058"/>
      <c r="L3" s="4058"/>
      <c r="M3" s="4058"/>
      <c r="N3" s="4058"/>
      <c r="O3" s="4058"/>
      <c r="P3" s="4058"/>
      <c r="Q3" s="4058"/>
      <c r="R3" s="4058"/>
      <c r="S3" s="4058"/>
      <c r="T3" s="4058"/>
      <c r="U3" s="4059"/>
      <c r="V3" s="2466"/>
      <c r="W3" s="2466"/>
      <c r="X3" s="2466"/>
      <c r="Y3" s="2466"/>
      <c r="Z3" s="2466"/>
      <c r="AA3" s="2466"/>
      <c r="AB3" s="2466"/>
      <c r="AC3" s="2466"/>
      <c r="AD3" s="2466"/>
      <c r="AE3" s="2466"/>
      <c r="AF3" s="2466"/>
      <c r="AG3" s="2466"/>
      <c r="AH3" s="2466"/>
      <c r="AI3" s="2466"/>
      <c r="AJ3" s="2466"/>
      <c r="AK3" s="2466"/>
      <c r="AL3" s="2466"/>
      <c r="AM3" s="2466"/>
      <c r="AN3" s="2466"/>
      <c r="AO3" s="2466"/>
      <c r="AP3" s="2466"/>
      <c r="AQ3" s="2466"/>
      <c r="AR3" s="2466"/>
      <c r="AS3" s="2466"/>
      <c r="AT3" s="2466"/>
      <c r="AU3" s="2466"/>
      <c r="AV3" s="2466"/>
      <c r="AW3" s="2466"/>
      <c r="AX3" s="2466"/>
      <c r="AY3" s="2466"/>
      <c r="AZ3" s="2466"/>
      <c r="BA3" s="2466"/>
      <c r="BB3" s="2466"/>
      <c r="BC3" s="2466"/>
      <c r="BD3" s="2466"/>
      <c r="BE3" s="2466"/>
      <c r="BF3" s="2466"/>
      <c r="BG3" s="2466"/>
      <c r="BH3" s="2466"/>
      <c r="BI3" s="2466"/>
      <c r="BJ3" s="2466"/>
      <c r="BK3" s="2466"/>
      <c r="BL3" s="2466"/>
      <c r="BM3" s="2466"/>
      <c r="BN3" s="2466"/>
      <c r="BO3" s="2466"/>
      <c r="BP3" s="2466"/>
      <c r="BQ3" s="2466"/>
      <c r="BR3" s="2466"/>
      <c r="BS3" s="2466"/>
      <c r="BT3" s="2466"/>
      <c r="BU3" s="2466"/>
      <c r="BV3" s="2466"/>
      <c r="BW3" s="2466"/>
      <c r="BX3" s="2466"/>
      <c r="BY3" s="2466"/>
      <c r="BZ3" s="2466"/>
      <c r="CA3" s="2466"/>
      <c r="CB3" s="2466"/>
      <c r="CC3" s="2466"/>
      <c r="CD3" s="2466"/>
      <c r="CE3" s="2466"/>
      <c r="CF3" s="2466"/>
      <c r="CG3" s="2466"/>
      <c r="CH3" s="2466"/>
      <c r="CI3" s="2466"/>
      <c r="CJ3" s="2466"/>
      <c r="CK3" s="2466"/>
      <c r="CL3" s="2466"/>
      <c r="CM3" s="2466"/>
      <c r="CN3" s="2466"/>
      <c r="CO3" s="2466"/>
      <c r="CP3" s="2466"/>
      <c r="CQ3" s="2466"/>
      <c r="CR3" s="2466"/>
      <c r="CS3" s="2466"/>
    </row>
    <row r="4" spans="1:98" ht="12.75" customHeight="1" x14ac:dyDescent="0.25">
      <c r="A4" s="2358">
        <v>3</v>
      </c>
      <c r="B4" s="2358" t="s">
        <v>4</v>
      </c>
      <c r="C4" s="2358"/>
      <c r="D4" s="4057" t="s">
        <v>1134</v>
      </c>
      <c r="E4" s="4058"/>
      <c r="F4" s="4058"/>
      <c r="G4" s="4058"/>
      <c r="H4" s="4058"/>
      <c r="I4" s="4058"/>
      <c r="J4" s="4058"/>
      <c r="K4" s="4058"/>
      <c r="L4" s="4058"/>
      <c r="M4" s="4058"/>
      <c r="N4" s="4058"/>
      <c r="O4" s="4058"/>
      <c r="P4" s="4058"/>
      <c r="Q4" s="4058"/>
      <c r="R4" s="4058"/>
      <c r="S4" s="4058"/>
      <c r="T4" s="4058"/>
      <c r="U4" s="4059"/>
      <c r="V4" s="2466"/>
      <c r="W4" s="2466"/>
      <c r="X4" s="2466"/>
      <c r="Y4" s="2466"/>
      <c r="Z4" s="2466"/>
      <c r="AA4" s="2466"/>
      <c r="AB4" s="2466"/>
      <c r="AC4" s="2466"/>
      <c r="AD4" s="2466"/>
      <c r="AE4" s="2466"/>
      <c r="AF4" s="2466"/>
      <c r="AG4" s="2466"/>
      <c r="AH4" s="2466"/>
      <c r="AI4" s="2466"/>
      <c r="AJ4" s="2466"/>
      <c r="AK4" s="2466"/>
      <c r="AL4" s="2466"/>
      <c r="AM4" s="2466"/>
      <c r="AN4" s="2466"/>
      <c r="AO4" s="2466"/>
      <c r="AP4" s="2466"/>
      <c r="AQ4" s="2466"/>
      <c r="AR4" s="2466"/>
      <c r="AS4" s="2466"/>
      <c r="AT4" s="2466"/>
      <c r="AU4" s="2466"/>
      <c r="AV4" s="2466"/>
      <c r="AW4" s="2466"/>
      <c r="AX4" s="2466"/>
      <c r="AY4" s="2466"/>
      <c r="AZ4" s="2466"/>
      <c r="BA4" s="2466"/>
      <c r="BB4" s="2466"/>
      <c r="BC4" s="2466"/>
      <c r="BD4" s="2466"/>
      <c r="BE4" s="2466"/>
      <c r="BF4" s="2466"/>
      <c r="BG4" s="2466"/>
      <c r="BH4" s="2466"/>
      <c r="BI4" s="2466"/>
      <c r="BJ4" s="2466"/>
      <c r="BK4" s="2466"/>
      <c r="BL4" s="2466"/>
      <c r="BM4" s="2466"/>
      <c r="BN4" s="2466"/>
      <c r="BO4" s="2466"/>
      <c r="BP4" s="2466"/>
      <c r="BQ4" s="2466"/>
      <c r="BR4" s="2466"/>
      <c r="BS4" s="2466"/>
      <c r="BT4" s="2466"/>
      <c r="BU4" s="2466"/>
      <c r="BV4" s="2466"/>
      <c r="BW4" s="2466"/>
      <c r="BX4" s="2466"/>
      <c r="BY4" s="2466"/>
      <c r="BZ4" s="2466"/>
      <c r="CA4" s="2466"/>
      <c r="CB4" s="2466"/>
      <c r="CC4" s="2466"/>
      <c r="CD4" s="2466"/>
      <c r="CE4" s="2466"/>
      <c r="CF4" s="2466"/>
      <c r="CG4" s="2466"/>
      <c r="CH4" s="2466"/>
      <c r="CI4" s="2466"/>
      <c r="CJ4" s="2466"/>
      <c r="CK4" s="2466"/>
      <c r="CL4" s="2466"/>
      <c r="CM4" s="2466"/>
      <c r="CN4" s="2466"/>
      <c r="CO4" s="2466"/>
      <c r="CP4" s="2466"/>
      <c r="CQ4" s="2466"/>
      <c r="CR4" s="2466"/>
      <c r="CS4" s="2466"/>
    </row>
    <row r="5" spans="1:98" x14ac:dyDescent="0.25">
      <c r="A5" s="2633"/>
      <c r="B5" s="2633"/>
      <c r="C5" s="2633"/>
      <c r="D5" s="2702"/>
      <c r="E5" s="2702"/>
      <c r="Q5" s="2701"/>
      <c r="R5" s="2466"/>
      <c r="S5" s="2466"/>
      <c r="T5" s="2466"/>
      <c r="U5" s="2466"/>
      <c r="V5" s="2466"/>
      <c r="W5" s="2466"/>
      <c r="X5" s="2466"/>
      <c r="Y5" s="2466"/>
      <c r="Z5" s="2466"/>
      <c r="AA5" s="2466"/>
      <c r="AB5" s="2466"/>
      <c r="AC5" s="2466"/>
      <c r="AD5" s="2466"/>
      <c r="AE5" s="2466"/>
      <c r="AF5" s="2466"/>
      <c r="AG5" s="2466"/>
      <c r="AH5" s="2466"/>
      <c r="AI5" s="2466"/>
      <c r="AJ5" s="2466"/>
      <c r="AK5" s="2466"/>
      <c r="AL5" s="2466"/>
      <c r="AM5" s="2466"/>
      <c r="AN5" s="2466"/>
      <c r="AO5" s="2466"/>
      <c r="AP5" s="2466"/>
      <c r="AQ5" s="2466"/>
      <c r="AR5" s="2466"/>
      <c r="AS5" s="2466"/>
      <c r="AT5" s="2466"/>
      <c r="AU5" s="2466"/>
      <c r="AV5" s="2466"/>
      <c r="AW5" s="2466"/>
      <c r="AX5" s="2466"/>
      <c r="AY5" s="2466"/>
      <c r="AZ5" s="2466"/>
      <c r="BA5" s="2466"/>
      <c r="BB5" s="2466"/>
      <c r="BC5" s="2466"/>
      <c r="BD5" s="2466"/>
      <c r="BE5" s="2466"/>
      <c r="BF5" s="2466"/>
      <c r="BG5" s="2466"/>
      <c r="BH5" s="2466"/>
      <c r="BI5" s="2466"/>
      <c r="BJ5" s="2466"/>
      <c r="BK5" s="2466"/>
      <c r="BL5" s="2466"/>
      <c r="BM5" s="2466"/>
      <c r="BN5" s="2466"/>
      <c r="BO5" s="2466"/>
      <c r="BP5" s="2466"/>
      <c r="BQ5" s="2466"/>
      <c r="BR5" s="2466"/>
      <c r="BS5" s="2466"/>
      <c r="BT5" s="2466"/>
      <c r="BU5" s="2466"/>
      <c r="BV5" s="2466"/>
      <c r="BW5" s="2466"/>
      <c r="BX5" s="2466"/>
      <c r="BY5" s="2466"/>
      <c r="BZ5" s="2466"/>
      <c r="CA5" s="2466"/>
      <c r="CB5" s="2466"/>
      <c r="CC5" s="2466"/>
      <c r="CD5" s="2466"/>
      <c r="CE5" s="2466"/>
      <c r="CF5" s="2466"/>
      <c r="CG5" s="2466"/>
      <c r="CH5" s="2466"/>
      <c r="CI5" s="2466"/>
      <c r="CJ5" s="2466"/>
      <c r="CK5" s="2466"/>
      <c r="CL5" s="2466"/>
      <c r="CM5" s="2466"/>
      <c r="CN5" s="2466"/>
      <c r="CO5" s="2466"/>
      <c r="CP5" s="2466"/>
      <c r="CQ5" s="2466"/>
      <c r="CR5" s="2466"/>
      <c r="CS5" s="2466"/>
    </row>
    <row r="6" spans="1:98" x14ac:dyDescent="0.25">
      <c r="A6" s="2358">
        <v>4</v>
      </c>
      <c r="B6" s="902" t="s">
        <v>5</v>
      </c>
      <c r="C6" s="902"/>
      <c r="D6" s="2634" t="s">
        <v>6</v>
      </c>
      <c r="E6" s="2634" t="s">
        <v>1135</v>
      </c>
      <c r="F6" s="2424"/>
      <c r="Q6" s="2421"/>
      <c r="R6" s="2703"/>
      <c r="S6" s="2704"/>
      <c r="T6" s="2704"/>
      <c r="U6" s="2466"/>
      <c r="V6" s="2466"/>
      <c r="W6" s="2466"/>
      <c r="X6" s="2466"/>
      <c r="Y6" s="2466"/>
      <c r="Z6" s="2466"/>
      <c r="AA6" s="2466"/>
      <c r="AB6" s="2466"/>
      <c r="AC6" s="2466"/>
      <c r="AD6" s="2466"/>
      <c r="AE6" s="2466"/>
      <c r="AF6" s="2466"/>
      <c r="AG6" s="2466"/>
      <c r="AH6" s="2466"/>
      <c r="AI6" s="2466"/>
      <c r="AJ6" s="2466"/>
      <c r="AK6" s="2466"/>
      <c r="AL6" s="2466"/>
      <c r="AM6" s="2466"/>
      <c r="AN6" s="2466"/>
      <c r="AO6" s="2466"/>
      <c r="AP6" s="2466"/>
      <c r="AQ6" s="2466"/>
      <c r="AR6" s="2466"/>
      <c r="AS6" s="2466"/>
      <c r="AT6" s="2466"/>
      <c r="AU6" s="2466"/>
      <c r="AV6" s="2466"/>
      <c r="AW6" s="2466"/>
      <c r="AX6" s="2466"/>
      <c r="AY6" s="2466"/>
      <c r="AZ6" s="2466"/>
      <c r="BA6" s="2466"/>
      <c r="BB6" s="2466"/>
      <c r="BC6" s="2466"/>
      <c r="BD6" s="2466"/>
      <c r="BE6" s="2466"/>
      <c r="BF6" s="2466"/>
      <c r="BG6" s="2466"/>
      <c r="BH6" s="2466"/>
      <c r="BI6" s="2466"/>
      <c r="BJ6" s="2466"/>
      <c r="BK6" s="2466"/>
      <c r="BL6" s="2466"/>
      <c r="BM6" s="2466"/>
      <c r="BN6" s="2466"/>
      <c r="BO6" s="2466"/>
      <c r="BP6" s="2466"/>
      <c r="BQ6" s="2466"/>
      <c r="BR6" s="2466"/>
      <c r="BS6" s="2466"/>
      <c r="BT6" s="2466"/>
      <c r="BU6" s="2466"/>
      <c r="BV6" s="2466"/>
      <c r="BW6" s="2466"/>
      <c r="BX6" s="2466"/>
      <c r="BY6" s="2466"/>
      <c r="BZ6" s="2466"/>
      <c r="CA6" s="2466"/>
      <c r="CB6" s="2466"/>
      <c r="CC6" s="2466"/>
      <c r="CD6" s="2466"/>
      <c r="CE6" s="2466"/>
      <c r="CF6" s="2466"/>
      <c r="CG6" s="2466"/>
      <c r="CH6" s="2466"/>
      <c r="CI6" s="2466"/>
      <c r="CJ6" s="2466"/>
      <c r="CK6" s="2466"/>
      <c r="CL6" s="2466"/>
      <c r="CM6" s="2466"/>
      <c r="CN6" s="2466"/>
      <c r="CO6" s="2466"/>
      <c r="CP6" s="2466"/>
      <c r="CQ6" s="2466"/>
      <c r="CR6" s="2466"/>
      <c r="CS6" s="2466"/>
    </row>
    <row r="7" spans="1:98" ht="45.6" customHeight="1" x14ac:dyDescent="0.25">
      <c r="D7" s="2435"/>
      <c r="E7" s="1776" t="s">
        <v>139</v>
      </c>
      <c r="F7" s="1776" t="s">
        <v>140</v>
      </c>
      <c r="G7" s="1776" t="s">
        <v>141</v>
      </c>
      <c r="H7" s="701" t="s">
        <v>142</v>
      </c>
      <c r="I7" s="701" t="s">
        <v>143</v>
      </c>
      <c r="J7" s="701" t="s">
        <v>144</v>
      </c>
      <c r="K7" s="701" t="s">
        <v>145</v>
      </c>
      <c r="L7" s="701" t="s">
        <v>8</v>
      </c>
      <c r="M7" s="701" t="s">
        <v>9</v>
      </c>
      <c r="N7" s="701" t="s">
        <v>10</v>
      </c>
      <c r="O7" s="701" t="s">
        <v>11</v>
      </c>
      <c r="P7" s="701" t="s">
        <v>12</v>
      </c>
      <c r="Q7" s="701" t="s">
        <v>13</v>
      </c>
      <c r="R7" s="2705" t="s">
        <v>14</v>
      </c>
      <c r="S7" s="2705" t="s">
        <v>15</v>
      </c>
      <c r="T7" s="1941" t="s">
        <v>333</v>
      </c>
      <c r="U7" s="2706" t="s">
        <v>1136</v>
      </c>
      <c r="V7" s="2466"/>
      <c r="W7" s="2466"/>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c r="AZ7" s="2466"/>
      <c r="BA7" s="2466"/>
      <c r="BB7" s="2466"/>
      <c r="BC7" s="2466"/>
      <c r="BD7" s="2466"/>
      <c r="BE7" s="2466"/>
      <c r="BF7" s="2466"/>
      <c r="BG7" s="2466"/>
      <c r="BH7" s="2466"/>
      <c r="BI7" s="2466"/>
      <c r="BJ7" s="2466"/>
      <c r="BK7" s="2466"/>
      <c r="BL7" s="2466"/>
      <c r="BM7" s="2466"/>
      <c r="BN7" s="2466"/>
      <c r="BO7" s="2466"/>
      <c r="BP7" s="2466"/>
      <c r="BQ7" s="2466"/>
      <c r="BR7" s="2466"/>
      <c r="BS7" s="2466"/>
      <c r="BT7" s="2466"/>
      <c r="BU7" s="2466"/>
      <c r="BV7" s="2466"/>
      <c r="BW7" s="2466"/>
      <c r="BX7" s="2466"/>
      <c r="BY7" s="2466"/>
      <c r="BZ7" s="2466"/>
      <c r="CA7" s="2466"/>
      <c r="CB7" s="2466"/>
      <c r="CC7" s="2466"/>
      <c r="CD7" s="2466"/>
      <c r="CE7" s="2466"/>
      <c r="CF7" s="2466"/>
      <c r="CG7" s="2466"/>
      <c r="CH7" s="2466"/>
      <c r="CI7" s="2466"/>
      <c r="CJ7" s="2466"/>
      <c r="CK7" s="2466"/>
      <c r="CL7" s="2466"/>
      <c r="CM7" s="2466"/>
      <c r="CN7" s="2466"/>
      <c r="CO7" s="2466"/>
      <c r="CP7" s="2466"/>
      <c r="CQ7" s="2466"/>
      <c r="CR7" s="2466"/>
      <c r="CS7" s="2466"/>
      <c r="CT7" s="2466"/>
    </row>
    <row r="8" spans="1:98" x14ac:dyDescent="0.25">
      <c r="D8" s="2707" t="s">
        <v>1137</v>
      </c>
      <c r="E8" s="2708">
        <v>14691</v>
      </c>
      <c r="F8" s="2708">
        <v>13793</v>
      </c>
      <c r="G8" s="2708">
        <v>12434</v>
      </c>
      <c r="H8" s="2709">
        <v>12783</v>
      </c>
      <c r="I8" s="2709">
        <v>13534</v>
      </c>
      <c r="J8" s="2709">
        <v>14152</v>
      </c>
      <c r="K8" s="2709">
        <v>14855</v>
      </c>
      <c r="L8" s="2709">
        <v>13852</v>
      </c>
      <c r="M8" s="2709">
        <v>10541</v>
      </c>
      <c r="N8" s="2709">
        <v>9417</v>
      </c>
      <c r="O8" s="2709">
        <v>9931</v>
      </c>
      <c r="P8" s="2709">
        <v>11180</v>
      </c>
      <c r="Q8" s="2709">
        <v>12773</v>
      </c>
      <c r="R8" s="2709">
        <v>14602</v>
      </c>
      <c r="S8" s="2709">
        <v>16717</v>
      </c>
      <c r="T8" s="2708">
        <v>16325</v>
      </c>
      <c r="U8" s="2710">
        <f>((T8-S8)/T8)</f>
        <v>-2.4012251148545175E-2</v>
      </c>
      <c r="V8" s="2466"/>
      <c r="W8" s="2466"/>
      <c r="X8" s="2466"/>
      <c r="Y8" s="2466"/>
      <c r="Z8" s="2466"/>
      <c r="AA8" s="2466"/>
      <c r="AB8" s="2466"/>
      <c r="AC8" s="2466"/>
      <c r="AD8" s="2466"/>
      <c r="AE8" s="2466"/>
      <c r="AF8" s="2466"/>
      <c r="AG8" s="2466"/>
      <c r="AH8" s="2466"/>
      <c r="AI8" s="2466"/>
      <c r="AJ8" s="2466"/>
      <c r="AK8" s="2466"/>
      <c r="AL8" s="2466"/>
      <c r="AM8" s="2466"/>
      <c r="AN8" s="2466"/>
      <c r="AO8" s="2466"/>
      <c r="AP8" s="2466"/>
      <c r="AQ8" s="2466"/>
      <c r="AR8" s="2466"/>
      <c r="AS8" s="2466"/>
      <c r="AT8" s="2466"/>
      <c r="AU8" s="2466"/>
      <c r="AV8" s="2466"/>
      <c r="AW8" s="2466"/>
      <c r="AX8" s="2466"/>
      <c r="AY8" s="2466"/>
      <c r="AZ8" s="2466"/>
      <c r="BA8" s="2466"/>
      <c r="BB8" s="2466"/>
      <c r="BC8" s="2466"/>
      <c r="BD8" s="2466"/>
      <c r="BE8" s="2466"/>
      <c r="BF8" s="2466"/>
      <c r="BG8" s="2466"/>
      <c r="BH8" s="2466"/>
      <c r="BI8" s="2466"/>
      <c r="BJ8" s="2466"/>
      <c r="BK8" s="2466"/>
      <c r="BL8" s="2466"/>
      <c r="BM8" s="2466"/>
      <c r="BN8" s="2466"/>
      <c r="BO8" s="2466"/>
      <c r="BP8" s="2466"/>
      <c r="BQ8" s="2466"/>
      <c r="BR8" s="2466"/>
      <c r="BS8" s="2466"/>
      <c r="BT8" s="2466"/>
      <c r="BU8" s="2466"/>
      <c r="BV8" s="2466"/>
      <c r="BW8" s="2466"/>
      <c r="BX8" s="2466"/>
      <c r="BY8" s="2466"/>
      <c r="BZ8" s="2466"/>
      <c r="CA8" s="2466"/>
      <c r="CB8" s="2466"/>
      <c r="CC8" s="2466"/>
      <c r="CD8" s="2466"/>
      <c r="CE8" s="2466"/>
      <c r="CF8" s="2466"/>
      <c r="CG8" s="2466"/>
      <c r="CH8" s="2466"/>
      <c r="CI8" s="2466"/>
      <c r="CJ8" s="2466"/>
      <c r="CK8" s="2466"/>
      <c r="CL8" s="2466"/>
      <c r="CM8" s="2466"/>
      <c r="CN8" s="2466"/>
      <c r="CO8" s="2466"/>
      <c r="CP8" s="2466"/>
      <c r="CQ8" s="2466"/>
      <c r="CR8" s="2466"/>
      <c r="CS8" s="2466"/>
      <c r="CT8" s="2466"/>
    </row>
    <row r="9" spans="1:98" x14ac:dyDescent="0.25">
      <c r="D9" s="2707" t="s">
        <v>1138</v>
      </c>
      <c r="E9" s="2708">
        <v>986</v>
      </c>
      <c r="F9" s="2708">
        <v>901</v>
      </c>
      <c r="G9" s="2708">
        <v>930</v>
      </c>
      <c r="H9" s="2709">
        <v>829</v>
      </c>
      <c r="I9" s="2709">
        <v>892</v>
      </c>
      <c r="J9" s="2709">
        <v>1245</v>
      </c>
      <c r="K9" s="2709">
        <v>1437</v>
      </c>
      <c r="L9" s="2709">
        <v>1412</v>
      </c>
      <c r="M9" s="2709">
        <v>999</v>
      </c>
      <c r="N9" s="2709">
        <v>821</v>
      </c>
      <c r="O9" s="2709">
        <v>943</v>
      </c>
      <c r="P9" s="2709">
        <v>991</v>
      </c>
      <c r="Q9" s="2709">
        <v>1279</v>
      </c>
      <c r="R9" s="2709">
        <v>1184</v>
      </c>
      <c r="S9" s="2709">
        <v>1183</v>
      </c>
      <c r="T9" s="2708">
        <v>1202</v>
      </c>
      <c r="U9" s="2710">
        <f t="shared" ref="U9:U14" si="0">((T9-S9)/T9)</f>
        <v>1.5806988352745424E-2</v>
      </c>
      <c r="V9" s="2466"/>
      <c r="W9" s="2466"/>
      <c r="X9" s="2466"/>
      <c r="Y9" s="2466"/>
      <c r="Z9" s="2466"/>
      <c r="AA9" s="2466"/>
      <c r="AB9" s="2466"/>
      <c r="AC9" s="2466"/>
      <c r="AD9" s="2466"/>
      <c r="AE9" s="2466"/>
      <c r="AF9" s="2466"/>
      <c r="AG9" s="2466"/>
      <c r="AH9" s="2466"/>
      <c r="AI9" s="2466"/>
      <c r="AJ9" s="2466"/>
      <c r="AK9" s="2466"/>
      <c r="AL9" s="2466"/>
      <c r="AM9" s="2466"/>
      <c r="AN9" s="2466"/>
      <c r="AO9" s="2466"/>
      <c r="AP9" s="2466"/>
      <c r="AQ9" s="2466"/>
      <c r="AR9" s="2466"/>
      <c r="AS9" s="2466"/>
      <c r="AT9" s="2466"/>
      <c r="AU9" s="2466"/>
      <c r="AV9" s="2466"/>
      <c r="AW9" s="2466"/>
      <c r="AX9" s="2466"/>
      <c r="AY9" s="2466"/>
      <c r="AZ9" s="2466"/>
      <c r="BA9" s="2466"/>
      <c r="BB9" s="2466"/>
      <c r="BC9" s="2466"/>
      <c r="BD9" s="2466"/>
      <c r="BE9" s="2466"/>
      <c r="BF9" s="2466"/>
      <c r="BG9" s="2466"/>
      <c r="BH9" s="2466"/>
      <c r="BI9" s="2466"/>
      <c r="BJ9" s="2466"/>
      <c r="BK9" s="2466"/>
      <c r="BL9" s="2466"/>
      <c r="BM9" s="2466"/>
      <c r="BN9" s="2466"/>
      <c r="BO9" s="2466"/>
      <c r="BP9" s="2466"/>
      <c r="BQ9" s="2466"/>
      <c r="BR9" s="2466"/>
      <c r="BS9" s="2466"/>
      <c r="BT9" s="2466"/>
      <c r="BU9" s="2466"/>
      <c r="BV9" s="2466"/>
      <c r="BW9" s="2466"/>
      <c r="BX9" s="2466"/>
      <c r="BY9" s="2466"/>
      <c r="BZ9" s="2466"/>
      <c r="CA9" s="2466"/>
      <c r="CB9" s="2466"/>
      <c r="CC9" s="2466"/>
      <c r="CD9" s="2466"/>
      <c r="CE9" s="2466"/>
      <c r="CF9" s="2466"/>
      <c r="CG9" s="2466"/>
      <c r="CH9" s="2466"/>
      <c r="CI9" s="2466"/>
      <c r="CJ9" s="2466"/>
      <c r="CK9" s="2466"/>
      <c r="CL9" s="2466"/>
      <c r="CM9" s="2466"/>
      <c r="CN9" s="2466"/>
      <c r="CO9" s="2466"/>
      <c r="CP9" s="2466"/>
      <c r="CQ9" s="2466"/>
      <c r="CR9" s="2466"/>
      <c r="CS9" s="2466"/>
      <c r="CT9" s="2466"/>
    </row>
    <row r="10" spans="1:98" x14ac:dyDescent="0.25">
      <c r="D10" s="2707" t="s">
        <v>1139</v>
      </c>
      <c r="E10" s="2708">
        <v>374</v>
      </c>
      <c r="F10" s="2708">
        <v>192</v>
      </c>
      <c r="G10" s="2708">
        <v>220</v>
      </c>
      <c r="H10" s="2709">
        <v>383</v>
      </c>
      <c r="I10" s="2709">
        <v>467</v>
      </c>
      <c r="J10" s="2709">
        <v>394</v>
      </c>
      <c r="K10" s="2709">
        <v>386</v>
      </c>
      <c r="L10" s="2709">
        <v>358</v>
      </c>
      <c r="M10" s="2709">
        <v>290</v>
      </c>
      <c r="N10" s="2709">
        <v>182</v>
      </c>
      <c r="O10" s="2709">
        <v>145</v>
      </c>
      <c r="P10" s="2709">
        <v>145</v>
      </c>
      <c r="Q10" s="2709">
        <v>119</v>
      </c>
      <c r="R10" s="2709">
        <v>137</v>
      </c>
      <c r="S10" s="2709">
        <v>152</v>
      </c>
      <c r="T10" s="2708">
        <v>238</v>
      </c>
      <c r="U10" s="2710">
        <f t="shared" si="0"/>
        <v>0.36134453781512604</v>
      </c>
      <c r="V10" s="2466"/>
      <c r="W10" s="2466"/>
      <c r="X10" s="2466"/>
      <c r="Y10" s="2466"/>
      <c r="Z10" s="2466"/>
      <c r="AA10" s="2466"/>
      <c r="AB10" s="2466"/>
      <c r="AC10" s="2466"/>
      <c r="AD10" s="2466"/>
      <c r="AE10" s="2466"/>
      <c r="AF10" s="2466"/>
      <c r="AG10" s="2466"/>
      <c r="AH10" s="2466"/>
      <c r="AI10" s="2466"/>
      <c r="AJ10" s="2466"/>
      <c r="AK10" s="2466"/>
      <c r="AL10" s="2466"/>
      <c r="AM10" s="2466"/>
      <c r="AN10" s="2466"/>
      <c r="AO10" s="2466"/>
      <c r="AP10" s="2466"/>
      <c r="AQ10" s="2466"/>
      <c r="AR10" s="2466"/>
      <c r="AS10" s="2466"/>
      <c r="AT10" s="2466"/>
      <c r="AU10" s="2466"/>
      <c r="AV10" s="2466"/>
      <c r="AW10" s="2466"/>
      <c r="AX10" s="2466"/>
      <c r="AY10" s="2466"/>
      <c r="AZ10" s="2466"/>
      <c r="BA10" s="2466"/>
      <c r="BB10" s="2466"/>
      <c r="BC10" s="2466"/>
      <c r="BD10" s="2466"/>
      <c r="BE10" s="2466"/>
      <c r="BF10" s="2466"/>
      <c r="BG10" s="2466"/>
      <c r="BH10" s="2466"/>
      <c r="BI10" s="2466"/>
      <c r="BJ10" s="2466"/>
      <c r="BK10" s="2466"/>
      <c r="BL10" s="2466"/>
      <c r="BM10" s="2466"/>
      <c r="BN10" s="2466"/>
      <c r="BO10" s="2466"/>
      <c r="BP10" s="2466"/>
      <c r="BQ10" s="2466"/>
      <c r="BR10" s="2466"/>
      <c r="BS10" s="2466"/>
      <c r="BT10" s="2466"/>
      <c r="BU10" s="2466"/>
      <c r="BV10" s="2466"/>
      <c r="BW10" s="2466"/>
      <c r="BX10" s="2466"/>
      <c r="BY10" s="2466"/>
      <c r="BZ10" s="2466"/>
      <c r="CA10" s="2466"/>
      <c r="CB10" s="2466"/>
      <c r="CC10" s="2466"/>
      <c r="CD10" s="2466"/>
      <c r="CE10" s="2466"/>
      <c r="CF10" s="2466"/>
      <c r="CG10" s="2466"/>
      <c r="CH10" s="2466"/>
      <c r="CI10" s="2466"/>
      <c r="CJ10" s="2466"/>
      <c r="CK10" s="2466"/>
      <c r="CL10" s="2466"/>
      <c r="CM10" s="2466"/>
      <c r="CN10" s="2466"/>
      <c r="CO10" s="2466"/>
      <c r="CP10" s="2466"/>
      <c r="CQ10" s="2466"/>
      <c r="CR10" s="2466"/>
      <c r="CS10" s="2466"/>
      <c r="CT10" s="2466"/>
    </row>
    <row r="11" spans="1:98" x14ac:dyDescent="0.25">
      <c r="D11" s="2707" t="s">
        <v>1140</v>
      </c>
      <c r="E11" s="2709"/>
      <c r="F11" s="2709"/>
      <c r="G11" s="2709">
        <v>100436</v>
      </c>
      <c r="H11" s="2709">
        <v>92021</v>
      </c>
      <c r="I11" s="2709">
        <v>92021</v>
      </c>
      <c r="J11" s="2709">
        <v>64417</v>
      </c>
      <c r="K11" s="2709">
        <v>58764</v>
      </c>
      <c r="L11" s="2709">
        <v>56993</v>
      </c>
      <c r="M11" s="2709">
        <v>54442</v>
      </c>
      <c r="N11" s="2709">
        <v>52566</v>
      </c>
      <c r="O11" s="2709">
        <v>53196</v>
      </c>
      <c r="P11" s="2709">
        <v>53505</v>
      </c>
      <c r="Q11" s="2709">
        <v>54927</v>
      </c>
      <c r="R11" s="2709">
        <v>54110</v>
      </c>
      <c r="S11" s="2709">
        <v>53418</v>
      </c>
      <c r="T11" s="2708">
        <v>50730</v>
      </c>
      <c r="U11" s="2710">
        <f t="shared" si="0"/>
        <v>-5.2986398580721468E-2</v>
      </c>
      <c r="V11" s="2466"/>
      <c r="W11" s="2466"/>
      <c r="X11" s="2466"/>
      <c r="Y11" s="2466"/>
      <c r="Z11" s="2466"/>
      <c r="AA11" s="2466"/>
      <c r="AB11" s="2466"/>
      <c r="AC11" s="2466"/>
      <c r="AD11" s="2466"/>
      <c r="AE11" s="2466"/>
      <c r="AF11" s="2466"/>
      <c r="AG11" s="2466"/>
      <c r="AH11" s="2466"/>
      <c r="AI11" s="2466"/>
      <c r="AJ11" s="2466"/>
      <c r="AK11" s="2466"/>
      <c r="AL11" s="2466"/>
      <c r="AM11" s="2466"/>
      <c r="AN11" s="2466"/>
      <c r="AO11" s="2466"/>
      <c r="AP11" s="2466"/>
      <c r="AQ11" s="2466"/>
      <c r="AR11" s="2466"/>
      <c r="AS11" s="2466"/>
      <c r="AT11" s="2466"/>
      <c r="AU11" s="2466"/>
      <c r="AV11" s="2466"/>
      <c r="AW11" s="2466"/>
      <c r="AX11" s="2466"/>
      <c r="AY11" s="2466"/>
      <c r="AZ11" s="2466"/>
      <c r="BA11" s="2466"/>
      <c r="BB11" s="2466"/>
      <c r="BC11" s="2466"/>
      <c r="BD11" s="2466"/>
      <c r="BE11" s="2466"/>
      <c r="BF11" s="2466"/>
      <c r="BG11" s="2466"/>
      <c r="BH11" s="2466"/>
      <c r="BI11" s="2466"/>
      <c r="BJ11" s="2466"/>
      <c r="BK11" s="2466"/>
      <c r="BL11" s="2466"/>
      <c r="BM11" s="2466"/>
      <c r="BN11" s="2466"/>
      <c r="BO11" s="2466"/>
      <c r="BP11" s="2466"/>
      <c r="BQ11" s="2466"/>
      <c r="BR11" s="2466"/>
      <c r="BS11" s="2466"/>
      <c r="BT11" s="2466"/>
      <c r="BU11" s="2466"/>
      <c r="BV11" s="2466"/>
      <c r="BW11" s="2466"/>
      <c r="BX11" s="2466"/>
      <c r="BY11" s="2466"/>
      <c r="BZ11" s="2466"/>
      <c r="CA11" s="2466"/>
      <c r="CB11" s="2466"/>
      <c r="CC11" s="2466"/>
      <c r="CD11" s="2466"/>
      <c r="CE11" s="2466"/>
      <c r="CF11" s="2466"/>
      <c r="CG11" s="2466"/>
      <c r="CH11" s="2466"/>
      <c r="CI11" s="2466"/>
      <c r="CJ11" s="2466"/>
      <c r="CK11" s="2466"/>
      <c r="CL11" s="2466"/>
      <c r="CM11" s="2466"/>
      <c r="CN11" s="2466"/>
      <c r="CO11" s="2466"/>
      <c r="CP11" s="2466"/>
      <c r="CQ11" s="2466"/>
      <c r="CR11" s="2466"/>
      <c r="CS11" s="2466"/>
      <c r="CT11" s="2466"/>
    </row>
    <row r="12" spans="1:98" x14ac:dyDescent="0.25">
      <c r="D12" s="2707" t="s">
        <v>1141</v>
      </c>
      <c r="E12" s="2708">
        <v>127</v>
      </c>
      <c r="F12" s="2708">
        <v>54</v>
      </c>
      <c r="G12" s="2709">
        <v>58</v>
      </c>
      <c r="H12" s="2709">
        <v>59</v>
      </c>
      <c r="I12" s="2709">
        <v>129</v>
      </c>
      <c r="J12" s="2709">
        <v>144</v>
      </c>
      <c r="K12" s="2709">
        <v>102</v>
      </c>
      <c r="L12" s="2709">
        <v>93</v>
      </c>
      <c r="M12" s="2709">
        <v>39</v>
      </c>
      <c r="N12" s="2709">
        <v>35</v>
      </c>
      <c r="O12" s="2709">
        <v>7</v>
      </c>
      <c r="P12" s="2709">
        <v>21</v>
      </c>
      <c r="Q12" s="2709">
        <v>17</v>
      </c>
      <c r="R12" s="2709">
        <v>6</v>
      </c>
      <c r="S12" s="2709">
        <v>3</v>
      </c>
      <c r="T12" s="2708">
        <v>13</v>
      </c>
      <c r="U12" s="2710">
        <f t="shared" si="0"/>
        <v>0.76923076923076927</v>
      </c>
      <c r="V12" s="2466"/>
      <c r="W12" s="2466"/>
      <c r="X12" s="2466"/>
      <c r="Y12" s="2466"/>
      <c r="Z12" s="2466"/>
      <c r="AA12" s="2466"/>
      <c r="AB12" s="2466"/>
      <c r="AC12" s="2466"/>
      <c r="AD12" s="2466"/>
      <c r="AE12" s="2466"/>
      <c r="AF12" s="2466"/>
      <c r="AG12" s="2466"/>
      <c r="AH12" s="2466"/>
      <c r="AI12" s="2466"/>
      <c r="AJ12" s="2466"/>
      <c r="AK12" s="2466"/>
      <c r="AL12" s="2466"/>
      <c r="AM12" s="2466"/>
      <c r="AN12" s="2466"/>
      <c r="AO12" s="2466"/>
      <c r="AP12" s="2466"/>
      <c r="AQ12" s="2466"/>
      <c r="AR12" s="2466"/>
      <c r="AS12" s="2466"/>
      <c r="AT12" s="2466"/>
      <c r="AU12" s="2466"/>
      <c r="AV12" s="2466"/>
      <c r="AW12" s="2466"/>
      <c r="AX12" s="2466"/>
      <c r="AY12" s="2466"/>
      <c r="AZ12" s="2466"/>
      <c r="BA12" s="2466"/>
      <c r="BB12" s="2466"/>
      <c r="BC12" s="2466"/>
      <c r="BD12" s="2466"/>
      <c r="BE12" s="2466"/>
      <c r="BF12" s="2466"/>
      <c r="BG12" s="2466"/>
      <c r="BH12" s="2466"/>
      <c r="BI12" s="2466"/>
      <c r="BJ12" s="2466"/>
      <c r="BK12" s="2466"/>
      <c r="BL12" s="2466"/>
      <c r="BM12" s="2466"/>
      <c r="BN12" s="2466"/>
      <c r="BO12" s="2466"/>
      <c r="BP12" s="2466"/>
      <c r="BQ12" s="2466"/>
      <c r="BR12" s="2466"/>
      <c r="BS12" s="2466"/>
      <c r="BT12" s="2466"/>
      <c r="BU12" s="2466"/>
      <c r="BV12" s="2466"/>
      <c r="BW12" s="2466"/>
      <c r="BX12" s="2466"/>
      <c r="BY12" s="2466"/>
      <c r="BZ12" s="2466"/>
      <c r="CA12" s="2466"/>
      <c r="CB12" s="2466"/>
      <c r="CC12" s="2466"/>
      <c r="CD12" s="2466"/>
      <c r="CE12" s="2466"/>
      <c r="CF12" s="2466"/>
      <c r="CG12" s="2466"/>
      <c r="CH12" s="2466"/>
      <c r="CI12" s="2466"/>
      <c r="CJ12" s="2466"/>
      <c r="CK12" s="2466"/>
      <c r="CL12" s="2466"/>
      <c r="CM12" s="2466"/>
      <c r="CN12" s="2466"/>
      <c r="CO12" s="2466"/>
      <c r="CP12" s="2466"/>
      <c r="CQ12" s="2466"/>
      <c r="CR12" s="2466"/>
      <c r="CS12" s="2466"/>
      <c r="CT12" s="2466"/>
    </row>
    <row r="13" spans="1:98" x14ac:dyDescent="0.25">
      <c r="D13" s="2707" t="s">
        <v>1142</v>
      </c>
      <c r="E13" s="2708">
        <v>9063</v>
      </c>
      <c r="F13" s="2708">
        <v>9351</v>
      </c>
      <c r="G13" s="2708">
        <v>9391</v>
      </c>
      <c r="H13" s="2709">
        <v>10173</v>
      </c>
      <c r="I13" s="2709">
        <v>12761</v>
      </c>
      <c r="J13" s="2709">
        <v>14481</v>
      </c>
      <c r="K13" s="2709">
        <v>18438</v>
      </c>
      <c r="L13" s="2709">
        <v>18786</v>
      </c>
      <c r="M13" s="2709">
        <v>16889</v>
      </c>
      <c r="N13" s="2709">
        <v>16766</v>
      </c>
      <c r="O13" s="2709">
        <v>17950</v>
      </c>
      <c r="P13" s="2709">
        <v>19284</v>
      </c>
      <c r="Q13" s="2709">
        <v>20281</v>
      </c>
      <c r="R13" s="2709">
        <v>20820</v>
      </c>
      <c r="S13" s="2709">
        <v>22343</v>
      </c>
      <c r="T13" s="2708">
        <v>22261</v>
      </c>
      <c r="U13" s="2710">
        <f t="shared" si="0"/>
        <v>-3.6835721665693364E-3</v>
      </c>
      <c r="V13" s="2466"/>
      <c r="W13" s="2466"/>
      <c r="X13" s="2466"/>
      <c r="Y13" s="2466"/>
      <c r="Z13" s="2466"/>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row>
    <row r="14" spans="1:98" ht="22.5" x14ac:dyDescent="0.25">
      <c r="B14" s="2636"/>
      <c r="C14" s="2636"/>
      <c r="D14" s="2711" t="s">
        <v>1143</v>
      </c>
      <c r="E14" s="2712">
        <v>5498</v>
      </c>
      <c r="F14" s="2712">
        <v>3677</v>
      </c>
      <c r="G14" s="2712">
        <v>3320</v>
      </c>
      <c r="H14" s="2713">
        <v>4384</v>
      </c>
      <c r="I14" s="2713">
        <v>6675</v>
      </c>
      <c r="J14" s="2713">
        <v>9836</v>
      </c>
      <c r="K14" s="2713">
        <v>13885</v>
      </c>
      <c r="L14" s="2713">
        <v>14504</v>
      </c>
      <c r="M14" s="2713">
        <v>14637</v>
      </c>
      <c r="N14" s="2713">
        <v>15912</v>
      </c>
      <c r="O14" s="2713">
        <v>16343</v>
      </c>
      <c r="P14" s="2713">
        <v>18573</v>
      </c>
      <c r="Q14" s="2713">
        <v>19170</v>
      </c>
      <c r="R14" s="2709">
        <v>19698</v>
      </c>
      <c r="S14" s="2709">
        <v>20680</v>
      </c>
      <c r="T14" s="2708">
        <v>20047</v>
      </c>
      <c r="U14" s="2710">
        <f t="shared" si="0"/>
        <v>-3.1575796877338254E-2</v>
      </c>
      <c r="V14" s="2466"/>
      <c r="W14" s="2466"/>
      <c r="X14" s="2466"/>
      <c r="Y14" s="2466"/>
      <c r="Z14" s="2466"/>
      <c r="AA14" s="2466"/>
      <c r="AB14" s="2466"/>
      <c r="AC14" s="2466"/>
      <c r="AD14" s="2466"/>
      <c r="AE14" s="2466"/>
      <c r="AF14" s="2466"/>
      <c r="AG14" s="2466"/>
      <c r="AH14" s="2466"/>
      <c r="AI14" s="2466"/>
      <c r="AJ14" s="2466"/>
      <c r="AK14" s="2466"/>
      <c r="AL14" s="2466"/>
      <c r="AM14" s="2466"/>
      <c r="AN14" s="2466"/>
      <c r="AO14" s="2466"/>
      <c r="AP14" s="2466"/>
      <c r="AQ14" s="2466"/>
      <c r="AR14" s="2466"/>
      <c r="AS14" s="2466"/>
      <c r="AT14" s="2466"/>
      <c r="AU14" s="2466"/>
      <c r="AV14" s="2466"/>
      <c r="AW14" s="2466"/>
      <c r="AX14" s="2466"/>
      <c r="AY14" s="2466"/>
      <c r="AZ14" s="2466"/>
      <c r="BA14" s="2466"/>
      <c r="BB14" s="2466"/>
      <c r="BC14" s="2466"/>
      <c r="BD14" s="2466"/>
      <c r="BE14" s="2466"/>
      <c r="BF14" s="2466"/>
      <c r="BG14" s="2466"/>
      <c r="BH14" s="2466"/>
      <c r="BI14" s="2466"/>
      <c r="BJ14" s="2466"/>
      <c r="BK14" s="2466"/>
      <c r="BL14" s="2466"/>
      <c r="BM14" s="2466"/>
      <c r="BN14" s="2466"/>
      <c r="BO14" s="2466"/>
      <c r="BP14" s="2466"/>
      <c r="BQ14" s="2466"/>
      <c r="BR14" s="2466"/>
      <c r="BS14" s="2466"/>
      <c r="BT14" s="2466"/>
      <c r="BU14" s="2466"/>
      <c r="BV14" s="2466"/>
      <c r="BW14" s="2466"/>
      <c r="BX14" s="2466"/>
      <c r="BY14" s="2466"/>
      <c r="BZ14" s="2466"/>
      <c r="CA14" s="2466"/>
      <c r="CB14" s="2466"/>
      <c r="CC14" s="2466"/>
      <c r="CD14" s="2466"/>
      <c r="CE14" s="2466"/>
      <c r="CF14" s="2466"/>
      <c r="CG14" s="2466"/>
      <c r="CH14" s="2466"/>
      <c r="CI14" s="2466"/>
      <c r="CJ14" s="2466"/>
      <c r="CK14" s="2466"/>
      <c r="CL14" s="2466"/>
      <c r="CM14" s="2466"/>
      <c r="CN14" s="2466"/>
      <c r="CO14" s="2466"/>
      <c r="CP14" s="2466"/>
      <c r="CQ14" s="2466"/>
      <c r="CR14" s="2466"/>
      <c r="CS14" s="2466"/>
      <c r="CT14" s="2466"/>
    </row>
    <row r="15" spans="1:98" ht="12.75" customHeight="1" x14ac:dyDescent="0.25">
      <c r="B15" s="2636"/>
      <c r="C15" s="2636"/>
      <c r="D15" s="2707"/>
      <c r="E15" s="2708"/>
      <c r="F15" s="2714"/>
      <c r="G15" s="2714"/>
      <c r="H15" s="2714"/>
      <c r="I15" s="2714"/>
      <c r="J15" s="2714"/>
      <c r="K15" s="2714"/>
      <c r="L15" s="2715"/>
      <c r="Q15" s="2421"/>
      <c r="R15" s="2716"/>
      <c r="S15" s="2716"/>
      <c r="T15" s="2716"/>
      <c r="U15" s="2716"/>
      <c r="V15" s="2466"/>
      <c r="W15" s="2466"/>
      <c r="X15" s="2466"/>
      <c r="Y15" s="2466"/>
      <c r="Z15" s="2466"/>
      <c r="AA15" s="2466"/>
      <c r="AB15" s="2466"/>
      <c r="AC15" s="2466"/>
      <c r="AD15" s="2466"/>
      <c r="AE15" s="2466"/>
      <c r="AF15" s="2466"/>
      <c r="AG15" s="2466"/>
      <c r="AH15" s="2466"/>
      <c r="AI15" s="2466"/>
      <c r="AJ15" s="2466"/>
      <c r="AK15" s="2466"/>
      <c r="AL15" s="2466"/>
      <c r="AM15" s="2466"/>
      <c r="AN15" s="2466"/>
      <c r="AO15" s="2466"/>
      <c r="AP15" s="2466"/>
      <c r="AQ15" s="2466"/>
      <c r="AR15" s="2466"/>
      <c r="AS15" s="2466"/>
      <c r="AT15" s="2466"/>
      <c r="AU15" s="2466"/>
      <c r="AV15" s="2466"/>
      <c r="AW15" s="2466"/>
      <c r="AX15" s="2466"/>
      <c r="AY15" s="2466"/>
      <c r="AZ15" s="2466"/>
      <c r="BA15" s="2466"/>
      <c r="BB15" s="2466"/>
      <c r="BC15" s="2466"/>
      <c r="BD15" s="2466"/>
      <c r="BE15" s="2466"/>
      <c r="BF15" s="2466"/>
      <c r="BG15" s="2466"/>
      <c r="BH15" s="2466"/>
      <c r="BI15" s="2466"/>
      <c r="BJ15" s="2466"/>
      <c r="BK15" s="2466"/>
      <c r="BL15" s="2466"/>
      <c r="BM15" s="2466"/>
      <c r="BN15" s="2466"/>
      <c r="BO15" s="2466"/>
      <c r="BP15" s="2466"/>
      <c r="BQ15" s="2466"/>
      <c r="BR15" s="2466"/>
      <c r="BS15" s="2466"/>
      <c r="BT15" s="2466"/>
      <c r="BU15" s="2466"/>
      <c r="BV15" s="2466"/>
      <c r="BW15" s="2466"/>
      <c r="BX15" s="2466"/>
      <c r="BY15" s="2466"/>
      <c r="BZ15" s="2466"/>
      <c r="CA15" s="2466"/>
      <c r="CB15" s="2466"/>
      <c r="CC15" s="2466"/>
      <c r="CD15" s="2466"/>
      <c r="CE15" s="2466"/>
      <c r="CF15" s="2466"/>
      <c r="CG15" s="2466"/>
      <c r="CH15" s="2466"/>
      <c r="CI15" s="2466"/>
      <c r="CJ15" s="2466"/>
      <c r="CK15" s="2466"/>
      <c r="CL15" s="2466"/>
      <c r="CM15" s="2466"/>
      <c r="CN15" s="2466"/>
      <c r="CO15" s="2466"/>
      <c r="CP15" s="2466"/>
      <c r="CQ15" s="2466"/>
      <c r="CR15" s="2466"/>
      <c r="CS15" s="2466"/>
    </row>
    <row r="16" spans="1:98" x14ac:dyDescent="0.25">
      <c r="B16" s="2636"/>
      <c r="C16" s="2636"/>
      <c r="D16" s="2707"/>
      <c r="E16" s="2708"/>
      <c r="F16" s="2708"/>
      <c r="G16" s="2708"/>
      <c r="H16" s="2708"/>
      <c r="I16" s="2708"/>
      <c r="J16" s="2708"/>
      <c r="K16" s="2717"/>
      <c r="L16" s="2715"/>
      <c r="Q16" s="2701"/>
      <c r="R16" s="2466"/>
      <c r="S16" s="2466"/>
      <c r="T16" s="2466"/>
      <c r="U16" s="2466"/>
      <c r="V16" s="2466"/>
      <c r="W16" s="2466"/>
      <c r="X16" s="2466"/>
      <c r="Y16" s="2466"/>
      <c r="Z16" s="2466"/>
      <c r="AA16" s="2466"/>
      <c r="AB16" s="2466"/>
      <c r="AC16" s="2466"/>
      <c r="AD16" s="2466"/>
      <c r="AE16" s="2466"/>
      <c r="AF16" s="2466"/>
      <c r="AG16" s="2466"/>
      <c r="AH16" s="2466"/>
      <c r="AI16" s="2466"/>
      <c r="AJ16" s="2466"/>
      <c r="AK16" s="2466"/>
      <c r="AL16" s="2466"/>
      <c r="AM16" s="2466"/>
      <c r="AN16" s="2466"/>
      <c r="AO16" s="2466"/>
      <c r="AP16" s="2466"/>
      <c r="AQ16" s="2466"/>
      <c r="AR16" s="2466"/>
      <c r="AS16" s="2466"/>
      <c r="AT16" s="2466"/>
      <c r="AU16" s="2466"/>
      <c r="AV16" s="2466"/>
      <c r="AW16" s="2466"/>
      <c r="AX16" s="2466"/>
      <c r="AY16" s="2466"/>
      <c r="AZ16" s="2466"/>
      <c r="BA16" s="2466"/>
      <c r="BB16" s="2466"/>
      <c r="BC16" s="2466"/>
      <c r="BD16" s="2466"/>
      <c r="BE16" s="2466"/>
      <c r="BF16" s="2466"/>
      <c r="BG16" s="2466"/>
      <c r="BH16" s="2466"/>
      <c r="BI16" s="2466"/>
      <c r="BJ16" s="2466"/>
      <c r="BK16" s="2466"/>
      <c r="BL16" s="2466"/>
      <c r="BM16" s="2466"/>
      <c r="BN16" s="2466"/>
      <c r="BO16" s="2466"/>
      <c r="BP16" s="2466"/>
      <c r="BQ16" s="2466"/>
      <c r="BR16" s="2466"/>
      <c r="BS16" s="2466"/>
      <c r="BT16" s="2466"/>
      <c r="BU16" s="2466"/>
      <c r="BV16" s="2466"/>
      <c r="BW16" s="2466"/>
      <c r="BX16" s="2466"/>
      <c r="BY16" s="2466"/>
      <c r="BZ16" s="2466"/>
      <c r="CA16" s="2466"/>
      <c r="CB16" s="2466"/>
      <c r="CC16" s="2466"/>
      <c r="CD16" s="2466"/>
      <c r="CE16" s="2466"/>
      <c r="CF16" s="2466"/>
      <c r="CG16" s="2466"/>
      <c r="CH16" s="2466"/>
      <c r="CI16" s="2466"/>
      <c r="CJ16" s="2466"/>
      <c r="CK16" s="2466"/>
      <c r="CL16" s="2466"/>
      <c r="CM16" s="2466"/>
      <c r="CN16" s="2466"/>
      <c r="CO16" s="2466"/>
      <c r="CP16" s="2466"/>
      <c r="CQ16" s="2466"/>
      <c r="CR16" s="2466"/>
      <c r="CS16" s="2466"/>
    </row>
    <row r="17" spans="1:97" x14ac:dyDescent="0.25">
      <c r="B17" s="2639"/>
      <c r="C17" s="2639"/>
      <c r="Q17" s="2701"/>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466"/>
      <c r="AM17" s="2466"/>
      <c r="AN17" s="2466"/>
      <c r="AO17" s="2466"/>
      <c r="AP17" s="2466"/>
      <c r="AQ17" s="2466"/>
      <c r="AR17" s="2466"/>
      <c r="AS17" s="2466"/>
      <c r="AT17" s="2466"/>
      <c r="AU17" s="2466"/>
      <c r="AV17" s="2466"/>
      <c r="AW17" s="2466"/>
      <c r="AX17" s="2466"/>
      <c r="AY17" s="2466"/>
      <c r="AZ17" s="2466"/>
      <c r="BA17" s="2466"/>
      <c r="BB17" s="2466"/>
      <c r="BC17" s="2466"/>
      <c r="BD17" s="2466"/>
      <c r="BE17" s="2466"/>
      <c r="BF17" s="2466"/>
      <c r="BG17" s="2466"/>
      <c r="BH17" s="2466"/>
      <c r="BI17" s="2466"/>
      <c r="BJ17" s="2466"/>
      <c r="BK17" s="2466"/>
      <c r="BL17" s="2466"/>
      <c r="BM17" s="2466"/>
      <c r="BN17" s="2466"/>
      <c r="BO17" s="2466"/>
      <c r="BP17" s="2466"/>
      <c r="BQ17" s="2466"/>
      <c r="BR17" s="2466"/>
      <c r="BS17" s="2466"/>
      <c r="BT17" s="2466"/>
      <c r="BU17" s="2466"/>
      <c r="BV17" s="2466"/>
      <c r="BW17" s="2466"/>
      <c r="BX17" s="2466"/>
      <c r="BY17" s="2466"/>
      <c r="BZ17" s="2466"/>
      <c r="CA17" s="2466"/>
      <c r="CB17" s="2466"/>
      <c r="CC17" s="2466"/>
      <c r="CD17" s="2466"/>
      <c r="CE17" s="2466"/>
      <c r="CF17" s="2466"/>
      <c r="CG17" s="2466"/>
      <c r="CH17" s="2466"/>
      <c r="CI17" s="2466"/>
      <c r="CJ17" s="2466"/>
      <c r="CK17" s="2466"/>
      <c r="CL17" s="2466"/>
      <c r="CM17" s="2466"/>
      <c r="CN17" s="2466"/>
      <c r="CO17" s="2466"/>
      <c r="CP17" s="2466"/>
      <c r="CQ17" s="2466"/>
      <c r="CR17" s="2466"/>
      <c r="CS17" s="2466"/>
    </row>
    <row r="18" spans="1:97" x14ac:dyDescent="0.25">
      <c r="A18" s="2358">
        <v>5</v>
      </c>
      <c r="B18" s="2358" t="s">
        <v>90</v>
      </c>
      <c r="C18" s="2358"/>
      <c r="Q18" s="2701"/>
      <c r="R18" s="2466"/>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6"/>
      <c r="AS18" s="2466"/>
      <c r="AT18" s="2466"/>
      <c r="AU18" s="2466"/>
      <c r="AV18" s="2466"/>
      <c r="AW18" s="2466"/>
      <c r="AX18" s="2466"/>
      <c r="AY18" s="2466"/>
      <c r="AZ18" s="2466"/>
      <c r="BA18" s="2466"/>
      <c r="BB18" s="2466"/>
      <c r="BC18" s="2466"/>
      <c r="BD18" s="2466"/>
      <c r="BE18" s="2466"/>
      <c r="BF18" s="2466"/>
      <c r="BG18" s="2466"/>
      <c r="BH18" s="2466"/>
      <c r="BI18" s="2466"/>
      <c r="BJ18" s="2466"/>
      <c r="BK18" s="2466"/>
      <c r="BL18" s="2466"/>
      <c r="BM18" s="2466"/>
      <c r="BN18" s="2466"/>
      <c r="BO18" s="2466"/>
      <c r="BP18" s="2466"/>
      <c r="BQ18" s="2466"/>
      <c r="BR18" s="2466"/>
      <c r="BS18" s="2466"/>
      <c r="BT18" s="2466"/>
      <c r="BU18" s="2466"/>
      <c r="BV18" s="2466"/>
      <c r="BW18" s="2466"/>
      <c r="BX18" s="2466"/>
      <c r="BY18" s="2466"/>
      <c r="BZ18" s="2466"/>
      <c r="CA18" s="2466"/>
      <c r="CB18" s="2466"/>
      <c r="CC18" s="2466"/>
      <c r="CD18" s="2466"/>
      <c r="CE18" s="2466"/>
      <c r="CF18" s="2466"/>
      <c r="CG18" s="2466"/>
      <c r="CH18" s="2466"/>
      <c r="CI18" s="2466"/>
      <c r="CJ18" s="2466"/>
      <c r="CK18" s="2466"/>
      <c r="CL18" s="2466"/>
      <c r="CM18" s="2466"/>
      <c r="CN18" s="2466"/>
      <c r="CO18" s="2466"/>
      <c r="CP18" s="2466"/>
      <c r="CQ18" s="2466"/>
      <c r="CR18" s="2466"/>
      <c r="CS18" s="2466"/>
    </row>
    <row r="27" spans="1:97" x14ac:dyDescent="0.25">
      <c r="B27" s="2640"/>
      <c r="C27" s="2640"/>
      <c r="Q27" s="2701"/>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2466"/>
      <c r="AM27" s="2466"/>
      <c r="AN27" s="2466"/>
      <c r="AO27" s="2466"/>
      <c r="AP27" s="2466"/>
      <c r="AQ27" s="2466"/>
      <c r="AR27" s="2466"/>
      <c r="AS27" s="2466"/>
      <c r="AT27" s="2466"/>
      <c r="AU27" s="2466"/>
      <c r="AV27" s="2466"/>
      <c r="AW27" s="2466"/>
      <c r="AX27" s="2466"/>
      <c r="AY27" s="2466"/>
      <c r="AZ27" s="2466"/>
      <c r="BA27" s="2466"/>
      <c r="BB27" s="2466"/>
      <c r="BC27" s="2466"/>
      <c r="BD27" s="2466"/>
      <c r="BE27" s="2466"/>
      <c r="BF27" s="2466"/>
      <c r="BG27" s="2466"/>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6"/>
      <c r="CD27" s="2466"/>
      <c r="CE27" s="2466"/>
      <c r="CF27" s="2466"/>
      <c r="CG27" s="2466"/>
      <c r="CH27" s="2466"/>
      <c r="CI27" s="2466"/>
      <c r="CJ27" s="2466"/>
      <c r="CK27" s="2466"/>
      <c r="CL27" s="2466"/>
      <c r="CM27" s="2466"/>
      <c r="CN27" s="2466"/>
      <c r="CO27" s="2466"/>
      <c r="CP27" s="2466"/>
      <c r="CQ27" s="2466"/>
      <c r="CR27" s="2466"/>
      <c r="CS27" s="2466"/>
    </row>
    <row r="38" spans="1:21" ht="12.75" customHeight="1" x14ac:dyDescent="0.2">
      <c r="A38" s="2358">
        <v>6</v>
      </c>
      <c r="B38" s="2433" t="s">
        <v>1115</v>
      </c>
      <c r="C38" s="2433"/>
      <c r="D38" s="4048" t="s">
        <v>1144</v>
      </c>
      <c r="E38" s="4049"/>
      <c r="F38" s="4049"/>
      <c r="G38" s="4049"/>
      <c r="H38" s="4049"/>
      <c r="I38" s="4049"/>
      <c r="J38" s="4049"/>
      <c r="K38" s="4049"/>
      <c r="L38" s="4049"/>
      <c r="M38" s="4049"/>
      <c r="N38" s="4049"/>
      <c r="O38" s="4049"/>
      <c r="P38" s="4049"/>
      <c r="Q38" s="4049"/>
      <c r="R38" s="4049"/>
      <c r="S38" s="4049"/>
      <c r="T38" s="4049"/>
      <c r="U38" s="4050"/>
    </row>
    <row r="39" spans="1:21" ht="12.75" customHeight="1" x14ac:dyDescent="0.2">
      <c r="A39" s="2358">
        <v>7</v>
      </c>
      <c r="B39" s="2433" t="s">
        <v>32</v>
      </c>
      <c r="C39" s="2433"/>
      <c r="D39" s="4048" t="s">
        <v>1145</v>
      </c>
      <c r="E39" s="4049"/>
      <c r="F39" s="4049"/>
      <c r="G39" s="4049"/>
      <c r="H39" s="4049"/>
      <c r="I39" s="4049"/>
      <c r="J39" s="4049"/>
      <c r="K39" s="4049"/>
      <c r="L39" s="4049"/>
      <c r="M39" s="4049"/>
      <c r="N39" s="4049"/>
      <c r="O39" s="4049"/>
      <c r="P39" s="4049"/>
      <c r="Q39" s="4049"/>
      <c r="R39" s="4049"/>
      <c r="S39" s="4049"/>
      <c r="T39" s="4049"/>
      <c r="U39" s="4050"/>
    </row>
    <row r="40" spans="1:21" ht="12.75" customHeight="1" x14ac:dyDescent="0.2">
      <c r="A40" s="2358">
        <v>8</v>
      </c>
      <c r="B40" s="2433" t="s">
        <v>31</v>
      </c>
      <c r="C40" s="2358"/>
      <c r="D40" s="4048" t="s">
        <v>1132</v>
      </c>
      <c r="E40" s="4049"/>
      <c r="F40" s="4049"/>
      <c r="G40" s="4049"/>
      <c r="H40" s="4049"/>
      <c r="I40" s="4049"/>
      <c r="J40" s="4049"/>
      <c r="K40" s="4049"/>
      <c r="L40" s="4049"/>
      <c r="M40" s="4049"/>
      <c r="N40" s="4049"/>
      <c r="O40" s="4049"/>
      <c r="P40" s="4049"/>
      <c r="Q40" s="4049"/>
      <c r="R40" s="4049"/>
      <c r="S40" s="4049"/>
      <c r="T40" s="4049"/>
      <c r="U40" s="4050"/>
    </row>
    <row r="41" spans="1:21" ht="17.25" customHeight="1" x14ac:dyDescent="0.2">
      <c r="A41" s="2358">
        <v>9</v>
      </c>
      <c r="B41" s="2433" t="s">
        <v>95</v>
      </c>
      <c r="D41" s="4048" t="s">
        <v>1146</v>
      </c>
      <c r="E41" s="4049"/>
      <c r="F41" s="4049"/>
      <c r="G41" s="4049"/>
      <c r="H41" s="4049"/>
      <c r="I41" s="4049"/>
      <c r="J41" s="4049"/>
      <c r="K41" s="4049"/>
      <c r="L41" s="4049"/>
      <c r="M41" s="4049"/>
      <c r="N41" s="4049"/>
      <c r="O41" s="4049"/>
      <c r="P41" s="4049"/>
      <c r="Q41" s="4049"/>
      <c r="R41" s="4049"/>
      <c r="S41" s="4049"/>
      <c r="T41" s="4049"/>
      <c r="U41" s="4050"/>
    </row>
    <row r="45" spans="1:21" x14ac:dyDescent="0.2">
      <c r="D45" s="2634" t="s">
        <v>6</v>
      </c>
      <c r="E45" s="2634" t="s">
        <v>1135</v>
      </c>
      <c r="F45" s="2424"/>
    </row>
    <row r="46" spans="1:21" x14ac:dyDescent="0.2">
      <c r="D46" s="2435"/>
      <c r="E46" s="1776" t="s">
        <v>139</v>
      </c>
      <c r="F46" s="1776" t="s">
        <v>140</v>
      </c>
      <c r="G46" s="1776" t="s">
        <v>141</v>
      </c>
      <c r="H46" s="1776" t="s">
        <v>1053</v>
      </c>
      <c r="I46" s="1776" t="s">
        <v>143</v>
      </c>
      <c r="J46" s="1776" t="s">
        <v>1147</v>
      </c>
      <c r="K46" s="1776" t="s">
        <v>145</v>
      </c>
      <c r="L46" s="1776" t="s">
        <v>8</v>
      </c>
      <c r="M46" s="1776" t="s">
        <v>9</v>
      </c>
      <c r="N46" s="1776" t="s">
        <v>10</v>
      </c>
      <c r="O46" s="1776" t="s">
        <v>11</v>
      </c>
      <c r="P46" s="1776" t="s">
        <v>12</v>
      </c>
      <c r="Q46" s="1776" t="s">
        <v>13</v>
      </c>
      <c r="R46" s="1776" t="s">
        <v>14</v>
      </c>
      <c r="S46" s="1776" t="s">
        <v>15</v>
      </c>
      <c r="T46" s="1776" t="s">
        <v>333</v>
      </c>
    </row>
    <row r="47" spans="1:21" x14ac:dyDescent="0.2">
      <c r="D47" s="2707" t="s">
        <v>1137</v>
      </c>
      <c r="E47" s="2708">
        <v>14691</v>
      </c>
      <c r="F47" s="2708">
        <v>13793</v>
      </c>
      <c r="G47" s="2708">
        <v>12434</v>
      </c>
      <c r="H47" s="2708">
        <v>12825</v>
      </c>
      <c r="I47" s="2708">
        <v>13599</v>
      </c>
      <c r="J47" s="2708">
        <v>14201</v>
      </c>
      <c r="K47" s="2708">
        <v>14915</v>
      </c>
      <c r="L47" s="2708">
        <v>13902</v>
      </c>
      <c r="M47" s="2708">
        <v>10627</v>
      </c>
      <c r="N47" s="2708">
        <v>9475</v>
      </c>
      <c r="O47" s="2708">
        <v>9990</v>
      </c>
      <c r="P47" s="2708">
        <v>11221</v>
      </c>
      <c r="Q47" s="2708">
        <v>12773</v>
      </c>
      <c r="R47" s="2708">
        <v>14602</v>
      </c>
      <c r="S47" s="2708">
        <v>16717</v>
      </c>
      <c r="T47" s="2708">
        <v>16325</v>
      </c>
    </row>
    <row r="48" spans="1:21" x14ac:dyDescent="0.2">
      <c r="D48" s="2707" t="s">
        <v>1138</v>
      </c>
      <c r="E48" s="2708">
        <v>986</v>
      </c>
      <c r="F48" s="2708">
        <v>901</v>
      </c>
      <c r="G48" s="2708">
        <v>930</v>
      </c>
      <c r="H48" s="2708">
        <v>829</v>
      </c>
      <c r="I48" s="2708">
        <v>892</v>
      </c>
      <c r="J48" s="2708">
        <v>1245</v>
      </c>
      <c r="K48" s="2708">
        <v>1437</v>
      </c>
      <c r="L48" s="2708">
        <v>1412</v>
      </c>
      <c r="M48" s="2708">
        <v>999</v>
      </c>
      <c r="N48" s="2708">
        <v>821</v>
      </c>
      <c r="O48" s="2708">
        <v>943</v>
      </c>
      <c r="P48" s="2708">
        <v>991</v>
      </c>
      <c r="Q48" s="2708">
        <v>1279</v>
      </c>
      <c r="R48" s="2708">
        <v>1184</v>
      </c>
      <c r="S48" s="2708">
        <v>1183</v>
      </c>
      <c r="T48" s="2708">
        <v>1202</v>
      </c>
    </row>
    <row r="49" spans="4:20" x14ac:dyDescent="0.2">
      <c r="D49" s="2707" t="s">
        <v>1139</v>
      </c>
      <c r="E49" s="2708">
        <v>374</v>
      </c>
      <c r="F49" s="2708">
        <v>192</v>
      </c>
      <c r="G49" s="2708">
        <v>220</v>
      </c>
      <c r="H49" s="2708">
        <v>383</v>
      </c>
      <c r="I49" s="2708">
        <v>467</v>
      </c>
      <c r="J49" s="2708">
        <v>395</v>
      </c>
      <c r="K49" s="2708">
        <v>386</v>
      </c>
      <c r="L49" s="2708">
        <v>358</v>
      </c>
      <c r="M49" s="2708">
        <v>291</v>
      </c>
      <c r="N49" s="2708">
        <v>182</v>
      </c>
      <c r="O49" s="2708">
        <v>145</v>
      </c>
      <c r="P49" s="2708">
        <v>145</v>
      </c>
      <c r="Q49" s="2708">
        <v>119</v>
      </c>
      <c r="R49" s="2708">
        <v>137</v>
      </c>
      <c r="S49" s="2708">
        <v>152</v>
      </c>
      <c r="T49" s="2708">
        <v>238</v>
      </c>
    </row>
    <row r="50" spans="4:20" x14ac:dyDescent="0.2">
      <c r="D50" s="2707" t="s">
        <v>1140</v>
      </c>
      <c r="E50" s="2709"/>
      <c r="F50" s="2709"/>
      <c r="G50" s="2709">
        <v>100436</v>
      </c>
      <c r="H50" s="2709">
        <v>91070</v>
      </c>
      <c r="I50" s="2709">
        <v>92021</v>
      </c>
      <c r="J50" s="2709">
        <v>77984</v>
      </c>
      <c r="K50" s="2709">
        <v>72194</v>
      </c>
      <c r="L50" s="2709">
        <v>67670</v>
      </c>
      <c r="M50" s="2709">
        <v>57951</v>
      </c>
      <c r="N50" s="2709">
        <v>57973</v>
      </c>
      <c r="O50" s="2709">
        <v>60476</v>
      </c>
      <c r="P50" s="2709">
        <v>69240</v>
      </c>
      <c r="Q50" s="2708">
        <v>54927</v>
      </c>
      <c r="R50" s="2708">
        <v>54110</v>
      </c>
      <c r="S50" s="2708">
        <v>53418</v>
      </c>
      <c r="T50" s="2708">
        <v>50730</v>
      </c>
    </row>
    <row r="51" spans="4:20" x14ac:dyDescent="0.2">
      <c r="D51" s="2707" t="s">
        <v>1141</v>
      </c>
      <c r="E51" s="2708">
        <v>127</v>
      </c>
      <c r="F51" s="2708">
        <v>54</v>
      </c>
      <c r="G51" s="2708">
        <v>58</v>
      </c>
      <c r="H51" s="2708">
        <v>59</v>
      </c>
      <c r="I51" s="2708">
        <v>129</v>
      </c>
      <c r="J51" s="2708">
        <v>144</v>
      </c>
      <c r="K51" s="2708">
        <v>102</v>
      </c>
      <c r="L51" s="2708">
        <v>93</v>
      </c>
      <c r="M51" s="2708">
        <v>39</v>
      </c>
      <c r="N51" s="2708">
        <v>35</v>
      </c>
      <c r="O51" s="2708">
        <v>7</v>
      </c>
      <c r="P51" s="2708">
        <v>21</v>
      </c>
      <c r="Q51" s="2708">
        <v>17</v>
      </c>
      <c r="R51" s="2708">
        <v>6</v>
      </c>
      <c r="S51" s="2708">
        <v>3</v>
      </c>
      <c r="T51" s="2708">
        <v>13</v>
      </c>
    </row>
    <row r="52" spans="4:20" x14ac:dyDescent="0.2">
      <c r="D52" s="2707" t="s">
        <v>1142</v>
      </c>
      <c r="E52" s="2708">
        <v>9063</v>
      </c>
      <c r="F52" s="2708">
        <v>9351</v>
      </c>
      <c r="G52" s="2708">
        <v>9391</v>
      </c>
      <c r="H52" s="2708">
        <v>10173</v>
      </c>
      <c r="I52" s="2708">
        <v>12761</v>
      </c>
      <c r="J52" s="2708">
        <v>14481</v>
      </c>
      <c r="K52" s="2708">
        <v>18438</v>
      </c>
      <c r="L52" s="2708">
        <v>18786</v>
      </c>
      <c r="M52" s="2708">
        <v>16889</v>
      </c>
      <c r="N52" s="2708">
        <v>16766</v>
      </c>
      <c r="O52" s="2708">
        <v>17950</v>
      </c>
      <c r="P52" s="2708">
        <v>19284</v>
      </c>
      <c r="Q52" s="2708">
        <v>20281</v>
      </c>
      <c r="R52" s="2708">
        <v>20820</v>
      </c>
      <c r="S52" s="2708">
        <v>22343</v>
      </c>
      <c r="T52" s="2708">
        <v>22261</v>
      </c>
    </row>
    <row r="53" spans="4:20" ht="22.5" x14ac:dyDescent="0.2">
      <c r="D53" s="2711" t="s">
        <v>1143</v>
      </c>
      <c r="E53" s="2712">
        <v>5498</v>
      </c>
      <c r="F53" s="2712">
        <v>3677</v>
      </c>
      <c r="G53" s="2712">
        <v>3320</v>
      </c>
      <c r="H53" s="2712">
        <v>4387</v>
      </c>
      <c r="I53" s="2712">
        <v>6689</v>
      </c>
      <c r="J53" s="2712">
        <v>9862</v>
      </c>
      <c r="K53" s="2712">
        <v>13920</v>
      </c>
      <c r="L53" s="2712">
        <v>14534</v>
      </c>
      <c r="M53" s="2712">
        <v>14667</v>
      </c>
      <c r="N53" s="2712">
        <v>15951</v>
      </c>
      <c r="O53" s="2712">
        <v>16377</v>
      </c>
      <c r="P53" s="2712">
        <v>18615</v>
      </c>
      <c r="Q53" s="2712">
        <v>19170</v>
      </c>
      <c r="R53" s="2712">
        <v>19698</v>
      </c>
      <c r="S53" s="2712">
        <v>20680</v>
      </c>
      <c r="T53" s="2712">
        <v>20047</v>
      </c>
    </row>
    <row r="55" spans="4:20" x14ac:dyDescent="0.2">
      <c r="F55" s="2719">
        <v>12783</v>
      </c>
      <c r="G55" s="2719">
        <v>13534</v>
      </c>
      <c r="H55" s="2719">
        <v>14152</v>
      </c>
      <c r="I55" s="2719">
        <v>14855</v>
      </c>
      <c r="J55" s="2719">
        <v>13852</v>
      </c>
      <c r="K55" s="2719">
        <v>10541</v>
      </c>
      <c r="L55" s="2719">
        <v>9417</v>
      </c>
      <c r="M55" s="2719">
        <v>9931</v>
      </c>
      <c r="N55" s="2719">
        <v>11180</v>
      </c>
      <c r="O55" s="2719">
        <v>12773</v>
      </c>
      <c r="P55" s="2719">
        <v>1593</v>
      </c>
      <c r="Q55" s="2720"/>
    </row>
    <row r="56" spans="4:20" x14ac:dyDescent="0.2">
      <c r="F56" s="2721"/>
      <c r="G56" s="2721"/>
      <c r="H56" s="2721"/>
      <c r="I56" s="2721"/>
      <c r="J56" s="2721"/>
      <c r="K56" s="2721"/>
      <c r="L56" s="2721"/>
      <c r="M56" s="2721"/>
      <c r="N56" s="2721"/>
      <c r="O56" s="2721"/>
      <c r="P56" s="2721"/>
      <c r="Q56" s="2722"/>
    </row>
    <row r="57" spans="4:20" x14ac:dyDescent="0.2">
      <c r="D57" s="2634" t="s">
        <v>6</v>
      </c>
      <c r="E57" s="2634" t="s">
        <v>1135</v>
      </c>
      <c r="F57" s="2424"/>
    </row>
    <row r="58" spans="4:20" x14ac:dyDescent="0.2">
      <c r="D58" s="2435"/>
      <c r="E58" s="2723" t="s">
        <v>141</v>
      </c>
      <c r="F58" s="2723" t="s">
        <v>142</v>
      </c>
      <c r="G58" s="2723" t="s">
        <v>143</v>
      </c>
      <c r="H58" s="2723" t="s">
        <v>144</v>
      </c>
      <c r="I58" s="2723" t="s">
        <v>145</v>
      </c>
      <c r="J58" s="2723" t="s">
        <v>8</v>
      </c>
      <c r="K58" s="2723" t="s">
        <v>9</v>
      </c>
      <c r="L58" s="2723" t="s">
        <v>10</v>
      </c>
      <c r="M58" s="2723" t="s">
        <v>11</v>
      </c>
      <c r="N58" s="2723" t="s">
        <v>12</v>
      </c>
      <c r="O58" s="2723" t="s">
        <v>13</v>
      </c>
      <c r="P58" s="2723" t="s">
        <v>14</v>
      </c>
      <c r="Q58" s="2723" t="s">
        <v>15</v>
      </c>
      <c r="R58" s="2723" t="s">
        <v>333</v>
      </c>
    </row>
    <row r="59" spans="4:20" x14ac:dyDescent="0.2">
      <c r="D59" s="2707" t="s">
        <v>1137</v>
      </c>
      <c r="E59" s="2724">
        <v>100</v>
      </c>
      <c r="F59" s="2724">
        <f>+H47/$G47*100</f>
        <v>103.1446035065144</v>
      </c>
      <c r="G59" s="2724">
        <f>+I47/$G47*100</f>
        <v>109.3694708058549</v>
      </c>
      <c r="H59" s="2724">
        <f>+J47/$G47*100</f>
        <v>114.21103426089753</v>
      </c>
      <c r="I59" s="2724">
        <f>+K47/$G47*100</f>
        <v>119.953353707576</v>
      </c>
      <c r="J59" s="2724">
        <f t="shared" ref="J59:N65" si="1">+L47/$G47*100</f>
        <v>111.80633746179829</v>
      </c>
      <c r="K59" s="2724">
        <f t="shared" si="1"/>
        <v>85.467267170661088</v>
      </c>
      <c r="L59" s="2724">
        <f t="shared" si="1"/>
        <v>76.202348399549621</v>
      </c>
      <c r="M59" s="2724">
        <f t="shared" si="1"/>
        <v>80.344217468232273</v>
      </c>
      <c r="N59" s="2724">
        <f>+P47/$G47*100</f>
        <v>90.244490912015436</v>
      </c>
      <c r="O59" s="2724">
        <f>+Q47/$G47*100</f>
        <v>102.72639536754062</v>
      </c>
      <c r="P59" s="2724">
        <f t="shared" ref="P59:R65" si="2">+R47/$G47*100</f>
        <v>117.43606240952226</v>
      </c>
      <c r="Q59" s="2725">
        <f t="shared" si="2"/>
        <v>134.44587421585973</v>
      </c>
      <c r="R59" s="2725">
        <f t="shared" si="2"/>
        <v>131.29322824513432</v>
      </c>
    </row>
    <row r="60" spans="4:20" x14ac:dyDescent="0.2">
      <c r="D60" s="2707" t="s">
        <v>1138</v>
      </c>
      <c r="E60" s="2724">
        <v>100</v>
      </c>
      <c r="F60" s="2724">
        <f t="shared" ref="F60:I65" si="3">+H48/$G48*100</f>
        <v>89.13978494623656</v>
      </c>
      <c r="G60" s="2724">
        <f t="shared" si="3"/>
        <v>95.913978494623649</v>
      </c>
      <c r="H60" s="2724">
        <f t="shared" si="3"/>
        <v>133.87096774193549</v>
      </c>
      <c r="I60" s="2724">
        <f t="shared" si="3"/>
        <v>154.51612903225808</v>
      </c>
      <c r="J60" s="2724">
        <f t="shared" si="1"/>
        <v>151.82795698924733</v>
      </c>
      <c r="K60" s="2724">
        <f t="shared" si="1"/>
        <v>107.41935483870968</v>
      </c>
      <c r="L60" s="2724">
        <f>+N48/$G48*100</f>
        <v>88.27956989247312</v>
      </c>
      <c r="M60" s="2724">
        <f t="shared" si="1"/>
        <v>101.39784946236558</v>
      </c>
      <c r="N60" s="2724">
        <f>+P48/$G48*100</f>
        <v>106.55913978494624</v>
      </c>
      <c r="O60" s="2724">
        <f t="shared" ref="O60:O65" si="4">+Q48/$G48*100</f>
        <v>137.52688172043011</v>
      </c>
      <c r="P60" s="2724">
        <f t="shared" si="2"/>
        <v>127.31182795698925</v>
      </c>
      <c r="Q60" s="2725">
        <f t="shared" si="2"/>
        <v>127.20430107526882</v>
      </c>
      <c r="R60" s="2725">
        <f t="shared" si="2"/>
        <v>129.24731182795699</v>
      </c>
    </row>
    <row r="61" spans="4:20" x14ac:dyDescent="0.2">
      <c r="D61" s="2707" t="s">
        <v>1139</v>
      </c>
      <c r="E61" s="2724">
        <v>100</v>
      </c>
      <c r="F61" s="2724">
        <f t="shared" si="3"/>
        <v>174.09090909090909</v>
      </c>
      <c r="G61" s="2724">
        <f t="shared" si="3"/>
        <v>212.27272727272725</v>
      </c>
      <c r="H61" s="2724">
        <f t="shared" si="3"/>
        <v>179.54545454545453</v>
      </c>
      <c r="I61" s="2724">
        <f t="shared" si="3"/>
        <v>175.45454545454547</v>
      </c>
      <c r="J61" s="2724">
        <f t="shared" si="1"/>
        <v>162.72727272727272</v>
      </c>
      <c r="K61" s="2724">
        <f t="shared" si="1"/>
        <v>132.27272727272728</v>
      </c>
      <c r="L61" s="2724">
        <f t="shared" si="1"/>
        <v>82.727272727272734</v>
      </c>
      <c r="M61" s="2724">
        <f t="shared" si="1"/>
        <v>65.909090909090907</v>
      </c>
      <c r="N61" s="2724">
        <f t="shared" si="1"/>
        <v>65.909090909090907</v>
      </c>
      <c r="O61" s="2724">
        <f t="shared" si="4"/>
        <v>54.090909090909086</v>
      </c>
      <c r="P61" s="2724">
        <f t="shared" si="2"/>
        <v>62.272727272727266</v>
      </c>
      <c r="Q61" s="2725">
        <f t="shared" si="2"/>
        <v>69.090909090909093</v>
      </c>
      <c r="R61" s="2725">
        <f t="shared" si="2"/>
        <v>108.18181818181817</v>
      </c>
    </row>
    <row r="62" spans="4:20" x14ac:dyDescent="0.2">
      <c r="D62" s="2707" t="s">
        <v>1140</v>
      </c>
      <c r="E62" s="2724">
        <v>100</v>
      </c>
      <c r="F62" s="2724">
        <f t="shared" si="3"/>
        <v>90.674658488988015</v>
      </c>
      <c r="G62" s="2724">
        <f t="shared" si="3"/>
        <v>91.621530128639122</v>
      </c>
      <c r="H62" s="2724">
        <f t="shared" si="3"/>
        <v>77.645465769246087</v>
      </c>
      <c r="I62" s="2724">
        <f t="shared" si="3"/>
        <v>71.880600581464819</v>
      </c>
      <c r="J62" s="2724">
        <f t="shared" si="1"/>
        <v>67.376239595364211</v>
      </c>
      <c r="K62" s="2724">
        <f t="shared" si="1"/>
        <v>57.699430483093714</v>
      </c>
      <c r="L62" s="2724">
        <f t="shared" si="1"/>
        <v>57.721334979489427</v>
      </c>
      <c r="M62" s="2724">
        <f t="shared" si="1"/>
        <v>60.213469273965515</v>
      </c>
      <c r="N62" s="2724">
        <f t="shared" si="1"/>
        <v>68.939424110876573</v>
      </c>
      <c r="O62" s="2724">
        <f t="shared" si="4"/>
        <v>54.688557887610024</v>
      </c>
      <c r="P62" s="2724">
        <f t="shared" si="2"/>
        <v>53.875104544187344</v>
      </c>
      <c r="Q62" s="2725">
        <f t="shared" si="2"/>
        <v>53.186108566649402</v>
      </c>
      <c r="R62" s="2725">
        <f t="shared" si="2"/>
        <v>50.509777370663912</v>
      </c>
    </row>
    <row r="63" spans="4:20" x14ac:dyDescent="0.2">
      <c r="D63" s="2707" t="s">
        <v>1141</v>
      </c>
      <c r="E63" s="2724">
        <v>100</v>
      </c>
      <c r="F63" s="2724">
        <f t="shared" si="3"/>
        <v>101.72413793103448</v>
      </c>
      <c r="G63" s="2724">
        <f t="shared" si="3"/>
        <v>222.41379310344826</v>
      </c>
      <c r="H63" s="2724">
        <f t="shared" si="3"/>
        <v>248.27586206896552</v>
      </c>
      <c r="I63" s="2724">
        <f t="shared" si="3"/>
        <v>175.86206896551724</v>
      </c>
      <c r="J63" s="2724">
        <f t="shared" si="1"/>
        <v>160.34482758620689</v>
      </c>
      <c r="K63" s="2724">
        <f t="shared" si="1"/>
        <v>67.241379310344826</v>
      </c>
      <c r="L63" s="2724">
        <f t="shared" si="1"/>
        <v>60.344827586206897</v>
      </c>
      <c r="M63" s="2724">
        <f t="shared" si="1"/>
        <v>12.068965517241379</v>
      </c>
      <c r="N63" s="2724">
        <f t="shared" si="1"/>
        <v>36.206896551724135</v>
      </c>
      <c r="O63" s="2724">
        <f t="shared" si="4"/>
        <v>29.310344827586203</v>
      </c>
      <c r="P63" s="2724">
        <f t="shared" si="2"/>
        <v>10.344827586206897</v>
      </c>
      <c r="Q63" s="2725">
        <f t="shared" si="2"/>
        <v>5.1724137931034484</v>
      </c>
      <c r="R63" s="2725">
        <f t="shared" si="2"/>
        <v>22.413793103448278</v>
      </c>
    </row>
    <row r="64" spans="4:20" x14ac:dyDescent="0.2">
      <c r="D64" s="2707" t="s">
        <v>1142</v>
      </c>
      <c r="E64" s="2724">
        <v>100</v>
      </c>
      <c r="F64" s="2724">
        <f t="shared" si="3"/>
        <v>108.32712171227772</v>
      </c>
      <c r="G64" s="2724">
        <f t="shared" si="3"/>
        <v>135.88542221275691</v>
      </c>
      <c r="H64" s="2724"/>
      <c r="I64" s="2724">
        <f t="shared" si="3"/>
        <v>196.33691832605686</v>
      </c>
      <c r="J64" s="2724">
        <f t="shared" si="1"/>
        <v>200.04259397295283</v>
      </c>
      <c r="K64" s="2724">
        <f t="shared" si="1"/>
        <v>179.84240230007453</v>
      </c>
      <c r="L64" s="2724">
        <f t="shared" si="1"/>
        <v>178.53263763177509</v>
      </c>
      <c r="M64" s="2724">
        <f t="shared" si="1"/>
        <v>191.14045362581194</v>
      </c>
      <c r="N64" s="2724">
        <f t="shared" si="1"/>
        <v>205.34554360557982</v>
      </c>
      <c r="O64" s="2724">
        <f t="shared" si="4"/>
        <v>215.96209136407199</v>
      </c>
      <c r="P64" s="2724">
        <f t="shared" si="2"/>
        <v>221.70162921946545</v>
      </c>
      <c r="Q64" s="2725">
        <f t="shared" si="2"/>
        <v>237.91928442125442</v>
      </c>
      <c r="R64" s="2725">
        <f t="shared" si="2"/>
        <v>237.04610797572144</v>
      </c>
    </row>
    <row r="65" spans="4:18" ht="22.5" x14ac:dyDescent="0.2">
      <c r="D65" s="2711" t="s">
        <v>1143</v>
      </c>
      <c r="E65" s="2726">
        <v>100</v>
      </c>
      <c r="F65" s="2726">
        <f t="shared" si="3"/>
        <v>132.13855421686748</v>
      </c>
      <c r="G65" s="2726">
        <f t="shared" si="3"/>
        <v>201.47590361445782</v>
      </c>
      <c r="H65" s="2726">
        <f t="shared" si="3"/>
        <v>297.0481927710843</v>
      </c>
      <c r="I65" s="2726">
        <f t="shared" si="3"/>
        <v>419.2771084337349</v>
      </c>
      <c r="J65" s="2726">
        <f t="shared" si="1"/>
        <v>437.77108433734941</v>
      </c>
      <c r="K65" s="2726">
        <f t="shared" si="1"/>
        <v>441.77710843373495</v>
      </c>
      <c r="L65" s="2726">
        <f t="shared" si="1"/>
        <v>480.4518072289157</v>
      </c>
      <c r="M65" s="2726">
        <f t="shared" si="1"/>
        <v>493.2831325301205</v>
      </c>
      <c r="N65" s="2726">
        <f t="shared" si="1"/>
        <v>560.69277108433732</v>
      </c>
      <c r="O65" s="2726">
        <f t="shared" si="4"/>
        <v>577.40963855421694</v>
      </c>
      <c r="P65" s="2726">
        <f t="shared" si="2"/>
        <v>593.31325301204822</v>
      </c>
      <c r="Q65" s="2727">
        <f t="shared" si="2"/>
        <v>622.89156626506031</v>
      </c>
      <c r="R65" s="2727">
        <f t="shared" si="2"/>
        <v>603.82530120481931</v>
      </c>
    </row>
  </sheetData>
  <mergeCells count="7">
    <mergeCell ref="D40:U40"/>
    <mergeCell ref="D41:U41"/>
    <mergeCell ref="D2:U2"/>
    <mergeCell ref="D3:U3"/>
    <mergeCell ref="D4:U4"/>
    <mergeCell ref="D38:U38"/>
    <mergeCell ref="D39:U39"/>
  </mergeCells>
  <pageMargins left="0.74803149606299213" right="0.74803149606299213" top="0.98425196850393704" bottom="0.98425196850393704" header="0.51181102362204722" footer="0.51181102362204722"/>
  <pageSetup paperSize="9" scale="47"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42"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V54"/>
  <sheetViews>
    <sheetView showGridLines="0" view="pageBreakPreview" zoomScaleNormal="100" zoomScaleSheetLayoutView="100" workbookViewId="0">
      <selection activeCell="D38" sqref="D38"/>
    </sheetView>
  </sheetViews>
  <sheetFormatPr defaultColWidth="9.140625" defaultRowHeight="15" x14ac:dyDescent="0.25"/>
  <cols>
    <col min="1" max="1" width="3.7109375" style="2358" customWidth="1"/>
    <col min="2" max="2" width="14.85546875" style="2355" customWidth="1"/>
    <col min="3" max="3" width="9.5703125" style="2355" customWidth="1"/>
    <col min="4" max="4" width="12.140625" style="2357" customWidth="1"/>
    <col min="5" max="5" width="9.7109375" style="2357" customWidth="1"/>
    <col min="6" max="6" width="8.28515625" style="2699" bestFit="1" customWidth="1"/>
    <col min="7" max="7" width="8.7109375" style="2357" customWidth="1"/>
    <col min="8" max="8" width="8.5703125" style="2357" customWidth="1"/>
    <col min="9" max="11" width="8.28515625" style="2357" bestFit="1" customWidth="1"/>
    <col min="12" max="12" width="8.5703125" style="2357" customWidth="1"/>
    <col min="13" max="13" width="8.28515625" style="2357" customWidth="1"/>
    <col min="14" max="15" width="8" style="2357" customWidth="1"/>
    <col min="16" max="17" width="8.140625" style="2357" customWidth="1"/>
    <col min="18" max="18" width="7.42578125" style="2357" customWidth="1"/>
    <col min="19" max="19" width="6.85546875" style="2357" customWidth="1"/>
    <col min="20" max="20" width="9.7109375" style="2357" customWidth="1"/>
    <col min="21" max="16384" width="9.140625" style="2357"/>
  </cols>
  <sheetData>
    <row r="1" spans="1:22" x14ac:dyDescent="0.25">
      <c r="D1" s="2356"/>
      <c r="E1" s="2356"/>
      <c r="F1" s="2673"/>
      <c r="G1" s="2356"/>
      <c r="H1" s="2356"/>
      <c r="I1" s="2356"/>
      <c r="J1" s="2356"/>
      <c r="K1" s="2356"/>
      <c r="L1" s="2356"/>
      <c r="M1" s="2356"/>
      <c r="N1" s="2356"/>
      <c r="O1" s="2356"/>
      <c r="P1" s="2356"/>
      <c r="Q1" s="2356"/>
      <c r="R1" s="2356"/>
    </row>
    <row r="2" spans="1:22" ht="13.15" customHeight="1" x14ac:dyDescent="0.25">
      <c r="A2" s="2358">
        <v>1</v>
      </c>
      <c r="B2" s="2358" t="s">
        <v>0</v>
      </c>
      <c r="C2" s="2358">
        <f>1+'Serious robberies'!C2</f>
        <v>65</v>
      </c>
      <c r="D2" s="4057" t="s">
        <v>1148</v>
      </c>
      <c r="E2" s="4058"/>
      <c r="F2" s="4058"/>
      <c r="G2" s="4058"/>
      <c r="H2" s="4058"/>
      <c r="I2" s="4058"/>
      <c r="J2" s="4058"/>
      <c r="K2" s="4058"/>
      <c r="L2" s="4058"/>
      <c r="M2" s="4058"/>
      <c r="N2" s="4058"/>
      <c r="O2" s="4058"/>
      <c r="P2" s="4058"/>
      <c r="Q2" s="4058"/>
      <c r="R2" s="4058"/>
      <c r="S2" s="4058"/>
      <c r="T2" s="4059"/>
      <c r="U2" s="2359"/>
      <c r="V2" s="2359"/>
    </row>
    <row r="3" spans="1:22" ht="15" customHeight="1" x14ac:dyDescent="0.25">
      <c r="A3" s="2358">
        <v>2</v>
      </c>
      <c r="B3" s="2358" t="s">
        <v>2</v>
      </c>
      <c r="C3" s="2358"/>
      <c r="D3" s="4057" t="s">
        <v>1032</v>
      </c>
      <c r="E3" s="4058"/>
      <c r="F3" s="4058"/>
      <c r="G3" s="4058"/>
      <c r="H3" s="4058"/>
      <c r="I3" s="4058"/>
      <c r="J3" s="4058"/>
      <c r="K3" s="4058"/>
      <c r="L3" s="4058"/>
      <c r="M3" s="4058"/>
      <c r="N3" s="4058"/>
      <c r="O3" s="4058"/>
      <c r="P3" s="4058"/>
      <c r="Q3" s="4058"/>
      <c r="R3" s="4058"/>
      <c r="S3" s="4058"/>
      <c r="T3" s="4059"/>
    </row>
    <row r="4" spans="1:22" ht="12.75" customHeight="1" x14ac:dyDescent="0.25">
      <c r="A4" s="2358">
        <v>3</v>
      </c>
      <c r="B4" s="2358" t="s">
        <v>4</v>
      </c>
      <c r="C4" s="2358"/>
      <c r="D4" s="4057" t="s">
        <v>1149</v>
      </c>
      <c r="E4" s="4058"/>
      <c r="F4" s="4058"/>
      <c r="G4" s="4058"/>
      <c r="H4" s="4058"/>
      <c r="I4" s="4058"/>
      <c r="J4" s="4058"/>
      <c r="K4" s="4058"/>
      <c r="L4" s="4058"/>
      <c r="M4" s="4058"/>
      <c r="N4" s="4058"/>
      <c r="O4" s="4058"/>
      <c r="P4" s="4058"/>
      <c r="Q4" s="4058"/>
      <c r="R4" s="4058"/>
      <c r="S4" s="4058"/>
      <c r="T4" s="4059"/>
    </row>
    <row r="5" spans="1:22" ht="13.5" customHeight="1" x14ac:dyDescent="0.25">
      <c r="A5" s="2633"/>
      <c r="B5" s="2633"/>
      <c r="C5" s="2633"/>
      <c r="D5" s="4418"/>
      <c r="E5" s="4418"/>
      <c r="F5" s="4418"/>
      <c r="G5" s="4418"/>
      <c r="H5" s="4418"/>
      <c r="I5" s="4418"/>
      <c r="J5" s="4418"/>
      <c r="K5" s="4418"/>
      <c r="L5" s="4418"/>
      <c r="M5" s="4418"/>
      <c r="N5" s="2728"/>
      <c r="O5" s="2728"/>
      <c r="P5" s="229"/>
      <c r="Q5" s="320"/>
      <c r="R5" s="320"/>
    </row>
    <row r="6" spans="1:22" x14ac:dyDescent="0.25">
      <c r="A6" s="2358">
        <v>4</v>
      </c>
      <c r="B6" s="902" t="s">
        <v>5</v>
      </c>
      <c r="D6" s="304" t="s">
        <v>40</v>
      </c>
      <c r="E6" s="123" t="s">
        <v>1150</v>
      </c>
      <c r="F6" s="556"/>
      <c r="G6" s="556"/>
      <c r="H6" s="556"/>
      <c r="I6" s="556"/>
      <c r="J6" s="556"/>
      <c r="K6" s="556"/>
      <c r="L6" s="556"/>
      <c r="M6" s="556"/>
      <c r="N6" s="122"/>
      <c r="O6" s="945"/>
      <c r="P6" s="945"/>
      <c r="Q6" s="320"/>
      <c r="R6" s="320"/>
      <c r="S6" s="320"/>
      <c r="T6" s="320"/>
    </row>
    <row r="7" spans="1:22" x14ac:dyDescent="0.25">
      <c r="A7" s="2679"/>
      <c r="B7" s="1391"/>
      <c r="C7" s="1391"/>
      <c r="D7" s="2439"/>
      <c r="E7" s="2661" t="s">
        <v>140</v>
      </c>
      <c r="F7" s="2661" t="s">
        <v>141</v>
      </c>
      <c r="G7" s="2661" t="s">
        <v>142</v>
      </c>
      <c r="H7" s="2661" t="s">
        <v>143</v>
      </c>
      <c r="I7" s="2661" t="s">
        <v>144</v>
      </c>
      <c r="J7" s="2661" t="s">
        <v>145</v>
      </c>
      <c r="K7" s="2661" t="s">
        <v>8</v>
      </c>
      <c r="L7" s="2661" t="s">
        <v>9</v>
      </c>
      <c r="M7" s="2661" t="s">
        <v>10</v>
      </c>
      <c r="N7" s="2437" t="s">
        <v>11</v>
      </c>
      <c r="O7" s="2437" t="s">
        <v>12</v>
      </c>
      <c r="P7" s="2729" t="s">
        <v>13</v>
      </c>
      <c r="Q7" s="2729" t="s">
        <v>14</v>
      </c>
      <c r="R7" s="2729" t="s">
        <v>15</v>
      </c>
      <c r="S7" s="2729" t="s">
        <v>333</v>
      </c>
    </row>
    <row r="8" spans="1:22" ht="5.25" customHeight="1" x14ac:dyDescent="0.25">
      <c r="A8" s="2679"/>
      <c r="B8" s="1391"/>
      <c r="C8" s="1391"/>
      <c r="D8" s="2686"/>
      <c r="E8" s="2730"/>
      <c r="F8" s="2730"/>
      <c r="G8" s="2730"/>
      <c r="H8" s="2730"/>
      <c r="I8" s="2730"/>
      <c r="J8" s="2730"/>
      <c r="K8" s="2730"/>
      <c r="L8" s="2730"/>
      <c r="M8" s="2731"/>
      <c r="N8" s="2730"/>
      <c r="O8" s="2730"/>
      <c r="P8" s="2732"/>
      <c r="Q8" s="2733"/>
      <c r="R8" s="2733"/>
      <c r="S8" s="2733"/>
      <c r="T8" s="2680"/>
      <c r="U8" s="2680"/>
    </row>
    <row r="9" spans="1:22" x14ac:dyDescent="0.25">
      <c r="A9" s="2679"/>
      <c r="B9" s="1391"/>
      <c r="C9" s="1391"/>
      <c r="D9" s="17" t="s">
        <v>19</v>
      </c>
      <c r="E9" s="2734">
        <v>7893</v>
      </c>
      <c r="F9" s="2734">
        <v>9061</v>
      </c>
      <c r="G9" s="2734">
        <v>7511</v>
      </c>
      <c r="H9" s="2734">
        <v>7231</v>
      </c>
      <c r="I9" s="2734">
        <v>8003</v>
      </c>
      <c r="J9" s="2734">
        <v>8437</v>
      </c>
      <c r="K9" s="2734">
        <v>8946</v>
      </c>
      <c r="L9" s="2734">
        <v>9566</v>
      </c>
      <c r="M9" s="2735">
        <v>11654</v>
      </c>
      <c r="N9" s="2734">
        <v>12877</v>
      </c>
      <c r="O9" s="2734">
        <v>15063</v>
      </c>
      <c r="P9" s="2736">
        <v>16038</v>
      </c>
      <c r="Q9" s="2736">
        <v>16129</v>
      </c>
      <c r="R9" s="2736">
        <v>17710</v>
      </c>
      <c r="S9" s="2736">
        <v>18936</v>
      </c>
      <c r="T9" s="2737">
        <f>(S9-R9)/R9</f>
        <v>6.9226425748164885E-2</v>
      </c>
      <c r="U9" s="2680"/>
    </row>
    <row r="10" spans="1:22" x14ac:dyDescent="0.25">
      <c r="A10" s="2679"/>
      <c r="B10" s="1391"/>
      <c r="C10" s="1391"/>
      <c r="D10" s="17" t="s">
        <v>1041</v>
      </c>
      <c r="E10" s="2734">
        <v>3550</v>
      </c>
      <c r="F10" s="2734">
        <v>4063</v>
      </c>
      <c r="G10" s="2734">
        <v>5074</v>
      </c>
      <c r="H10" s="2734">
        <v>5462</v>
      </c>
      <c r="I10" s="2734">
        <v>4525</v>
      </c>
      <c r="J10" s="2734">
        <v>4561</v>
      </c>
      <c r="K10" s="2734">
        <v>5110</v>
      </c>
      <c r="L10" s="2734">
        <v>4209</v>
      </c>
      <c r="M10" s="2734">
        <v>4463</v>
      </c>
      <c r="N10" s="2734">
        <v>6168</v>
      </c>
      <c r="O10" s="2734">
        <v>8199</v>
      </c>
      <c r="P10" s="2736">
        <v>8776</v>
      </c>
      <c r="Q10" s="2736">
        <v>9623</v>
      </c>
      <c r="R10" s="2736">
        <v>11314</v>
      </c>
      <c r="S10" s="2736">
        <v>12176</v>
      </c>
      <c r="T10" s="2737">
        <f t="shared" ref="T10:T18" si="0">(S10-R10)/R10</f>
        <v>7.6188792646278952E-2</v>
      </c>
      <c r="U10" s="2680"/>
    </row>
    <row r="11" spans="1:22" x14ac:dyDescent="0.25">
      <c r="A11" s="2679"/>
      <c r="B11" s="1391"/>
      <c r="C11" s="1391"/>
      <c r="D11" s="17" t="s">
        <v>694</v>
      </c>
      <c r="E11" s="2734">
        <v>9428</v>
      </c>
      <c r="F11" s="2734">
        <v>10722</v>
      </c>
      <c r="G11" s="2734">
        <v>14202</v>
      </c>
      <c r="H11" s="2734">
        <v>12582</v>
      </c>
      <c r="I11" s="2734">
        <v>12742</v>
      </c>
      <c r="J11" s="2734">
        <v>13574</v>
      </c>
      <c r="K11" s="2734">
        <v>14729</v>
      </c>
      <c r="L11" s="2734">
        <v>16457</v>
      </c>
      <c r="M11" s="2734">
        <v>25949</v>
      </c>
      <c r="N11" s="2734">
        <v>38159</v>
      </c>
      <c r="O11" s="2734">
        <v>74713</v>
      </c>
      <c r="P11" s="2736">
        <v>70264</v>
      </c>
      <c r="Q11" s="2736">
        <v>55442</v>
      </c>
      <c r="R11" s="2736">
        <v>62837</v>
      </c>
      <c r="S11" s="2736">
        <v>69285</v>
      </c>
      <c r="T11" s="2737">
        <f t="shared" si="0"/>
        <v>0.10261470152935373</v>
      </c>
      <c r="U11" s="2680"/>
    </row>
    <row r="12" spans="1:22" x14ac:dyDescent="0.25">
      <c r="A12" s="2679"/>
      <c r="B12" s="1391"/>
      <c r="C12" s="1391"/>
      <c r="D12" s="17" t="s">
        <v>1042</v>
      </c>
      <c r="E12" s="2734">
        <v>13599</v>
      </c>
      <c r="F12" s="2734">
        <v>19290</v>
      </c>
      <c r="G12" s="2734">
        <v>23206</v>
      </c>
      <c r="H12" s="2734">
        <v>26228</v>
      </c>
      <c r="I12" s="2734">
        <v>24100</v>
      </c>
      <c r="J12" s="2734">
        <v>23819</v>
      </c>
      <c r="K12" s="2734">
        <v>28693</v>
      </c>
      <c r="L12" s="2734">
        <v>32457</v>
      </c>
      <c r="M12" s="2734">
        <v>37415</v>
      </c>
      <c r="N12" s="2734">
        <v>42167</v>
      </c>
      <c r="O12" s="2734">
        <v>45954</v>
      </c>
      <c r="P12" s="2736">
        <v>47377</v>
      </c>
      <c r="Q12" s="2736">
        <v>46354</v>
      </c>
      <c r="R12" s="2736">
        <v>50429</v>
      </c>
      <c r="S12" s="2736">
        <v>53987</v>
      </c>
      <c r="T12" s="2737">
        <f t="shared" si="0"/>
        <v>7.0554641178686872E-2</v>
      </c>
      <c r="U12" s="2680"/>
    </row>
    <row r="13" spans="1:22" x14ac:dyDescent="0.25">
      <c r="A13" s="2679"/>
      <c r="B13" s="1391"/>
      <c r="C13" s="1391"/>
      <c r="D13" s="17" t="s">
        <v>23</v>
      </c>
      <c r="E13" s="2734">
        <v>1706</v>
      </c>
      <c r="F13" s="2734">
        <v>1786</v>
      </c>
      <c r="G13" s="2734">
        <v>1977</v>
      </c>
      <c r="H13" s="2734">
        <v>2178</v>
      </c>
      <c r="I13" s="2734">
        <v>3198</v>
      </c>
      <c r="J13" s="2734">
        <v>3316</v>
      </c>
      <c r="K13" s="2734">
        <v>4837</v>
      </c>
      <c r="L13" s="2734">
        <v>4634</v>
      </c>
      <c r="M13" s="2734">
        <v>5254</v>
      </c>
      <c r="N13" s="2734">
        <v>7530</v>
      </c>
      <c r="O13" s="2734">
        <v>9609</v>
      </c>
      <c r="P13" s="2736">
        <v>11716</v>
      </c>
      <c r="Q13" s="2736">
        <v>11268</v>
      </c>
      <c r="R13" s="2736">
        <v>14393</v>
      </c>
      <c r="S13" s="2736">
        <v>19592</v>
      </c>
      <c r="T13" s="2737">
        <f t="shared" si="0"/>
        <v>0.36121725838949487</v>
      </c>
      <c r="U13" s="2680"/>
    </row>
    <row r="14" spans="1:22" x14ac:dyDescent="0.25">
      <c r="A14" s="2679"/>
      <c r="B14" s="1391"/>
      <c r="C14" s="1391"/>
      <c r="D14" s="17" t="s">
        <v>1043</v>
      </c>
      <c r="E14" s="2734">
        <v>1314</v>
      </c>
      <c r="F14" s="2734">
        <v>1714</v>
      </c>
      <c r="G14" s="2734">
        <v>1794</v>
      </c>
      <c r="H14" s="2734">
        <v>2068</v>
      </c>
      <c r="I14" s="2734">
        <v>1770</v>
      </c>
      <c r="J14" s="2734">
        <v>1642</v>
      </c>
      <c r="K14" s="2734">
        <v>2041</v>
      </c>
      <c r="L14" s="2734">
        <v>3178</v>
      </c>
      <c r="M14" s="2734">
        <v>4153</v>
      </c>
      <c r="N14" s="2734">
        <v>5844</v>
      </c>
      <c r="O14" s="2734">
        <v>7464</v>
      </c>
      <c r="P14" s="2736">
        <v>8841</v>
      </c>
      <c r="Q14" s="2736">
        <v>9820</v>
      </c>
      <c r="R14" s="2736">
        <v>11519</v>
      </c>
      <c r="S14" s="2736">
        <v>13026</v>
      </c>
      <c r="T14" s="2737">
        <f t="shared" si="0"/>
        <v>0.1308273287611772</v>
      </c>
      <c r="U14" s="2680"/>
    </row>
    <row r="15" spans="1:22" x14ac:dyDescent="0.25">
      <c r="A15" s="2679"/>
      <c r="B15" s="1391"/>
      <c r="C15" s="1391"/>
      <c r="D15" s="17" t="s">
        <v>25</v>
      </c>
      <c r="E15" s="2734">
        <v>3117</v>
      </c>
      <c r="F15" s="2734">
        <v>4383</v>
      </c>
      <c r="G15" s="2734">
        <v>5053</v>
      </c>
      <c r="H15" s="2734">
        <v>5759</v>
      </c>
      <c r="I15" s="2734">
        <v>6610</v>
      </c>
      <c r="J15" s="2734">
        <v>7109</v>
      </c>
      <c r="K15" s="2734">
        <v>7704</v>
      </c>
      <c r="L15" s="2734">
        <v>7166</v>
      </c>
      <c r="M15" s="2734">
        <v>7678</v>
      </c>
      <c r="N15" s="2734">
        <v>9157</v>
      </c>
      <c r="O15" s="2734">
        <v>11015</v>
      </c>
      <c r="P15" s="2736">
        <v>11632</v>
      </c>
      <c r="Q15" s="2736">
        <v>12189</v>
      </c>
      <c r="R15" s="2736">
        <v>11972</v>
      </c>
      <c r="S15" s="2736">
        <v>13825</v>
      </c>
      <c r="T15" s="2737">
        <f t="shared" si="0"/>
        <v>0.15477781490143669</v>
      </c>
      <c r="U15" s="2680"/>
    </row>
    <row r="16" spans="1:22" x14ac:dyDescent="0.25">
      <c r="A16" s="2679"/>
      <c r="B16" s="1391"/>
      <c r="C16" s="1391"/>
      <c r="D16" s="17" t="s">
        <v>1044</v>
      </c>
      <c r="E16" s="2734">
        <v>2142</v>
      </c>
      <c r="F16" s="2734">
        <v>2550</v>
      </c>
      <c r="G16" s="2734">
        <v>2085</v>
      </c>
      <c r="H16" s="2734">
        <v>2114</v>
      </c>
      <c r="I16" s="2734">
        <v>2201</v>
      </c>
      <c r="J16" s="2734">
        <v>1933</v>
      </c>
      <c r="K16" s="2734">
        <v>2371</v>
      </c>
      <c r="L16" s="2734">
        <v>2418</v>
      </c>
      <c r="M16" s="2734">
        <v>2672</v>
      </c>
      <c r="N16" s="2734">
        <v>2861</v>
      </c>
      <c r="O16" s="2734">
        <v>3252</v>
      </c>
      <c r="P16" s="2736">
        <v>3527</v>
      </c>
      <c r="Q16" s="2736">
        <v>4344</v>
      </c>
      <c r="R16" s="2736">
        <v>5136</v>
      </c>
      <c r="S16" s="2736">
        <v>5563</v>
      </c>
      <c r="T16" s="2737">
        <f t="shared" si="0"/>
        <v>8.3138629283489099E-2</v>
      </c>
      <c r="U16" s="2680"/>
    </row>
    <row r="17" spans="1:22" x14ac:dyDescent="0.25">
      <c r="A17" s="2679"/>
      <c r="B17" s="1391"/>
      <c r="C17" s="1391"/>
      <c r="D17" s="17" t="s">
        <v>27</v>
      </c>
      <c r="E17" s="2734">
        <v>19940</v>
      </c>
      <c r="F17" s="2734">
        <v>30432</v>
      </c>
      <c r="G17" s="2734">
        <v>34788</v>
      </c>
      <c r="H17" s="2734">
        <v>41067</v>
      </c>
      <c r="I17" s="2734">
        <v>45985</v>
      </c>
      <c r="J17" s="2734">
        <v>52781</v>
      </c>
      <c r="K17" s="2734">
        <v>60409</v>
      </c>
      <c r="L17" s="2734">
        <v>70588</v>
      </c>
      <c r="M17" s="2734">
        <v>77069</v>
      </c>
      <c r="N17" s="2734">
        <v>82062</v>
      </c>
      <c r="O17" s="2734">
        <v>85463</v>
      </c>
      <c r="P17" s="2736">
        <v>88731</v>
      </c>
      <c r="Q17" s="2736">
        <v>93996</v>
      </c>
      <c r="R17" s="2736">
        <v>107379</v>
      </c>
      <c r="S17" s="2736">
        <v>117157</v>
      </c>
      <c r="T17" s="2737">
        <f t="shared" si="0"/>
        <v>9.1060635692267577E-2</v>
      </c>
      <c r="U17" s="2680"/>
    </row>
    <row r="18" spans="1:22" x14ac:dyDescent="0.25">
      <c r="A18" s="2679"/>
      <c r="B18" s="1391"/>
      <c r="C18" s="1391"/>
      <c r="D18" s="180" t="s">
        <v>1151</v>
      </c>
      <c r="E18" s="2738">
        <f>SUM(E9:E17)</f>
        <v>62689</v>
      </c>
      <c r="F18" s="2738">
        <v>84001</v>
      </c>
      <c r="G18" s="2738">
        <v>95690</v>
      </c>
      <c r="H18" s="2738">
        <v>104689</v>
      </c>
      <c r="I18" s="2738">
        <v>109134</v>
      </c>
      <c r="J18" s="2738">
        <v>117172</v>
      </c>
      <c r="K18" s="2738">
        <v>134840</v>
      </c>
      <c r="L18" s="2738">
        <v>150673</v>
      </c>
      <c r="M18" s="2738">
        <v>176307</v>
      </c>
      <c r="N18" s="2738">
        <v>206825</v>
      </c>
      <c r="O18" s="2738">
        <v>260732</v>
      </c>
      <c r="P18" s="2738">
        <v>266902</v>
      </c>
      <c r="Q18" s="2738">
        <f>SUM(Q9:Q17)</f>
        <v>259165</v>
      </c>
      <c r="R18" s="2738">
        <f>SUM(R9:R17)</f>
        <v>292689</v>
      </c>
      <c r="S18" s="2738">
        <f>SUM(S9:S17)</f>
        <v>323547</v>
      </c>
      <c r="T18" s="2737">
        <f t="shared" si="0"/>
        <v>0.1054293123417689</v>
      </c>
      <c r="U18" s="2680"/>
    </row>
    <row r="19" spans="1:22" x14ac:dyDescent="0.25">
      <c r="A19" s="2679"/>
      <c r="B19" s="1391"/>
      <c r="C19" s="1391"/>
      <c r="D19" s="371"/>
      <c r="E19" s="2739"/>
      <c r="F19" s="2740">
        <f>((F9-E9)/E9)*100</f>
        <v>14.79792220955277</v>
      </c>
      <c r="G19" s="2740">
        <f t="shared" ref="G19:P19" si="1">((G9-F9)/F9)*100</f>
        <v>-17.106279660081668</v>
      </c>
      <c r="H19" s="2740">
        <f t="shared" si="1"/>
        <v>-3.7278657968313138</v>
      </c>
      <c r="I19" s="2740">
        <f t="shared" si="1"/>
        <v>10.676255013137878</v>
      </c>
      <c r="J19" s="2740">
        <f t="shared" si="1"/>
        <v>5.4229663876046486</v>
      </c>
      <c r="K19" s="2740">
        <f t="shared" si="1"/>
        <v>6.032950100746711</v>
      </c>
      <c r="L19" s="2740">
        <f t="shared" si="1"/>
        <v>6.9304717192041139</v>
      </c>
      <c r="M19" s="2740">
        <f t="shared" si="1"/>
        <v>21.827305038678656</v>
      </c>
      <c r="N19" s="2740">
        <f t="shared" si="1"/>
        <v>10.494250900978205</v>
      </c>
      <c r="O19" s="2740">
        <f>((O9-N9)/N9)*100</f>
        <v>16.976003727576298</v>
      </c>
      <c r="P19" s="2740">
        <f t="shared" si="1"/>
        <v>6.4728141804421435</v>
      </c>
      <c r="Q19" s="2740">
        <f>((Q9-P9)/P9)*100</f>
        <v>0.56740241925427104</v>
      </c>
      <c r="R19" s="2740">
        <f>((R9-Q9)/Q9)*100</f>
        <v>9.8022196044392089</v>
      </c>
      <c r="S19" s="2740">
        <f>((S9-R9)/R9)*100</f>
        <v>6.9226425748164884</v>
      </c>
      <c r="T19" s="2680"/>
      <c r="U19" s="2680"/>
    </row>
    <row r="20" spans="1:22" hidden="1" x14ac:dyDescent="0.25">
      <c r="A20" s="2679"/>
      <c r="B20" s="1391"/>
      <c r="C20" s="1391"/>
      <c r="D20" s="304" t="s">
        <v>67</v>
      </c>
      <c r="E20" s="4419" t="s">
        <v>1152</v>
      </c>
      <c r="F20" s="4419"/>
      <c r="G20" s="4419"/>
      <c r="H20" s="4419"/>
      <c r="I20" s="4419"/>
      <c r="J20" s="4419"/>
      <c r="K20" s="4419"/>
      <c r="L20" s="4419"/>
      <c r="M20" s="4419"/>
      <c r="N20" s="2365"/>
      <c r="O20" s="766"/>
      <c r="P20" s="766"/>
      <c r="Q20" s="766"/>
      <c r="R20" s="2741"/>
      <c r="S20" s="766"/>
      <c r="T20" s="2680"/>
      <c r="U20" s="2680"/>
    </row>
    <row r="21" spans="1:22" hidden="1" x14ac:dyDescent="0.25">
      <c r="A21" s="2679"/>
      <c r="B21" s="1391"/>
      <c r="C21" s="1391"/>
      <c r="D21" s="2742"/>
      <c r="E21" s="2743" t="s">
        <v>140</v>
      </c>
      <c r="F21" s="2743" t="s">
        <v>141</v>
      </c>
      <c r="G21" s="2743" t="s">
        <v>142</v>
      </c>
      <c r="H21" s="2743" t="s">
        <v>143</v>
      </c>
      <c r="I21" s="2743" t="s">
        <v>144</v>
      </c>
      <c r="J21" s="2743" t="s">
        <v>145</v>
      </c>
      <c r="K21" s="2743" t="s">
        <v>8</v>
      </c>
      <c r="L21" s="2743" t="s">
        <v>9</v>
      </c>
      <c r="M21" s="2743" t="s">
        <v>10</v>
      </c>
      <c r="N21" s="2743" t="s">
        <v>11</v>
      </c>
      <c r="O21" s="2743" t="s">
        <v>12</v>
      </c>
      <c r="P21" s="2743" t="s">
        <v>13</v>
      </c>
      <c r="Q21" s="2743" t="s">
        <v>14</v>
      </c>
      <c r="R21" s="2744" t="s">
        <v>15</v>
      </c>
      <c r="S21" s="2744" t="s">
        <v>333</v>
      </c>
      <c r="T21" s="2680"/>
      <c r="U21" s="2680"/>
    </row>
    <row r="22" spans="1:22" hidden="1" x14ac:dyDescent="0.25">
      <c r="A22" s="2679"/>
      <c r="B22" s="1391"/>
      <c r="C22" s="1391"/>
      <c r="D22" s="17" t="s">
        <v>19</v>
      </c>
      <c r="E22" s="2745">
        <v>114.2</v>
      </c>
      <c r="F22" s="2745">
        <v>131.4</v>
      </c>
      <c r="G22" s="2734">
        <v>109</v>
      </c>
      <c r="H22" s="2734">
        <v>104.9</v>
      </c>
      <c r="I22" s="2734">
        <v>115.9</v>
      </c>
      <c r="J22" s="2734">
        <v>128.19999999999999</v>
      </c>
      <c r="K22" s="2734">
        <v>134.6</v>
      </c>
      <c r="L22" s="2734">
        <v>141.80000000000001</v>
      </c>
      <c r="M22" s="2734">
        <v>170.6</v>
      </c>
      <c r="N22" s="2734">
        <v>195.5</v>
      </c>
      <c r="O22" s="2734">
        <v>227.5</v>
      </c>
      <c r="P22" s="2734">
        <v>236.30888551464699</v>
      </c>
      <c r="Q22" s="2734">
        <v>233.20609583297187</v>
      </c>
      <c r="R22" s="2746">
        <f>(17710/6493176)*100000</f>
        <v>272.74788177619087</v>
      </c>
      <c r="S22" s="2746">
        <f>(S9/6501008)*100000</f>
        <v>291.27790644158569</v>
      </c>
      <c r="T22" s="2680"/>
      <c r="U22" s="2680"/>
    </row>
    <row r="23" spans="1:22" hidden="1" x14ac:dyDescent="0.25">
      <c r="A23" s="2679"/>
      <c r="B23" s="1391"/>
      <c r="C23" s="1391"/>
      <c r="D23" s="17" t="s">
        <v>1041</v>
      </c>
      <c r="E23" s="2745">
        <v>119.6</v>
      </c>
      <c r="F23" s="2745">
        <v>138.4</v>
      </c>
      <c r="G23" s="2734">
        <v>171.8</v>
      </c>
      <c r="H23" s="2734">
        <v>184.6</v>
      </c>
      <c r="I23" s="2734">
        <v>152.9</v>
      </c>
      <c r="J23" s="2734">
        <v>158.5</v>
      </c>
      <c r="K23" s="2734">
        <v>176.1</v>
      </c>
      <c r="L23" s="2734">
        <v>149</v>
      </c>
      <c r="M23" s="2734">
        <v>161.69999999999999</v>
      </c>
      <c r="N23" s="2734">
        <v>224.4</v>
      </c>
      <c r="O23" s="2734">
        <v>297.8</v>
      </c>
      <c r="P23" s="2734">
        <v>314.91800038140622</v>
      </c>
      <c r="Q23" s="2734">
        <v>341.49543986656732</v>
      </c>
      <c r="R23" s="2746">
        <f>(R10/2849339)*100000</f>
        <v>397.0745495709707</v>
      </c>
      <c r="S23" s="2746">
        <f>(S10/2872757)*100000</f>
        <v>423.84371528813608</v>
      </c>
      <c r="T23" s="2680"/>
      <c r="U23" s="2680"/>
    </row>
    <row r="24" spans="1:22" hidden="1" x14ac:dyDescent="0.25">
      <c r="A24" s="2679"/>
      <c r="B24" s="1391"/>
      <c r="C24" s="1391"/>
      <c r="D24" s="17" t="s">
        <v>694</v>
      </c>
      <c r="E24" s="2745">
        <v>103.7</v>
      </c>
      <c r="F24" s="2745">
        <v>116.8</v>
      </c>
      <c r="G24" s="2734">
        <v>152.19999999999999</v>
      </c>
      <c r="H24" s="2734">
        <v>132.1</v>
      </c>
      <c r="I24" s="2734">
        <v>131.5</v>
      </c>
      <c r="J24" s="2734">
        <v>129.9</v>
      </c>
      <c r="K24" s="2734">
        <v>139.9</v>
      </c>
      <c r="L24" s="2734">
        <v>147</v>
      </c>
      <c r="M24" s="2734">
        <v>229.1</v>
      </c>
      <c r="N24" s="2734">
        <v>306.2</v>
      </c>
      <c r="O24" s="2734">
        <v>587</v>
      </c>
      <c r="P24" s="2734">
        <v>544.05727471369539</v>
      </c>
      <c r="Q24" s="2734">
        <v>420.00560593319847</v>
      </c>
      <c r="R24" s="2746">
        <f>(62837/13999402)*100000</f>
        <v>448.85488680159335</v>
      </c>
      <c r="S24" s="2746">
        <f>(S11/14373250)*100000</f>
        <v>482.04129198337193</v>
      </c>
      <c r="T24" s="2680"/>
      <c r="U24" s="2680"/>
    </row>
    <row r="25" spans="1:22" hidden="1" x14ac:dyDescent="0.25">
      <c r="A25" s="2679"/>
      <c r="B25" s="1391"/>
      <c r="C25" s="1391"/>
      <c r="D25" s="17" t="s">
        <v>1042</v>
      </c>
      <c r="E25" s="2745">
        <v>139.6</v>
      </c>
      <c r="F25" s="2745">
        <v>197.2</v>
      </c>
      <c r="G25" s="2734">
        <v>235.7</v>
      </c>
      <c r="H25" s="2734">
        <v>264.3</v>
      </c>
      <c r="I25" s="2734">
        <v>240.7</v>
      </c>
      <c r="J25" s="2734">
        <v>235.7</v>
      </c>
      <c r="K25" s="2734">
        <v>274.60000000000002</v>
      </c>
      <c r="L25" s="2734">
        <v>304.89999999999998</v>
      </c>
      <c r="M25" s="2734">
        <v>345.8</v>
      </c>
      <c r="N25" s="2734">
        <v>407.6</v>
      </c>
      <c r="O25" s="2734">
        <v>439.5</v>
      </c>
      <c r="P25" s="2734">
        <v>443.0061303132016</v>
      </c>
      <c r="Q25" s="2734">
        <v>424.52216757791393</v>
      </c>
      <c r="R25" s="2746">
        <f>(50429/10974209)*100000</f>
        <v>459.52286857303335</v>
      </c>
      <c r="S25" s="2746">
        <f>(S12/11109313)*100000</f>
        <v>485.96164317271462</v>
      </c>
      <c r="T25" s="2680"/>
      <c r="U25" s="2680"/>
    </row>
    <row r="26" spans="1:22" hidden="1" x14ac:dyDescent="0.25">
      <c r="A26" s="2679"/>
      <c r="B26" s="1391"/>
      <c r="C26" s="1391"/>
      <c r="D26" s="17" t="s">
        <v>23</v>
      </c>
      <c r="E26" s="2745">
        <v>32</v>
      </c>
      <c r="F26" s="2745">
        <v>33.6</v>
      </c>
      <c r="G26" s="2734">
        <v>37</v>
      </c>
      <c r="H26" s="2734">
        <v>40.6</v>
      </c>
      <c r="I26" s="2734">
        <v>59.2</v>
      </c>
      <c r="J26" s="2734">
        <v>62.9</v>
      </c>
      <c r="K26" s="2734">
        <v>92.5</v>
      </c>
      <c r="L26" s="2734">
        <v>85.2</v>
      </c>
      <c r="M26" s="2734">
        <v>94.6</v>
      </c>
      <c r="N26" s="2734">
        <v>138.1</v>
      </c>
      <c r="O26" s="2734">
        <v>174.1</v>
      </c>
      <c r="P26" s="2734">
        <v>208.08229953254275</v>
      </c>
      <c r="Q26" s="2734">
        <f>(Q13/5654931)*100000</f>
        <v>199.25972571548616</v>
      </c>
      <c r="R26" s="2746">
        <f>(14393/5724477)*100000</f>
        <v>251.42908251705788</v>
      </c>
      <c r="S26" s="2746">
        <f>(S13/5797008)*100000</f>
        <v>337.96744803526229</v>
      </c>
      <c r="T26" s="2680"/>
      <c r="U26" s="2680"/>
    </row>
    <row r="27" spans="1:22" hidden="1" x14ac:dyDescent="0.25">
      <c r="A27" s="2679"/>
      <c r="B27" s="1391"/>
      <c r="C27" s="1391"/>
      <c r="D27" s="17" t="s">
        <v>1043</v>
      </c>
      <c r="E27" s="2745">
        <v>37.799999999999997</v>
      </c>
      <c r="F27" s="2745">
        <v>49.7</v>
      </c>
      <c r="G27" s="2734">
        <v>51.7</v>
      </c>
      <c r="H27" s="2734">
        <v>59</v>
      </c>
      <c r="I27" s="2734">
        <v>50.1</v>
      </c>
      <c r="J27" s="2734">
        <v>45.7</v>
      </c>
      <c r="K27" s="2734">
        <v>56.6</v>
      </c>
      <c r="L27" s="2734">
        <v>87.8</v>
      </c>
      <c r="M27" s="2734">
        <v>113.6</v>
      </c>
      <c r="N27" s="2734">
        <v>143.4</v>
      </c>
      <c r="O27" s="2734">
        <v>180.8</v>
      </c>
      <c r="P27" s="2734">
        <v>209.04056336517061</v>
      </c>
      <c r="Q27" s="2734">
        <v>229.23037419174116</v>
      </c>
      <c r="R27" s="2746">
        <f>(11519/4386153)*100000</f>
        <v>262.62193772082276</v>
      </c>
      <c r="S27" s="2746">
        <f>(S14/4463733)*100000</f>
        <v>291.81852946849642</v>
      </c>
      <c r="T27" s="2680"/>
      <c r="U27" s="2680"/>
    </row>
    <row r="28" spans="1:22" hidden="1" x14ac:dyDescent="0.25">
      <c r="A28" s="2679"/>
      <c r="B28" s="1391"/>
      <c r="C28" s="1391"/>
      <c r="D28" s="17" t="s">
        <v>25</v>
      </c>
      <c r="E28" s="2745">
        <v>93.3</v>
      </c>
      <c r="F28" s="2745">
        <v>130.69999999999999</v>
      </c>
      <c r="G28" s="2734">
        <v>151.80000000000001</v>
      </c>
      <c r="H28" s="2734">
        <v>170.7</v>
      </c>
      <c r="I28" s="2734">
        <v>194.7</v>
      </c>
      <c r="J28" s="2734">
        <v>207.6</v>
      </c>
      <c r="K28" s="2734">
        <v>223.3</v>
      </c>
      <c r="L28" s="2734">
        <v>223.9</v>
      </c>
      <c r="M28" s="2734">
        <v>236</v>
      </c>
      <c r="N28" s="2734">
        <v>258.2</v>
      </c>
      <c r="O28" s="2734">
        <v>306.2</v>
      </c>
      <c r="P28" s="2734">
        <v>316.40735901797666</v>
      </c>
      <c r="Q28" s="2734">
        <f>(12189/3741240)*100000</f>
        <v>325.80107130256278</v>
      </c>
      <c r="R28" s="2746">
        <f>(11972/3806079)*100000</f>
        <v>314.54943525870061</v>
      </c>
      <c r="S28" s="2746">
        <f>(S15/3873298)*100000</f>
        <v>356.930966840145</v>
      </c>
      <c r="T28" s="2680"/>
      <c r="U28" s="2680"/>
    </row>
    <row r="29" spans="1:22" ht="14.25" hidden="1" customHeight="1" x14ac:dyDescent="0.25">
      <c r="B29" s="2685"/>
      <c r="C29" s="2681"/>
      <c r="D29" s="17" t="s">
        <v>1044</v>
      </c>
      <c r="E29" s="2745">
        <v>200.8</v>
      </c>
      <c r="F29" s="2745">
        <v>238</v>
      </c>
      <c r="G29" s="2734">
        <v>193.3</v>
      </c>
      <c r="H29" s="2734">
        <v>193.1</v>
      </c>
      <c r="I29" s="2734">
        <v>199.7</v>
      </c>
      <c r="J29" s="2734">
        <v>171.7</v>
      </c>
      <c r="K29" s="2734">
        <v>206.6</v>
      </c>
      <c r="L29" s="2734">
        <v>219</v>
      </c>
      <c r="M29" s="2734">
        <v>243.6</v>
      </c>
      <c r="N29" s="2734">
        <v>248.1</v>
      </c>
      <c r="O29" s="2734">
        <v>279.60000000000002</v>
      </c>
      <c r="P29" s="2734">
        <v>302.31070902104096</v>
      </c>
      <c r="Q29" s="2734">
        <v>366.39676113360326</v>
      </c>
      <c r="R29" s="2747">
        <f>(5136/1202571)*100000</f>
        <v>427.08497045080918</v>
      </c>
      <c r="S29" s="2747">
        <f>(S16/1217917)*100000</f>
        <v>456.76347402983947</v>
      </c>
      <c r="T29" s="2635"/>
      <c r="U29" s="2682"/>
    </row>
    <row r="30" spans="1:22" hidden="1" x14ac:dyDescent="0.25">
      <c r="B30" s="2685"/>
      <c r="C30" s="2681"/>
      <c r="D30" s="17" t="s">
        <v>27</v>
      </c>
      <c r="E30" s="2748">
        <v>443.2</v>
      </c>
      <c r="F30" s="2748">
        <v>666.6</v>
      </c>
      <c r="G30" s="2734">
        <v>749.4</v>
      </c>
      <c r="H30" s="2734">
        <v>864.8</v>
      </c>
      <c r="I30" s="2734">
        <v>950.1</v>
      </c>
      <c r="J30" s="2734">
        <v>1003.1</v>
      </c>
      <c r="K30" s="2734">
        <v>1127.7</v>
      </c>
      <c r="L30" s="2734">
        <v>1351.3</v>
      </c>
      <c r="M30" s="2734">
        <v>1457.5</v>
      </c>
      <c r="N30" s="2734">
        <v>1389.9</v>
      </c>
      <c r="O30" s="2734">
        <v>1420.4</v>
      </c>
      <c r="P30" s="2734">
        <v>1450.7244150121342</v>
      </c>
      <c r="Q30" s="2734">
        <v>1516.0400638699375</v>
      </c>
      <c r="R30" s="2747">
        <f>(107379/6407604)*100000</f>
        <v>1675.8058082241037</v>
      </c>
      <c r="S30" s="2747">
        <f>(S17/6545042)*100000</f>
        <v>1790.011431553839</v>
      </c>
      <c r="T30" s="2635"/>
      <c r="U30" s="2682"/>
      <c r="V30" s="2365"/>
    </row>
    <row r="31" spans="1:22" hidden="1" x14ac:dyDescent="0.25">
      <c r="B31" s="2685"/>
      <c r="C31" s="2681"/>
      <c r="D31" s="180" t="s">
        <v>1153</v>
      </c>
      <c r="E31" s="2749">
        <v>135.1</v>
      </c>
      <c r="F31" s="2749">
        <v>180.3</v>
      </c>
      <c r="G31" s="2749">
        <v>204.1</v>
      </c>
      <c r="H31" s="2749">
        <v>220.9</v>
      </c>
      <c r="I31" s="2749">
        <v>228.1</v>
      </c>
      <c r="J31" s="2749">
        <v>240.7</v>
      </c>
      <c r="K31" s="2749">
        <v>273.39999999999998</v>
      </c>
      <c r="L31" s="2749">
        <v>301.39999999999998</v>
      </c>
      <c r="M31" s="2749">
        <v>348.5</v>
      </c>
      <c r="N31" s="2749">
        <v>395.6</v>
      </c>
      <c r="O31" s="2749">
        <v>492.1</v>
      </c>
      <c r="P31" s="2750">
        <v>494.24508833133001</v>
      </c>
      <c r="Q31" s="2751">
        <v>471.57863707741888</v>
      </c>
      <c r="R31" s="2752">
        <f>(292689/55843011)*100000</f>
        <v>524.12825662283865</v>
      </c>
      <c r="S31" s="2752">
        <f>(S18/56753327)*100000</f>
        <v>570.09345020424973</v>
      </c>
      <c r="T31" s="2682"/>
    </row>
    <row r="32" spans="1:22" x14ac:dyDescent="0.25">
      <c r="B32" s="2685"/>
      <c r="C32" s="2681"/>
      <c r="D32" s="2635"/>
      <c r="E32" s="2635"/>
      <c r="F32" s="2635"/>
      <c r="G32" s="2635"/>
      <c r="H32" s="2635"/>
      <c r="I32" s="2635"/>
      <c r="J32" s="2635"/>
      <c r="K32" s="2635"/>
      <c r="L32" s="2635"/>
      <c r="M32" s="2635"/>
      <c r="N32" s="2635"/>
      <c r="O32" s="2635"/>
      <c r="P32" s="2635"/>
      <c r="Q32" s="2635"/>
      <c r="R32" s="2635"/>
      <c r="S32" s="2635"/>
      <c r="T32" s="2682"/>
    </row>
    <row r="33" spans="1:22" ht="15" customHeight="1" x14ac:dyDescent="0.25">
      <c r="B33" s="2685"/>
      <c r="C33" s="332"/>
      <c r="D33" s="304" t="s">
        <v>258</v>
      </c>
      <c r="E33" s="4417" t="s">
        <v>1154</v>
      </c>
      <c r="F33" s="4417"/>
      <c r="G33" s="4417"/>
      <c r="H33" s="4417"/>
      <c r="I33" s="4417"/>
      <c r="J33" s="4417"/>
      <c r="K33" s="4417"/>
      <c r="L33" s="4417"/>
      <c r="M33" s="4417"/>
      <c r="N33" s="2753"/>
      <c r="O33" s="2635"/>
      <c r="P33" s="2635"/>
      <c r="Q33" s="2635"/>
      <c r="R33" s="2635"/>
      <c r="S33" s="2635"/>
      <c r="T33" s="2682"/>
    </row>
    <row r="34" spans="1:22" s="2760" customFormat="1" ht="28.5" customHeight="1" x14ac:dyDescent="0.2">
      <c r="A34" s="2754"/>
      <c r="B34" s="2755"/>
      <c r="C34" s="2756"/>
      <c r="D34" s="2757"/>
      <c r="E34" s="2758" t="s">
        <v>1155</v>
      </c>
      <c r="F34" s="2758" t="s">
        <v>1156</v>
      </c>
      <c r="G34" s="2758" t="s">
        <v>1157</v>
      </c>
      <c r="H34" s="2758" t="s">
        <v>1158</v>
      </c>
      <c r="I34" s="2758" t="s">
        <v>1159</v>
      </c>
      <c r="J34" s="2758" t="s">
        <v>1160</v>
      </c>
      <c r="K34" s="2758" t="s">
        <v>1161</v>
      </c>
      <c r="L34" s="2758" t="s">
        <v>1162</v>
      </c>
      <c r="M34" s="2758" t="s">
        <v>1163</v>
      </c>
      <c r="N34" s="2758" t="s">
        <v>1164</v>
      </c>
      <c r="O34" s="2758" t="s">
        <v>1165</v>
      </c>
      <c r="P34" s="2758" t="s">
        <v>1166</v>
      </c>
      <c r="Q34" s="2759" t="s">
        <v>1167</v>
      </c>
      <c r="R34" s="2759" t="s">
        <v>1168</v>
      </c>
      <c r="S34" s="2758"/>
      <c r="T34" s="540"/>
      <c r="U34" s="540"/>
      <c r="V34" s="540"/>
    </row>
    <row r="35" spans="1:22" x14ac:dyDescent="0.25">
      <c r="B35" s="2685"/>
      <c r="C35" s="2681"/>
      <c r="D35" s="17" t="s">
        <v>19</v>
      </c>
      <c r="E35" s="2761">
        <v>0.14799999999999999</v>
      </c>
      <c r="F35" s="2761">
        <f>(F9-E9)/E9</f>
        <v>0.14797922209552769</v>
      </c>
      <c r="G35" s="2761">
        <f>(G9-F9)/F9</f>
        <v>-0.17106279660081669</v>
      </c>
      <c r="H35" s="2761">
        <f t="shared" ref="H35:P44" si="2">(H9-G9)/G9</f>
        <v>-3.7278657968313138E-2</v>
      </c>
      <c r="I35" s="2761">
        <f t="shared" si="2"/>
        <v>0.10676255013137878</v>
      </c>
      <c r="J35" s="2761">
        <f t="shared" si="2"/>
        <v>5.4229663876046483E-2</v>
      </c>
      <c r="K35" s="2761">
        <f t="shared" si="2"/>
        <v>6.0329501007467111E-2</v>
      </c>
      <c r="L35" s="2761">
        <f t="shared" si="2"/>
        <v>6.9304717192041135E-2</v>
      </c>
      <c r="M35" s="2761">
        <f t="shared" si="2"/>
        <v>0.21827305038678654</v>
      </c>
      <c r="N35" s="2761">
        <f t="shared" si="2"/>
        <v>0.10494250900978205</v>
      </c>
      <c r="O35" s="2761">
        <f t="shared" si="2"/>
        <v>0.169760037275763</v>
      </c>
      <c r="P35" s="2761">
        <f t="shared" si="2"/>
        <v>6.4728141804421435E-2</v>
      </c>
      <c r="Q35" s="2762">
        <f>(R9-Q9)/Q9</f>
        <v>9.8022196044392093E-2</v>
      </c>
      <c r="R35" s="2762">
        <f>(S9-R9)/R9</f>
        <v>6.9226425748164885E-2</v>
      </c>
      <c r="S35" s="540"/>
      <c r="T35" s="540"/>
      <c r="U35" s="903"/>
      <c r="V35" s="903"/>
    </row>
    <row r="36" spans="1:22" ht="12.75" customHeight="1" x14ac:dyDescent="0.25">
      <c r="B36" s="2685"/>
      <c r="C36" s="2681"/>
      <c r="D36" s="17" t="s">
        <v>1041</v>
      </c>
      <c r="E36" s="2761">
        <v>0.14499999999999999</v>
      </c>
      <c r="F36" s="2761">
        <f t="shared" ref="F36:G44" si="3">(F10-E10)/E10</f>
        <v>0.14450704225352112</v>
      </c>
      <c r="G36" s="2761">
        <f t="shared" si="3"/>
        <v>0.24883091311838543</v>
      </c>
      <c r="H36" s="2761">
        <f t="shared" si="2"/>
        <v>7.6468269609775319E-2</v>
      </c>
      <c r="I36" s="2761">
        <f t="shared" si="2"/>
        <v>-0.1715488831929696</v>
      </c>
      <c r="J36" s="2761">
        <f t="shared" si="2"/>
        <v>7.9558011049723765E-3</v>
      </c>
      <c r="K36" s="2761">
        <f t="shared" si="2"/>
        <v>0.1203683402762552</v>
      </c>
      <c r="L36" s="2761">
        <f t="shared" si="2"/>
        <v>-0.17632093933463797</v>
      </c>
      <c r="M36" s="2761">
        <f t="shared" si="2"/>
        <v>6.0346875742456639E-2</v>
      </c>
      <c r="N36" s="2761">
        <f t="shared" si="2"/>
        <v>0.38203002464709834</v>
      </c>
      <c r="O36" s="2761">
        <f t="shared" si="2"/>
        <v>0.32928015564202334</v>
      </c>
      <c r="P36" s="2761">
        <f t="shared" si="2"/>
        <v>7.0374435906817912E-2</v>
      </c>
      <c r="Q36" s="2762">
        <f t="shared" ref="Q36:R44" si="4">(R10-Q10)/Q10</f>
        <v>0.17572482593785721</v>
      </c>
      <c r="R36" s="2762">
        <f t="shared" si="4"/>
        <v>7.6188792646278952E-2</v>
      </c>
      <c r="S36" s="4351"/>
      <c r="T36" s="4351"/>
      <c r="U36" s="2753"/>
      <c r="V36" s="2753"/>
    </row>
    <row r="37" spans="1:22" x14ac:dyDescent="0.25">
      <c r="B37" s="2685"/>
      <c r="C37" s="2681"/>
      <c r="D37" s="17" t="s">
        <v>694</v>
      </c>
      <c r="E37" s="2761">
        <v>0.13700000000000001</v>
      </c>
      <c r="F37" s="2761">
        <f t="shared" si="3"/>
        <v>0.13725074246924057</v>
      </c>
      <c r="G37" s="2761">
        <f t="shared" si="3"/>
        <v>0.32456631225517629</v>
      </c>
      <c r="H37" s="2761">
        <f t="shared" si="2"/>
        <v>-0.11406844106463879</v>
      </c>
      <c r="I37" s="2761">
        <f t="shared" si="2"/>
        <v>1.271657924018439E-2</v>
      </c>
      <c r="J37" s="2761">
        <f t="shared" si="2"/>
        <v>6.5295871919635845E-2</v>
      </c>
      <c r="K37" s="2761">
        <f t="shared" si="2"/>
        <v>8.5089141004862243E-2</v>
      </c>
      <c r="L37" s="2761">
        <f t="shared" si="2"/>
        <v>0.11731957363025325</v>
      </c>
      <c r="M37" s="2761">
        <f t="shared" si="2"/>
        <v>0.57677584006805616</v>
      </c>
      <c r="N37" s="2761">
        <f t="shared" si="2"/>
        <v>0.47053836371343788</v>
      </c>
      <c r="O37" s="2761">
        <f t="shared" si="2"/>
        <v>0.95793914934877744</v>
      </c>
      <c r="P37" s="2761">
        <f t="shared" si="2"/>
        <v>-5.9547869848620719E-2</v>
      </c>
      <c r="Q37" s="2762">
        <f t="shared" si="4"/>
        <v>0.1333826341041088</v>
      </c>
      <c r="R37" s="2762">
        <f t="shared" si="4"/>
        <v>0.10261470152935373</v>
      </c>
      <c r="S37" s="1743"/>
      <c r="T37" s="1743"/>
      <c r="U37" s="1743"/>
      <c r="V37" s="1743"/>
    </row>
    <row r="38" spans="1:22" x14ac:dyDescent="0.25">
      <c r="B38" s="2685"/>
      <c r="C38" s="2681"/>
      <c r="D38" s="17" t="s">
        <v>1042</v>
      </c>
      <c r="E38" s="2761">
        <v>0.41799999999999998</v>
      </c>
      <c r="F38" s="2761">
        <f t="shared" si="3"/>
        <v>0.41848665343039931</v>
      </c>
      <c r="G38" s="2761">
        <f t="shared" si="3"/>
        <v>0.20300673924313115</v>
      </c>
      <c r="H38" s="2761">
        <f t="shared" si="2"/>
        <v>0.13022494182538999</v>
      </c>
      <c r="I38" s="2761">
        <f t="shared" si="2"/>
        <v>-8.1134665243251483E-2</v>
      </c>
      <c r="J38" s="2761">
        <f t="shared" si="2"/>
        <v>-1.1659751037344398E-2</v>
      </c>
      <c r="K38" s="2761">
        <f t="shared" si="2"/>
        <v>0.20462655862966539</v>
      </c>
      <c r="L38" s="2761">
        <f t="shared" si="2"/>
        <v>0.1311818213501551</v>
      </c>
      <c r="M38" s="2761">
        <f t="shared" si="2"/>
        <v>0.15275595403148781</v>
      </c>
      <c r="N38" s="2761">
        <f t="shared" si="2"/>
        <v>0.12700788453828679</v>
      </c>
      <c r="O38" s="2761">
        <f t="shared" si="2"/>
        <v>8.9809566722792708E-2</v>
      </c>
      <c r="P38" s="2761">
        <f t="shared" si="2"/>
        <v>3.0965748357052705E-2</v>
      </c>
      <c r="Q38" s="2762">
        <f t="shared" si="4"/>
        <v>8.7910428441989902E-2</v>
      </c>
      <c r="R38" s="2762">
        <f t="shared" si="4"/>
        <v>7.0554641178686872E-2</v>
      </c>
      <c r="S38" s="52"/>
      <c r="T38" s="1252"/>
      <c r="U38" s="52"/>
      <c r="V38" s="52"/>
    </row>
    <row r="39" spans="1:22" x14ac:dyDescent="0.25">
      <c r="B39" s="2685"/>
      <c r="C39" s="2681"/>
      <c r="D39" s="17" t="s">
        <v>23</v>
      </c>
      <c r="E39" s="2761">
        <v>4.7E-2</v>
      </c>
      <c r="F39" s="2761">
        <f t="shared" si="3"/>
        <v>4.6893317702227433E-2</v>
      </c>
      <c r="G39" s="2761">
        <f t="shared" si="3"/>
        <v>0.10694288913773796</v>
      </c>
      <c r="H39" s="2761">
        <f t="shared" si="2"/>
        <v>0.10166919575113809</v>
      </c>
      <c r="I39" s="2761">
        <f t="shared" si="2"/>
        <v>0.46831955922865015</v>
      </c>
      <c r="J39" s="2761">
        <f t="shared" si="2"/>
        <v>3.6898061288305188E-2</v>
      </c>
      <c r="K39" s="2761">
        <f t="shared" si="2"/>
        <v>0.45868516284680338</v>
      </c>
      <c r="L39" s="2761">
        <f t="shared" si="2"/>
        <v>-4.1968162083936326E-2</v>
      </c>
      <c r="M39" s="2761">
        <f t="shared" si="2"/>
        <v>0.13379369874838154</v>
      </c>
      <c r="N39" s="2761">
        <f t="shared" si="2"/>
        <v>0.43319375713741909</v>
      </c>
      <c r="O39" s="2761">
        <f t="shared" si="2"/>
        <v>0.27609561752988049</v>
      </c>
      <c r="P39" s="2761">
        <f t="shared" si="2"/>
        <v>0.21927359766885213</v>
      </c>
      <c r="Q39" s="2762">
        <f t="shared" si="4"/>
        <v>0.27733404330848421</v>
      </c>
      <c r="R39" s="2762">
        <f t="shared" si="4"/>
        <v>0.36121725838949487</v>
      </c>
      <c r="S39" s="52"/>
      <c r="T39" s="1252"/>
      <c r="U39" s="52"/>
      <c r="V39" s="52"/>
    </row>
    <row r="40" spans="1:22" x14ac:dyDescent="0.25">
      <c r="B40" s="2685"/>
      <c r="C40" s="2681"/>
      <c r="D40" s="17" t="s">
        <v>1043</v>
      </c>
      <c r="E40" s="2761">
        <v>0.30399999999999999</v>
      </c>
      <c r="F40" s="2761">
        <f t="shared" si="3"/>
        <v>0.30441400304414001</v>
      </c>
      <c r="G40" s="2761">
        <f t="shared" si="3"/>
        <v>4.6674445740956826E-2</v>
      </c>
      <c r="H40" s="2761">
        <f t="shared" si="2"/>
        <v>0.15273132664437011</v>
      </c>
      <c r="I40" s="2761">
        <f t="shared" si="2"/>
        <v>-0.14410058027079303</v>
      </c>
      <c r="J40" s="2761">
        <f t="shared" si="2"/>
        <v>-7.2316384180790963E-2</v>
      </c>
      <c r="K40" s="2761">
        <f t="shared" si="2"/>
        <v>0.24299634591961022</v>
      </c>
      <c r="L40" s="2761">
        <f t="shared" si="2"/>
        <v>0.55707986281234689</v>
      </c>
      <c r="M40" s="2761">
        <f t="shared" si="2"/>
        <v>0.30679672750157333</v>
      </c>
      <c r="N40" s="2761">
        <f t="shared" si="2"/>
        <v>0.40717553575728388</v>
      </c>
      <c r="O40" s="2761">
        <f t="shared" si="2"/>
        <v>0.27720739219712526</v>
      </c>
      <c r="P40" s="2761">
        <f t="shared" si="2"/>
        <v>0.18448553054662378</v>
      </c>
      <c r="Q40" s="2762">
        <f t="shared" si="4"/>
        <v>0.1730142566191446</v>
      </c>
      <c r="R40" s="2762">
        <f t="shared" si="4"/>
        <v>0.1308273287611772</v>
      </c>
      <c r="S40" s="52"/>
      <c r="T40" s="1252"/>
      <c r="U40" s="52"/>
      <c r="V40" s="52"/>
    </row>
    <row r="41" spans="1:22" x14ac:dyDescent="0.25">
      <c r="B41" s="2685"/>
      <c r="C41" s="2681"/>
      <c r="D41" s="17" t="s">
        <v>25</v>
      </c>
      <c r="E41" s="2761">
        <v>0.40600000000000003</v>
      </c>
      <c r="F41" s="2761">
        <f t="shared" si="3"/>
        <v>0.40615976900866219</v>
      </c>
      <c r="G41" s="2761">
        <f t="shared" si="3"/>
        <v>0.15286333561487567</v>
      </c>
      <c r="H41" s="2761">
        <f t="shared" si="2"/>
        <v>0.13971897882446072</v>
      </c>
      <c r="I41" s="2761">
        <f t="shared" si="2"/>
        <v>0.14776870984545928</v>
      </c>
      <c r="J41" s="2761">
        <f t="shared" si="2"/>
        <v>7.5491679273827536E-2</v>
      </c>
      <c r="K41" s="2761">
        <f t="shared" si="2"/>
        <v>8.3696722464481649E-2</v>
      </c>
      <c r="L41" s="2761">
        <f t="shared" si="2"/>
        <v>-6.9833852544132921E-2</v>
      </c>
      <c r="M41" s="2761">
        <f t="shared" si="2"/>
        <v>7.1448506837845385E-2</v>
      </c>
      <c r="N41" s="2761">
        <f t="shared" si="2"/>
        <v>0.19262828861682729</v>
      </c>
      <c r="O41" s="2761">
        <f t="shared" si="2"/>
        <v>0.20290488151141203</v>
      </c>
      <c r="P41" s="2761">
        <f t="shared" si="2"/>
        <v>5.6014525646845212E-2</v>
      </c>
      <c r="Q41" s="2762">
        <f t="shared" si="4"/>
        <v>-1.7802937074411353E-2</v>
      </c>
      <c r="R41" s="2762">
        <f t="shared" si="4"/>
        <v>0.15477781490143669</v>
      </c>
      <c r="S41" s="52"/>
      <c r="T41" s="1252"/>
      <c r="U41" s="52"/>
      <c r="V41" s="52"/>
    </row>
    <row r="42" spans="1:22" x14ac:dyDescent="0.25">
      <c r="B42" s="899"/>
      <c r="C42" s="2681"/>
      <c r="D42" s="17" t="s">
        <v>1044</v>
      </c>
      <c r="E42" s="2761">
        <v>0.19</v>
      </c>
      <c r="F42" s="2761">
        <f t="shared" si="3"/>
        <v>0.19047619047619047</v>
      </c>
      <c r="G42" s="2761">
        <f t="shared" si="3"/>
        <v>-0.18235294117647058</v>
      </c>
      <c r="H42" s="2761">
        <f t="shared" si="2"/>
        <v>1.3908872901678656E-2</v>
      </c>
      <c r="I42" s="2761">
        <f t="shared" si="2"/>
        <v>4.1154210028382217E-2</v>
      </c>
      <c r="J42" s="2761">
        <f t="shared" si="2"/>
        <v>-0.12176283507496592</v>
      </c>
      <c r="K42" s="2761">
        <f t="shared" si="2"/>
        <v>0.22659079151577857</v>
      </c>
      <c r="L42" s="2761">
        <f t="shared" si="2"/>
        <v>1.9822859552931251E-2</v>
      </c>
      <c r="M42" s="2761">
        <f t="shared" si="2"/>
        <v>0.10504549214226634</v>
      </c>
      <c r="N42" s="2761">
        <f t="shared" si="2"/>
        <v>7.0733532934131732E-2</v>
      </c>
      <c r="O42" s="2761">
        <f t="shared" si="2"/>
        <v>0.13666550157287663</v>
      </c>
      <c r="P42" s="2761">
        <f t="shared" si="2"/>
        <v>8.4563345633456341E-2</v>
      </c>
      <c r="Q42" s="2762">
        <f t="shared" si="4"/>
        <v>0.18232044198895028</v>
      </c>
      <c r="R42" s="2762">
        <f t="shared" si="4"/>
        <v>8.3138629283489099E-2</v>
      </c>
      <c r="S42" s="52"/>
      <c r="T42" s="1252"/>
      <c r="U42" s="52"/>
      <c r="V42" s="52"/>
    </row>
    <row r="43" spans="1:22" x14ac:dyDescent="0.25">
      <c r="B43" s="2636"/>
      <c r="C43" s="2681"/>
      <c r="D43" s="17" t="s">
        <v>27</v>
      </c>
      <c r="E43" s="2761">
        <v>0.52600000000000002</v>
      </c>
      <c r="F43" s="2761">
        <f t="shared" si="3"/>
        <v>0.52617853560682049</v>
      </c>
      <c r="G43" s="2761">
        <f t="shared" si="3"/>
        <v>0.14313880126182965</v>
      </c>
      <c r="H43" s="2761">
        <f t="shared" si="2"/>
        <v>0.18049327354260089</v>
      </c>
      <c r="I43" s="2761">
        <f t="shared" si="2"/>
        <v>0.11975552146492317</v>
      </c>
      <c r="J43" s="2761">
        <f t="shared" si="2"/>
        <v>0.14778732195281069</v>
      </c>
      <c r="K43" s="2761">
        <f t="shared" si="2"/>
        <v>0.14452170288550803</v>
      </c>
      <c r="L43" s="2761">
        <f t="shared" si="2"/>
        <v>0.16850138224436756</v>
      </c>
      <c r="M43" s="2761">
        <f t="shared" si="2"/>
        <v>9.1814472714909043E-2</v>
      </c>
      <c r="N43" s="2761">
        <f t="shared" si="2"/>
        <v>6.4786100766845295E-2</v>
      </c>
      <c r="O43" s="2761">
        <f t="shared" si="2"/>
        <v>4.1444273841729426E-2</v>
      </c>
      <c r="P43" s="2761">
        <f t="shared" si="2"/>
        <v>3.8238769994032508E-2</v>
      </c>
      <c r="Q43" s="2762">
        <f t="shared" si="4"/>
        <v>0.14237839908081196</v>
      </c>
      <c r="R43" s="2762">
        <f t="shared" si="4"/>
        <v>9.1060635692267577E-2</v>
      </c>
      <c r="S43" s="52"/>
      <c r="T43" s="66"/>
      <c r="U43" s="52"/>
      <c r="V43" s="52"/>
    </row>
    <row r="44" spans="1:22" x14ac:dyDescent="0.25">
      <c r="C44" s="2681"/>
      <c r="D44" s="602" t="s">
        <v>257</v>
      </c>
      <c r="E44" s="2763">
        <v>0.34</v>
      </c>
      <c r="F44" s="2763">
        <f t="shared" si="3"/>
        <v>0.33996394901816906</v>
      </c>
      <c r="G44" s="2763">
        <f t="shared" si="3"/>
        <v>0.13915310532017475</v>
      </c>
      <c r="H44" s="2763">
        <f t="shared" si="2"/>
        <v>9.4043264708956006E-2</v>
      </c>
      <c r="I44" s="2763">
        <f t="shared" si="2"/>
        <v>4.2459093123441816E-2</v>
      </c>
      <c r="J44" s="2763">
        <f t="shared" si="2"/>
        <v>7.3652573899976176E-2</v>
      </c>
      <c r="K44" s="2763">
        <f t="shared" si="2"/>
        <v>0.15078687741098556</v>
      </c>
      <c r="L44" s="2763">
        <f t="shared" si="2"/>
        <v>0.11742064669237615</v>
      </c>
      <c r="M44" s="2763">
        <f t="shared" si="2"/>
        <v>0.17013001665859179</v>
      </c>
      <c r="N44" s="2763">
        <f t="shared" si="2"/>
        <v>0.17309579313356815</v>
      </c>
      <c r="O44" s="2763">
        <f t="shared" si="2"/>
        <v>0.26064063822071798</v>
      </c>
      <c r="P44" s="2763">
        <f t="shared" si="2"/>
        <v>2.3664145559425004E-2</v>
      </c>
      <c r="Q44" s="2764">
        <f t="shared" si="4"/>
        <v>0.12935388652017055</v>
      </c>
      <c r="R44" s="2764">
        <f>(S18-R18)/R18</f>
        <v>0.1054293123417689</v>
      </c>
      <c r="S44" s="2763"/>
      <c r="T44" s="1252"/>
      <c r="U44" s="52"/>
      <c r="V44" s="52"/>
    </row>
    <row r="46" spans="1:22" ht="12.75" customHeight="1" x14ac:dyDescent="0.25">
      <c r="A46" s="2358">
        <v>5</v>
      </c>
      <c r="B46" s="2358" t="s">
        <v>29</v>
      </c>
      <c r="C46" s="2681"/>
      <c r="D46" s="4048" t="s">
        <v>1169</v>
      </c>
      <c r="E46" s="4049"/>
      <c r="F46" s="4049"/>
      <c r="G46" s="4049"/>
      <c r="H46" s="4049"/>
      <c r="I46" s="4049"/>
      <c r="J46" s="4049"/>
      <c r="K46" s="4049"/>
      <c r="L46" s="4049"/>
      <c r="M46" s="4049"/>
      <c r="N46" s="4049"/>
      <c r="O46" s="4049"/>
      <c r="P46" s="4049"/>
      <c r="Q46" s="4049"/>
      <c r="R46" s="4049"/>
      <c r="S46" s="4049"/>
      <c r="T46" s="4050"/>
    </row>
    <row r="47" spans="1:22" ht="12.75" customHeight="1" x14ac:dyDescent="0.25">
      <c r="A47" s="2433">
        <v>6</v>
      </c>
      <c r="B47" s="2433" t="s">
        <v>32</v>
      </c>
      <c r="C47" s="2681"/>
      <c r="D47" s="4129" t="s">
        <v>1170</v>
      </c>
      <c r="E47" s="4130"/>
      <c r="F47" s="4130"/>
      <c r="G47" s="4130"/>
      <c r="H47" s="4130"/>
      <c r="I47" s="4130"/>
      <c r="J47" s="4130"/>
      <c r="K47" s="4130"/>
      <c r="L47" s="4130"/>
      <c r="M47" s="4130"/>
      <c r="N47" s="1689"/>
      <c r="O47" s="1689"/>
      <c r="P47" s="1689"/>
      <c r="Q47" s="2765"/>
      <c r="R47" s="2765"/>
      <c r="S47" s="2765"/>
      <c r="T47" s="2766"/>
    </row>
    <row r="48" spans="1:22" s="2472" customFormat="1" ht="12.75" customHeight="1" x14ac:dyDescent="0.2">
      <c r="A48" s="2358">
        <v>7</v>
      </c>
      <c r="B48" s="2358" t="s">
        <v>31</v>
      </c>
      <c r="C48" s="899"/>
      <c r="D48" s="4048" t="s">
        <v>1132</v>
      </c>
      <c r="E48" s="4049"/>
      <c r="F48" s="4049"/>
      <c r="G48" s="4049"/>
      <c r="H48" s="4049"/>
      <c r="I48" s="4049"/>
      <c r="J48" s="4049"/>
      <c r="K48" s="4049"/>
      <c r="L48" s="4049"/>
      <c r="M48" s="4049"/>
      <c r="N48" s="1689"/>
      <c r="O48" s="1689"/>
      <c r="P48" s="1689"/>
      <c r="Q48" s="2765"/>
      <c r="R48" s="2765"/>
      <c r="S48" s="2765"/>
      <c r="T48" s="2766"/>
    </row>
    <row r="49" spans="2:14" ht="15" customHeight="1" x14ac:dyDescent="0.25">
      <c r="C49" s="2358"/>
      <c r="F49" s="2357"/>
    </row>
    <row r="50" spans="2:14" ht="12.75" customHeight="1" x14ac:dyDescent="0.25">
      <c r="C50" s="2433"/>
      <c r="F50" s="2357"/>
    </row>
    <row r="51" spans="2:14" ht="12.75" customHeight="1" x14ac:dyDescent="0.25">
      <c r="C51" s="2358"/>
      <c r="F51" s="2357"/>
    </row>
    <row r="52" spans="2:14" ht="25.5" customHeight="1" x14ac:dyDescent="0.25">
      <c r="B52" s="2767"/>
      <c r="C52" s="2768" t="s">
        <v>143</v>
      </c>
      <c r="D52" s="2768" t="s">
        <v>144</v>
      </c>
      <c r="E52" s="2768" t="s">
        <v>145</v>
      </c>
      <c r="F52" s="2768" t="s">
        <v>8</v>
      </c>
      <c r="G52" s="2768" t="s">
        <v>9</v>
      </c>
      <c r="H52" s="2768" t="s">
        <v>10</v>
      </c>
      <c r="I52" s="2768" t="s">
        <v>11</v>
      </c>
      <c r="J52" s="2768" t="s">
        <v>12</v>
      </c>
      <c r="K52" s="2768" t="s">
        <v>13</v>
      </c>
      <c r="L52" s="2768" t="s">
        <v>14</v>
      </c>
      <c r="M52" s="2769" t="s">
        <v>15</v>
      </c>
      <c r="N52" s="2769" t="s">
        <v>333</v>
      </c>
    </row>
    <row r="53" spans="2:14" x14ac:dyDescent="0.25">
      <c r="B53" s="2770" t="s">
        <v>1151</v>
      </c>
      <c r="C53" s="2771">
        <v>104689</v>
      </c>
      <c r="D53" s="2771">
        <v>109134</v>
      </c>
      <c r="E53" s="2771">
        <v>117172</v>
      </c>
      <c r="F53" s="2771">
        <v>134480</v>
      </c>
      <c r="G53" s="2771">
        <v>150673</v>
      </c>
      <c r="H53" s="2771">
        <v>176307</v>
      </c>
      <c r="I53" s="2771">
        <v>206825</v>
      </c>
      <c r="J53" s="2771">
        <v>260732</v>
      </c>
      <c r="K53" s="2771">
        <v>266902</v>
      </c>
      <c r="L53" s="2771">
        <v>259165</v>
      </c>
      <c r="M53" s="2772">
        <v>292689</v>
      </c>
      <c r="N53" s="2772">
        <v>323547</v>
      </c>
    </row>
    <row r="54" spans="2:14" ht="64.5" customHeight="1" x14ac:dyDescent="0.25">
      <c r="B54" s="2770" t="s">
        <v>1171</v>
      </c>
      <c r="C54" s="2767">
        <v>220.9</v>
      </c>
      <c r="D54" s="2767">
        <v>228.1</v>
      </c>
      <c r="E54" s="2767">
        <v>240.7</v>
      </c>
      <c r="F54" s="2767">
        <v>273.39999999999998</v>
      </c>
      <c r="G54" s="2767">
        <v>301.39999999999998</v>
      </c>
      <c r="H54" s="2767">
        <v>348.5</v>
      </c>
      <c r="I54" s="2767">
        <v>395.6</v>
      </c>
      <c r="J54" s="2767">
        <v>492.2</v>
      </c>
      <c r="K54" s="2767">
        <v>494.2</v>
      </c>
      <c r="L54" s="2767">
        <v>471.6</v>
      </c>
      <c r="M54" s="2773">
        <v>523.5</v>
      </c>
      <c r="N54" s="2773">
        <f>(323547/56753327)*100000</f>
        <v>570.09345020424973</v>
      </c>
    </row>
  </sheetData>
  <mergeCells count="10">
    <mergeCell ref="D2:T2"/>
    <mergeCell ref="S36:T36"/>
    <mergeCell ref="D46:T46"/>
    <mergeCell ref="D47:M47"/>
    <mergeCell ref="D48:M48"/>
    <mergeCell ref="E33:M33"/>
    <mergeCell ref="D3:T3"/>
    <mergeCell ref="D4:T4"/>
    <mergeCell ref="D5:M5"/>
    <mergeCell ref="E20:M20"/>
  </mergeCells>
  <pageMargins left="0.74803149606299213" right="0.74803149606299213" top="0.98425196850393704" bottom="0.98425196850393704" header="0.51181102362204722" footer="0.51181102362204722"/>
  <pageSetup paperSize="9" scale="71"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Y54"/>
  <sheetViews>
    <sheetView showGridLines="0" view="pageBreakPreview" zoomScaleNormal="100" zoomScaleSheetLayoutView="100" workbookViewId="0">
      <selection activeCell="A49" sqref="A49:XFD49"/>
    </sheetView>
  </sheetViews>
  <sheetFormatPr defaultColWidth="9.140625" defaultRowHeight="15" x14ac:dyDescent="0.25"/>
  <cols>
    <col min="1" max="1" width="3.7109375" style="2358" customWidth="1"/>
    <col min="2" max="2" width="10.85546875" style="2355" customWidth="1"/>
    <col min="3" max="3" width="7.140625" style="2355" customWidth="1"/>
    <col min="4" max="4" width="21.7109375" style="2357" customWidth="1"/>
    <col min="5" max="5" width="8.28515625" style="2357" customWidth="1"/>
    <col min="6" max="6" width="8.42578125" style="2699" customWidth="1"/>
    <col min="7" max="7" width="9.5703125" style="2357" customWidth="1"/>
    <col min="8" max="8" width="8.28515625" style="2357" customWidth="1"/>
    <col min="9" max="9" width="8.5703125" style="2357" customWidth="1"/>
    <col min="10" max="10" width="8.42578125" style="2357" customWidth="1"/>
    <col min="11" max="11" width="8" style="2357" customWidth="1"/>
    <col min="12" max="13" width="8.42578125" style="2357" customWidth="1"/>
    <col min="14" max="14" width="7.7109375" style="2357" customWidth="1"/>
    <col min="15" max="15" width="8.42578125" style="2357" customWidth="1"/>
    <col min="16" max="16" width="8" style="2357" customWidth="1"/>
    <col min="17" max="17" width="9" style="2357" customWidth="1"/>
    <col min="18" max="18" width="8.7109375" style="2357" customWidth="1"/>
    <col min="19" max="19" width="6.42578125" style="2357" customWidth="1"/>
    <col min="20" max="20" width="7.5703125" style="2357" customWidth="1"/>
    <col min="21" max="256" width="9.140625" style="2357"/>
    <col min="257" max="257" width="3.7109375" style="2357" customWidth="1"/>
    <col min="258" max="258" width="14.42578125" style="2357" customWidth="1"/>
    <col min="259" max="259" width="3.7109375" style="2357" customWidth="1"/>
    <col min="260" max="260" width="15.5703125" style="2357" customWidth="1"/>
    <col min="261" max="261" width="12.85546875" style="2357" customWidth="1"/>
    <col min="262" max="262" width="13.28515625" style="2357" customWidth="1"/>
    <col min="263" max="263" width="11.7109375" style="2357" customWidth="1"/>
    <col min="264" max="264" width="13.85546875" style="2357" customWidth="1"/>
    <col min="265" max="265" width="13.140625" style="2357" customWidth="1"/>
    <col min="266" max="266" width="13.42578125" style="2357" customWidth="1"/>
    <col min="267" max="267" width="13.7109375" style="2357" customWidth="1"/>
    <col min="268" max="268" width="12.5703125" style="2357" customWidth="1"/>
    <col min="269" max="273" width="9.5703125" style="2357" customWidth="1"/>
    <col min="274" max="275" width="9" style="2357" customWidth="1"/>
    <col min="276" max="512" width="9.140625" style="2357"/>
    <col min="513" max="513" width="3.7109375" style="2357" customWidth="1"/>
    <col min="514" max="514" width="14.42578125" style="2357" customWidth="1"/>
    <col min="515" max="515" width="3.7109375" style="2357" customWidth="1"/>
    <col min="516" max="516" width="15.5703125" style="2357" customWidth="1"/>
    <col min="517" max="517" width="12.85546875" style="2357" customWidth="1"/>
    <col min="518" max="518" width="13.28515625" style="2357" customWidth="1"/>
    <col min="519" max="519" width="11.7109375" style="2357" customWidth="1"/>
    <col min="520" max="520" width="13.85546875" style="2357" customWidth="1"/>
    <col min="521" max="521" width="13.140625" style="2357" customWidth="1"/>
    <col min="522" max="522" width="13.42578125" style="2357" customWidth="1"/>
    <col min="523" max="523" width="13.7109375" style="2357" customWidth="1"/>
    <col min="524" max="524" width="12.5703125" style="2357" customWidth="1"/>
    <col min="525" max="529" width="9.5703125" style="2357" customWidth="1"/>
    <col min="530" max="531" width="9" style="2357" customWidth="1"/>
    <col min="532" max="768" width="9.140625" style="2357"/>
    <col min="769" max="769" width="3.7109375" style="2357" customWidth="1"/>
    <col min="770" max="770" width="14.42578125" style="2357" customWidth="1"/>
    <col min="771" max="771" width="3.7109375" style="2357" customWidth="1"/>
    <col min="772" max="772" width="15.5703125" style="2357" customWidth="1"/>
    <col min="773" max="773" width="12.85546875" style="2357" customWidth="1"/>
    <col min="774" max="774" width="13.28515625" style="2357" customWidth="1"/>
    <col min="775" max="775" width="11.7109375" style="2357" customWidth="1"/>
    <col min="776" max="776" width="13.85546875" style="2357" customWidth="1"/>
    <col min="777" max="777" width="13.140625" style="2357" customWidth="1"/>
    <col min="778" max="778" width="13.42578125" style="2357" customWidth="1"/>
    <col min="779" max="779" width="13.7109375" style="2357" customWidth="1"/>
    <col min="780" max="780" width="12.5703125" style="2357" customWidth="1"/>
    <col min="781" max="785" width="9.5703125" style="2357" customWidth="1"/>
    <col min="786" max="787" width="9" style="2357" customWidth="1"/>
    <col min="788" max="1024" width="9.140625" style="2357"/>
    <col min="1025" max="1025" width="3.7109375" style="2357" customWidth="1"/>
    <col min="1026" max="1026" width="14.42578125" style="2357" customWidth="1"/>
    <col min="1027" max="1027" width="3.7109375" style="2357" customWidth="1"/>
    <col min="1028" max="1028" width="15.5703125" style="2357" customWidth="1"/>
    <col min="1029" max="1029" width="12.85546875" style="2357" customWidth="1"/>
    <col min="1030" max="1030" width="13.28515625" style="2357" customWidth="1"/>
    <col min="1031" max="1031" width="11.7109375" style="2357" customWidth="1"/>
    <col min="1032" max="1032" width="13.85546875" style="2357" customWidth="1"/>
    <col min="1033" max="1033" width="13.140625" style="2357" customWidth="1"/>
    <col min="1034" max="1034" width="13.42578125" style="2357" customWidth="1"/>
    <col min="1035" max="1035" width="13.7109375" style="2357" customWidth="1"/>
    <col min="1036" max="1036" width="12.5703125" style="2357" customWidth="1"/>
    <col min="1037" max="1041" width="9.5703125" style="2357" customWidth="1"/>
    <col min="1042" max="1043" width="9" style="2357" customWidth="1"/>
    <col min="1044" max="1280" width="9.140625" style="2357"/>
    <col min="1281" max="1281" width="3.7109375" style="2357" customWidth="1"/>
    <col min="1282" max="1282" width="14.42578125" style="2357" customWidth="1"/>
    <col min="1283" max="1283" width="3.7109375" style="2357" customWidth="1"/>
    <col min="1284" max="1284" width="15.5703125" style="2357" customWidth="1"/>
    <col min="1285" max="1285" width="12.85546875" style="2357" customWidth="1"/>
    <col min="1286" max="1286" width="13.28515625" style="2357" customWidth="1"/>
    <col min="1287" max="1287" width="11.7109375" style="2357" customWidth="1"/>
    <col min="1288" max="1288" width="13.85546875" style="2357" customWidth="1"/>
    <col min="1289" max="1289" width="13.140625" style="2357" customWidth="1"/>
    <col min="1290" max="1290" width="13.42578125" style="2357" customWidth="1"/>
    <col min="1291" max="1291" width="13.7109375" style="2357" customWidth="1"/>
    <col min="1292" max="1292" width="12.5703125" style="2357" customWidth="1"/>
    <col min="1293" max="1297" width="9.5703125" style="2357" customWidth="1"/>
    <col min="1298" max="1299" width="9" style="2357" customWidth="1"/>
    <col min="1300" max="1536" width="9.140625" style="2357"/>
    <col min="1537" max="1537" width="3.7109375" style="2357" customWidth="1"/>
    <col min="1538" max="1538" width="14.42578125" style="2357" customWidth="1"/>
    <col min="1539" max="1539" width="3.7109375" style="2357" customWidth="1"/>
    <col min="1540" max="1540" width="15.5703125" style="2357" customWidth="1"/>
    <col min="1541" max="1541" width="12.85546875" style="2357" customWidth="1"/>
    <col min="1542" max="1542" width="13.28515625" style="2357" customWidth="1"/>
    <col min="1543" max="1543" width="11.7109375" style="2357" customWidth="1"/>
    <col min="1544" max="1544" width="13.85546875" style="2357" customWidth="1"/>
    <col min="1545" max="1545" width="13.140625" style="2357" customWidth="1"/>
    <col min="1546" max="1546" width="13.42578125" style="2357" customWidth="1"/>
    <col min="1547" max="1547" width="13.7109375" style="2357" customWidth="1"/>
    <col min="1548" max="1548" width="12.5703125" style="2357" customWidth="1"/>
    <col min="1549" max="1553" width="9.5703125" style="2357" customWidth="1"/>
    <col min="1554" max="1555" width="9" style="2357" customWidth="1"/>
    <col min="1556" max="1792" width="9.140625" style="2357"/>
    <col min="1793" max="1793" width="3.7109375" style="2357" customWidth="1"/>
    <col min="1794" max="1794" width="14.42578125" style="2357" customWidth="1"/>
    <col min="1795" max="1795" width="3.7109375" style="2357" customWidth="1"/>
    <col min="1796" max="1796" width="15.5703125" style="2357" customWidth="1"/>
    <col min="1797" max="1797" width="12.85546875" style="2357" customWidth="1"/>
    <col min="1798" max="1798" width="13.28515625" style="2357" customWidth="1"/>
    <col min="1799" max="1799" width="11.7109375" style="2357" customWidth="1"/>
    <col min="1800" max="1800" width="13.85546875" style="2357" customWidth="1"/>
    <col min="1801" max="1801" width="13.140625" style="2357" customWidth="1"/>
    <col min="1802" max="1802" width="13.42578125" style="2357" customWidth="1"/>
    <col min="1803" max="1803" width="13.7109375" style="2357" customWidth="1"/>
    <col min="1804" max="1804" width="12.5703125" style="2357" customWidth="1"/>
    <col min="1805" max="1809" width="9.5703125" style="2357" customWidth="1"/>
    <col min="1810" max="1811" width="9" style="2357" customWidth="1"/>
    <col min="1812" max="2048" width="9.140625" style="2357"/>
    <col min="2049" max="2049" width="3.7109375" style="2357" customWidth="1"/>
    <col min="2050" max="2050" width="14.42578125" style="2357" customWidth="1"/>
    <col min="2051" max="2051" width="3.7109375" style="2357" customWidth="1"/>
    <col min="2052" max="2052" width="15.5703125" style="2357" customWidth="1"/>
    <col min="2053" max="2053" width="12.85546875" style="2357" customWidth="1"/>
    <col min="2054" max="2054" width="13.28515625" style="2357" customWidth="1"/>
    <col min="2055" max="2055" width="11.7109375" style="2357" customWidth="1"/>
    <col min="2056" max="2056" width="13.85546875" style="2357" customWidth="1"/>
    <col min="2057" max="2057" width="13.140625" style="2357" customWidth="1"/>
    <col min="2058" max="2058" width="13.42578125" style="2357" customWidth="1"/>
    <col min="2059" max="2059" width="13.7109375" style="2357" customWidth="1"/>
    <col min="2060" max="2060" width="12.5703125" style="2357" customWidth="1"/>
    <col min="2061" max="2065" width="9.5703125" style="2357" customWidth="1"/>
    <col min="2066" max="2067" width="9" style="2357" customWidth="1"/>
    <col min="2068" max="2304" width="9.140625" style="2357"/>
    <col min="2305" max="2305" width="3.7109375" style="2357" customWidth="1"/>
    <col min="2306" max="2306" width="14.42578125" style="2357" customWidth="1"/>
    <col min="2307" max="2307" width="3.7109375" style="2357" customWidth="1"/>
    <col min="2308" max="2308" width="15.5703125" style="2357" customWidth="1"/>
    <col min="2309" max="2309" width="12.85546875" style="2357" customWidth="1"/>
    <col min="2310" max="2310" width="13.28515625" style="2357" customWidth="1"/>
    <col min="2311" max="2311" width="11.7109375" style="2357" customWidth="1"/>
    <col min="2312" max="2312" width="13.85546875" style="2357" customWidth="1"/>
    <col min="2313" max="2313" width="13.140625" style="2357" customWidth="1"/>
    <col min="2314" max="2314" width="13.42578125" style="2357" customWidth="1"/>
    <col min="2315" max="2315" width="13.7109375" style="2357" customWidth="1"/>
    <col min="2316" max="2316" width="12.5703125" style="2357" customWidth="1"/>
    <col min="2317" max="2321" width="9.5703125" style="2357" customWidth="1"/>
    <col min="2322" max="2323" width="9" style="2357" customWidth="1"/>
    <col min="2324" max="2560" width="9.140625" style="2357"/>
    <col min="2561" max="2561" width="3.7109375" style="2357" customWidth="1"/>
    <col min="2562" max="2562" width="14.42578125" style="2357" customWidth="1"/>
    <col min="2563" max="2563" width="3.7109375" style="2357" customWidth="1"/>
    <col min="2564" max="2564" width="15.5703125" style="2357" customWidth="1"/>
    <col min="2565" max="2565" width="12.85546875" style="2357" customWidth="1"/>
    <col min="2566" max="2566" width="13.28515625" style="2357" customWidth="1"/>
    <col min="2567" max="2567" width="11.7109375" style="2357" customWidth="1"/>
    <col min="2568" max="2568" width="13.85546875" style="2357" customWidth="1"/>
    <col min="2569" max="2569" width="13.140625" style="2357" customWidth="1"/>
    <col min="2570" max="2570" width="13.42578125" style="2357" customWidth="1"/>
    <col min="2571" max="2571" width="13.7109375" style="2357" customWidth="1"/>
    <col min="2572" max="2572" width="12.5703125" style="2357" customWidth="1"/>
    <col min="2573" max="2577" width="9.5703125" style="2357" customWidth="1"/>
    <col min="2578" max="2579" width="9" style="2357" customWidth="1"/>
    <col min="2580" max="2816" width="9.140625" style="2357"/>
    <col min="2817" max="2817" width="3.7109375" style="2357" customWidth="1"/>
    <col min="2818" max="2818" width="14.42578125" style="2357" customWidth="1"/>
    <col min="2819" max="2819" width="3.7109375" style="2357" customWidth="1"/>
    <col min="2820" max="2820" width="15.5703125" style="2357" customWidth="1"/>
    <col min="2821" max="2821" width="12.85546875" style="2357" customWidth="1"/>
    <col min="2822" max="2822" width="13.28515625" style="2357" customWidth="1"/>
    <col min="2823" max="2823" width="11.7109375" style="2357" customWidth="1"/>
    <col min="2824" max="2824" width="13.85546875" style="2357" customWidth="1"/>
    <col min="2825" max="2825" width="13.140625" style="2357" customWidth="1"/>
    <col min="2826" max="2826" width="13.42578125" style="2357" customWidth="1"/>
    <col min="2827" max="2827" width="13.7109375" style="2357" customWidth="1"/>
    <col min="2828" max="2828" width="12.5703125" style="2357" customWidth="1"/>
    <col min="2829" max="2833" width="9.5703125" style="2357" customWidth="1"/>
    <col min="2834" max="2835" width="9" style="2357" customWidth="1"/>
    <col min="2836" max="3072" width="9.140625" style="2357"/>
    <col min="3073" max="3073" width="3.7109375" style="2357" customWidth="1"/>
    <col min="3074" max="3074" width="14.42578125" style="2357" customWidth="1"/>
    <col min="3075" max="3075" width="3.7109375" style="2357" customWidth="1"/>
    <col min="3076" max="3076" width="15.5703125" style="2357" customWidth="1"/>
    <col min="3077" max="3077" width="12.85546875" style="2357" customWidth="1"/>
    <col min="3078" max="3078" width="13.28515625" style="2357" customWidth="1"/>
    <col min="3079" max="3079" width="11.7109375" style="2357" customWidth="1"/>
    <col min="3080" max="3080" width="13.85546875" style="2357" customWidth="1"/>
    <col min="3081" max="3081" width="13.140625" style="2357" customWidth="1"/>
    <col min="3082" max="3082" width="13.42578125" style="2357" customWidth="1"/>
    <col min="3083" max="3083" width="13.7109375" style="2357" customWidth="1"/>
    <col min="3084" max="3084" width="12.5703125" style="2357" customWidth="1"/>
    <col min="3085" max="3089" width="9.5703125" style="2357" customWidth="1"/>
    <col min="3090" max="3091" width="9" style="2357" customWidth="1"/>
    <col min="3092" max="3328" width="9.140625" style="2357"/>
    <col min="3329" max="3329" width="3.7109375" style="2357" customWidth="1"/>
    <col min="3330" max="3330" width="14.42578125" style="2357" customWidth="1"/>
    <col min="3331" max="3331" width="3.7109375" style="2357" customWidth="1"/>
    <col min="3332" max="3332" width="15.5703125" style="2357" customWidth="1"/>
    <col min="3333" max="3333" width="12.85546875" style="2357" customWidth="1"/>
    <col min="3334" max="3334" width="13.28515625" style="2357" customWidth="1"/>
    <col min="3335" max="3335" width="11.7109375" style="2357" customWidth="1"/>
    <col min="3336" max="3336" width="13.85546875" style="2357" customWidth="1"/>
    <col min="3337" max="3337" width="13.140625" style="2357" customWidth="1"/>
    <col min="3338" max="3338" width="13.42578125" style="2357" customWidth="1"/>
    <col min="3339" max="3339" width="13.7109375" style="2357" customWidth="1"/>
    <col min="3340" max="3340" width="12.5703125" style="2357" customWidth="1"/>
    <col min="3341" max="3345" width="9.5703125" style="2357" customWidth="1"/>
    <col min="3346" max="3347" width="9" style="2357" customWidth="1"/>
    <col min="3348" max="3584" width="9.140625" style="2357"/>
    <col min="3585" max="3585" width="3.7109375" style="2357" customWidth="1"/>
    <col min="3586" max="3586" width="14.42578125" style="2357" customWidth="1"/>
    <col min="3587" max="3587" width="3.7109375" style="2357" customWidth="1"/>
    <col min="3588" max="3588" width="15.5703125" style="2357" customWidth="1"/>
    <col min="3589" max="3589" width="12.85546875" style="2357" customWidth="1"/>
    <col min="3590" max="3590" width="13.28515625" style="2357" customWidth="1"/>
    <col min="3591" max="3591" width="11.7109375" style="2357" customWidth="1"/>
    <col min="3592" max="3592" width="13.85546875" style="2357" customWidth="1"/>
    <col min="3593" max="3593" width="13.140625" style="2357" customWidth="1"/>
    <col min="3594" max="3594" width="13.42578125" style="2357" customWidth="1"/>
    <col min="3595" max="3595" width="13.7109375" style="2357" customWidth="1"/>
    <col min="3596" max="3596" width="12.5703125" style="2357" customWidth="1"/>
    <col min="3597" max="3601" width="9.5703125" style="2357" customWidth="1"/>
    <col min="3602" max="3603" width="9" style="2357" customWidth="1"/>
    <col min="3604" max="3840" width="9.140625" style="2357"/>
    <col min="3841" max="3841" width="3.7109375" style="2357" customWidth="1"/>
    <col min="3842" max="3842" width="14.42578125" style="2357" customWidth="1"/>
    <col min="3843" max="3843" width="3.7109375" style="2357" customWidth="1"/>
    <col min="3844" max="3844" width="15.5703125" style="2357" customWidth="1"/>
    <col min="3845" max="3845" width="12.85546875" style="2357" customWidth="1"/>
    <col min="3846" max="3846" width="13.28515625" style="2357" customWidth="1"/>
    <col min="3847" max="3847" width="11.7109375" style="2357" customWidth="1"/>
    <col min="3848" max="3848" width="13.85546875" style="2357" customWidth="1"/>
    <col min="3849" max="3849" width="13.140625" style="2357" customWidth="1"/>
    <col min="3850" max="3850" width="13.42578125" style="2357" customWidth="1"/>
    <col min="3851" max="3851" width="13.7109375" style="2357" customWidth="1"/>
    <col min="3852" max="3852" width="12.5703125" style="2357" customWidth="1"/>
    <col min="3853" max="3857" width="9.5703125" style="2357" customWidth="1"/>
    <col min="3858" max="3859" width="9" style="2357" customWidth="1"/>
    <col min="3860" max="4096" width="9.140625" style="2357"/>
    <col min="4097" max="4097" width="3.7109375" style="2357" customWidth="1"/>
    <col min="4098" max="4098" width="14.42578125" style="2357" customWidth="1"/>
    <col min="4099" max="4099" width="3.7109375" style="2357" customWidth="1"/>
    <col min="4100" max="4100" width="15.5703125" style="2357" customWidth="1"/>
    <col min="4101" max="4101" width="12.85546875" style="2357" customWidth="1"/>
    <col min="4102" max="4102" width="13.28515625" style="2357" customWidth="1"/>
    <col min="4103" max="4103" width="11.7109375" style="2357" customWidth="1"/>
    <col min="4104" max="4104" width="13.85546875" style="2357" customWidth="1"/>
    <col min="4105" max="4105" width="13.140625" style="2357" customWidth="1"/>
    <col min="4106" max="4106" width="13.42578125" style="2357" customWidth="1"/>
    <col min="4107" max="4107" width="13.7109375" style="2357" customWidth="1"/>
    <col min="4108" max="4108" width="12.5703125" style="2357" customWidth="1"/>
    <col min="4109" max="4113" width="9.5703125" style="2357" customWidth="1"/>
    <col min="4114" max="4115" width="9" style="2357" customWidth="1"/>
    <col min="4116" max="4352" width="9.140625" style="2357"/>
    <col min="4353" max="4353" width="3.7109375" style="2357" customWidth="1"/>
    <col min="4354" max="4354" width="14.42578125" style="2357" customWidth="1"/>
    <col min="4355" max="4355" width="3.7109375" style="2357" customWidth="1"/>
    <col min="4356" max="4356" width="15.5703125" style="2357" customWidth="1"/>
    <col min="4357" max="4357" width="12.85546875" style="2357" customWidth="1"/>
    <col min="4358" max="4358" width="13.28515625" style="2357" customWidth="1"/>
    <col min="4359" max="4359" width="11.7109375" style="2357" customWidth="1"/>
    <col min="4360" max="4360" width="13.85546875" style="2357" customWidth="1"/>
    <col min="4361" max="4361" width="13.140625" style="2357" customWidth="1"/>
    <col min="4362" max="4362" width="13.42578125" style="2357" customWidth="1"/>
    <col min="4363" max="4363" width="13.7109375" style="2357" customWidth="1"/>
    <col min="4364" max="4364" width="12.5703125" style="2357" customWidth="1"/>
    <col min="4365" max="4369" width="9.5703125" style="2357" customWidth="1"/>
    <col min="4370" max="4371" width="9" style="2357" customWidth="1"/>
    <col min="4372" max="4608" width="9.140625" style="2357"/>
    <col min="4609" max="4609" width="3.7109375" style="2357" customWidth="1"/>
    <col min="4610" max="4610" width="14.42578125" style="2357" customWidth="1"/>
    <col min="4611" max="4611" width="3.7109375" style="2357" customWidth="1"/>
    <col min="4612" max="4612" width="15.5703125" style="2357" customWidth="1"/>
    <col min="4613" max="4613" width="12.85546875" style="2357" customWidth="1"/>
    <col min="4614" max="4614" width="13.28515625" style="2357" customWidth="1"/>
    <col min="4615" max="4615" width="11.7109375" style="2357" customWidth="1"/>
    <col min="4616" max="4616" width="13.85546875" style="2357" customWidth="1"/>
    <col min="4617" max="4617" width="13.140625" style="2357" customWidth="1"/>
    <col min="4618" max="4618" width="13.42578125" style="2357" customWidth="1"/>
    <col min="4619" max="4619" width="13.7109375" style="2357" customWidth="1"/>
    <col min="4620" max="4620" width="12.5703125" style="2357" customWidth="1"/>
    <col min="4621" max="4625" width="9.5703125" style="2357" customWidth="1"/>
    <col min="4626" max="4627" width="9" style="2357" customWidth="1"/>
    <col min="4628" max="4864" width="9.140625" style="2357"/>
    <col min="4865" max="4865" width="3.7109375" style="2357" customWidth="1"/>
    <col min="4866" max="4866" width="14.42578125" style="2357" customWidth="1"/>
    <col min="4867" max="4867" width="3.7109375" style="2357" customWidth="1"/>
    <col min="4868" max="4868" width="15.5703125" style="2357" customWidth="1"/>
    <col min="4869" max="4869" width="12.85546875" style="2357" customWidth="1"/>
    <col min="4870" max="4870" width="13.28515625" style="2357" customWidth="1"/>
    <col min="4871" max="4871" width="11.7109375" style="2357" customWidth="1"/>
    <col min="4872" max="4872" width="13.85546875" style="2357" customWidth="1"/>
    <col min="4873" max="4873" width="13.140625" style="2357" customWidth="1"/>
    <col min="4874" max="4874" width="13.42578125" style="2357" customWidth="1"/>
    <col min="4875" max="4875" width="13.7109375" style="2357" customWidth="1"/>
    <col min="4876" max="4876" width="12.5703125" style="2357" customWidth="1"/>
    <col min="4877" max="4881" width="9.5703125" style="2357" customWidth="1"/>
    <col min="4882" max="4883" width="9" style="2357" customWidth="1"/>
    <col min="4884" max="5120" width="9.140625" style="2357"/>
    <col min="5121" max="5121" width="3.7109375" style="2357" customWidth="1"/>
    <col min="5122" max="5122" width="14.42578125" style="2357" customWidth="1"/>
    <col min="5123" max="5123" width="3.7109375" style="2357" customWidth="1"/>
    <col min="5124" max="5124" width="15.5703125" style="2357" customWidth="1"/>
    <col min="5125" max="5125" width="12.85546875" style="2357" customWidth="1"/>
    <col min="5126" max="5126" width="13.28515625" style="2357" customWidth="1"/>
    <col min="5127" max="5127" width="11.7109375" style="2357" customWidth="1"/>
    <col min="5128" max="5128" width="13.85546875" style="2357" customWidth="1"/>
    <col min="5129" max="5129" width="13.140625" style="2357" customWidth="1"/>
    <col min="5130" max="5130" width="13.42578125" style="2357" customWidth="1"/>
    <col min="5131" max="5131" width="13.7109375" style="2357" customWidth="1"/>
    <col min="5132" max="5132" width="12.5703125" style="2357" customWidth="1"/>
    <col min="5133" max="5137" width="9.5703125" style="2357" customWidth="1"/>
    <col min="5138" max="5139" width="9" style="2357" customWidth="1"/>
    <col min="5140" max="5376" width="9.140625" style="2357"/>
    <col min="5377" max="5377" width="3.7109375" style="2357" customWidth="1"/>
    <col min="5378" max="5378" width="14.42578125" style="2357" customWidth="1"/>
    <col min="5379" max="5379" width="3.7109375" style="2357" customWidth="1"/>
    <col min="5380" max="5380" width="15.5703125" style="2357" customWidth="1"/>
    <col min="5381" max="5381" width="12.85546875" style="2357" customWidth="1"/>
    <col min="5382" max="5382" width="13.28515625" style="2357" customWidth="1"/>
    <col min="5383" max="5383" width="11.7109375" style="2357" customWidth="1"/>
    <col min="5384" max="5384" width="13.85546875" style="2357" customWidth="1"/>
    <col min="5385" max="5385" width="13.140625" style="2357" customWidth="1"/>
    <col min="5386" max="5386" width="13.42578125" style="2357" customWidth="1"/>
    <col min="5387" max="5387" width="13.7109375" style="2357" customWidth="1"/>
    <col min="5388" max="5388" width="12.5703125" style="2357" customWidth="1"/>
    <col min="5389" max="5393" width="9.5703125" style="2357" customWidth="1"/>
    <col min="5394" max="5395" width="9" style="2357" customWidth="1"/>
    <col min="5396" max="5632" width="9.140625" style="2357"/>
    <col min="5633" max="5633" width="3.7109375" style="2357" customWidth="1"/>
    <col min="5634" max="5634" width="14.42578125" style="2357" customWidth="1"/>
    <col min="5635" max="5635" width="3.7109375" style="2357" customWidth="1"/>
    <col min="5636" max="5636" width="15.5703125" style="2357" customWidth="1"/>
    <col min="5637" max="5637" width="12.85546875" style="2357" customWidth="1"/>
    <col min="5638" max="5638" width="13.28515625" style="2357" customWidth="1"/>
    <col min="5639" max="5639" width="11.7109375" style="2357" customWidth="1"/>
    <col min="5640" max="5640" width="13.85546875" style="2357" customWidth="1"/>
    <col min="5641" max="5641" width="13.140625" style="2357" customWidth="1"/>
    <col min="5642" max="5642" width="13.42578125" style="2357" customWidth="1"/>
    <col min="5643" max="5643" width="13.7109375" style="2357" customWidth="1"/>
    <col min="5644" max="5644" width="12.5703125" style="2357" customWidth="1"/>
    <col min="5645" max="5649" width="9.5703125" style="2357" customWidth="1"/>
    <col min="5650" max="5651" width="9" style="2357" customWidth="1"/>
    <col min="5652" max="5888" width="9.140625" style="2357"/>
    <col min="5889" max="5889" width="3.7109375" style="2357" customWidth="1"/>
    <col min="5890" max="5890" width="14.42578125" style="2357" customWidth="1"/>
    <col min="5891" max="5891" width="3.7109375" style="2357" customWidth="1"/>
    <col min="5892" max="5892" width="15.5703125" style="2357" customWidth="1"/>
    <col min="5893" max="5893" width="12.85546875" style="2357" customWidth="1"/>
    <col min="5894" max="5894" width="13.28515625" style="2357" customWidth="1"/>
    <col min="5895" max="5895" width="11.7109375" style="2357" customWidth="1"/>
    <col min="5896" max="5896" width="13.85546875" style="2357" customWidth="1"/>
    <col min="5897" max="5897" width="13.140625" style="2357" customWidth="1"/>
    <col min="5898" max="5898" width="13.42578125" style="2357" customWidth="1"/>
    <col min="5899" max="5899" width="13.7109375" style="2357" customWidth="1"/>
    <col min="5900" max="5900" width="12.5703125" style="2357" customWidth="1"/>
    <col min="5901" max="5905" width="9.5703125" style="2357" customWidth="1"/>
    <col min="5906" max="5907" width="9" style="2357" customWidth="1"/>
    <col min="5908" max="6144" width="9.140625" style="2357"/>
    <col min="6145" max="6145" width="3.7109375" style="2357" customWidth="1"/>
    <col min="6146" max="6146" width="14.42578125" style="2357" customWidth="1"/>
    <col min="6147" max="6147" width="3.7109375" style="2357" customWidth="1"/>
    <col min="6148" max="6148" width="15.5703125" style="2357" customWidth="1"/>
    <col min="6149" max="6149" width="12.85546875" style="2357" customWidth="1"/>
    <col min="6150" max="6150" width="13.28515625" style="2357" customWidth="1"/>
    <col min="6151" max="6151" width="11.7109375" style="2357" customWidth="1"/>
    <col min="6152" max="6152" width="13.85546875" style="2357" customWidth="1"/>
    <col min="6153" max="6153" width="13.140625" style="2357" customWidth="1"/>
    <col min="6154" max="6154" width="13.42578125" style="2357" customWidth="1"/>
    <col min="6155" max="6155" width="13.7109375" style="2357" customWidth="1"/>
    <col min="6156" max="6156" width="12.5703125" style="2357" customWidth="1"/>
    <col min="6157" max="6161" width="9.5703125" style="2357" customWidth="1"/>
    <col min="6162" max="6163" width="9" style="2357" customWidth="1"/>
    <col min="6164" max="6400" width="9.140625" style="2357"/>
    <col min="6401" max="6401" width="3.7109375" style="2357" customWidth="1"/>
    <col min="6402" max="6402" width="14.42578125" style="2357" customWidth="1"/>
    <col min="6403" max="6403" width="3.7109375" style="2357" customWidth="1"/>
    <col min="6404" max="6404" width="15.5703125" style="2357" customWidth="1"/>
    <col min="6405" max="6405" width="12.85546875" style="2357" customWidth="1"/>
    <col min="6406" max="6406" width="13.28515625" style="2357" customWidth="1"/>
    <col min="6407" max="6407" width="11.7109375" style="2357" customWidth="1"/>
    <col min="6408" max="6408" width="13.85546875" style="2357" customWidth="1"/>
    <col min="6409" max="6409" width="13.140625" style="2357" customWidth="1"/>
    <col min="6410" max="6410" width="13.42578125" style="2357" customWidth="1"/>
    <col min="6411" max="6411" width="13.7109375" style="2357" customWidth="1"/>
    <col min="6412" max="6412" width="12.5703125" style="2357" customWidth="1"/>
    <col min="6413" max="6417" width="9.5703125" style="2357" customWidth="1"/>
    <col min="6418" max="6419" width="9" style="2357" customWidth="1"/>
    <col min="6420" max="6656" width="9.140625" style="2357"/>
    <col min="6657" max="6657" width="3.7109375" style="2357" customWidth="1"/>
    <col min="6658" max="6658" width="14.42578125" style="2357" customWidth="1"/>
    <col min="6659" max="6659" width="3.7109375" style="2357" customWidth="1"/>
    <col min="6660" max="6660" width="15.5703125" style="2357" customWidth="1"/>
    <col min="6661" max="6661" width="12.85546875" style="2357" customWidth="1"/>
    <col min="6662" max="6662" width="13.28515625" style="2357" customWidth="1"/>
    <col min="6663" max="6663" width="11.7109375" style="2357" customWidth="1"/>
    <col min="6664" max="6664" width="13.85546875" style="2357" customWidth="1"/>
    <col min="6665" max="6665" width="13.140625" style="2357" customWidth="1"/>
    <col min="6666" max="6666" width="13.42578125" style="2357" customWidth="1"/>
    <col min="6667" max="6667" width="13.7109375" style="2357" customWidth="1"/>
    <col min="6668" max="6668" width="12.5703125" style="2357" customWidth="1"/>
    <col min="6669" max="6673" width="9.5703125" style="2357" customWidth="1"/>
    <col min="6674" max="6675" width="9" style="2357" customWidth="1"/>
    <col min="6676" max="6912" width="9.140625" style="2357"/>
    <col min="6913" max="6913" width="3.7109375" style="2357" customWidth="1"/>
    <col min="6914" max="6914" width="14.42578125" style="2357" customWidth="1"/>
    <col min="6915" max="6915" width="3.7109375" style="2357" customWidth="1"/>
    <col min="6916" max="6916" width="15.5703125" style="2357" customWidth="1"/>
    <col min="6917" max="6917" width="12.85546875" style="2357" customWidth="1"/>
    <col min="6918" max="6918" width="13.28515625" style="2357" customWidth="1"/>
    <col min="6919" max="6919" width="11.7109375" style="2357" customWidth="1"/>
    <col min="6920" max="6920" width="13.85546875" style="2357" customWidth="1"/>
    <col min="6921" max="6921" width="13.140625" style="2357" customWidth="1"/>
    <col min="6922" max="6922" width="13.42578125" style="2357" customWidth="1"/>
    <col min="6923" max="6923" width="13.7109375" style="2357" customWidth="1"/>
    <col min="6924" max="6924" width="12.5703125" style="2357" customWidth="1"/>
    <col min="6925" max="6929" width="9.5703125" style="2357" customWidth="1"/>
    <col min="6930" max="6931" width="9" style="2357" customWidth="1"/>
    <col min="6932" max="7168" width="9.140625" style="2357"/>
    <col min="7169" max="7169" width="3.7109375" style="2357" customWidth="1"/>
    <col min="7170" max="7170" width="14.42578125" style="2357" customWidth="1"/>
    <col min="7171" max="7171" width="3.7109375" style="2357" customWidth="1"/>
    <col min="7172" max="7172" width="15.5703125" style="2357" customWidth="1"/>
    <col min="7173" max="7173" width="12.85546875" style="2357" customWidth="1"/>
    <col min="7174" max="7174" width="13.28515625" style="2357" customWidth="1"/>
    <col min="7175" max="7175" width="11.7109375" style="2357" customWidth="1"/>
    <col min="7176" max="7176" width="13.85546875" style="2357" customWidth="1"/>
    <col min="7177" max="7177" width="13.140625" style="2357" customWidth="1"/>
    <col min="7178" max="7178" width="13.42578125" style="2357" customWidth="1"/>
    <col min="7179" max="7179" width="13.7109375" style="2357" customWidth="1"/>
    <col min="7180" max="7180" width="12.5703125" style="2357" customWidth="1"/>
    <col min="7181" max="7185" width="9.5703125" style="2357" customWidth="1"/>
    <col min="7186" max="7187" width="9" style="2357" customWidth="1"/>
    <col min="7188" max="7424" width="9.140625" style="2357"/>
    <col min="7425" max="7425" width="3.7109375" style="2357" customWidth="1"/>
    <col min="7426" max="7426" width="14.42578125" style="2357" customWidth="1"/>
    <col min="7427" max="7427" width="3.7109375" style="2357" customWidth="1"/>
    <col min="7428" max="7428" width="15.5703125" style="2357" customWidth="1"/>
    <col min="7429" max="7429" width="12.85546875" style="2357" customWidth="1"/>
    <col min="7430" max="7430" width="13.28515625" style="2357" customWidth="1"/>
    <col min="7431" max="7431" width="11.7109375" style="2357" customWidth="1"/>
    <col min="7432" max="7432" width="13.85546875" style="2357" customWidth="1"/>
    <col min="7433" max="7433" width="13.140625" style="2357" customWidth="1"/>
    <col min="7434" max="7434" width="13.42578125" style="2357" customWidth="1"/>
    <col min="7435" max="7435" width="13.7109375" style="2357" customWidth="1"/>
    <col min="7436" max="7436" width="12.5703125" style="2357" customWidth="1"/>
    <col min="7437" max="7441" width="9.5703125" style="2357" customWidth="1"/>
    <col min="7442" max="7443" width="9" style="2357" customWidth="1"/>
    <col min="7444" max="7680" width="9.140625" style="2357"/>
    <col min="7681" max="7681" width="3.7109375" style="2357" customWidth="1"/>
    <col min="7682" max="7682" width="14.42578125" style="2357" customWidth="1"/>
    <col min="7683" max="7683" width="3.7109375" style="2357" customWidth="1"/>
    <col min="7684" max="7684" width="15.5703125" style="2357" customWidth="1"/>
    <col min="7685" max="7685" width="12.85546875" style="2357" customWidth="1"/>
    <col min="7686" max="7686" width="13.28515625" style="2357" customWidth="1"/>
    <col min="7687" max="7687" width="11.7109375" style="2357" customWidth="1"/>
    <col min="7688" max="7688" width="13.85546875" style="2357" customWidth="1"/>
    <col min="7689" max="7689" width="13.140625" style="2357" customWidth="1"/>
    <col min="7690" max="7690" width="13.42578125" style="2357" customWidth="1"/>
    <col min="7691" max="7691" width="13.7109375" style="2357" customWidth="1"/>
    <col min="7692" max="7692" width="12.5703125" style="2357" customWidth="1"/>
    <col min="7693" max="7697" width="9.5703125" style="2357" customWidth="1"/>
    <col min="7698" max="7699" width="9" style="2357" customWidth="1"/>
    <col min="7700" max="7936" width="9.140625" style="2357"/>
    <col min="7937" max="7937" width="3.7109375" style="2357" customWidth="1"/>
    <col min="7938" max="7938" width="14.42578125" style="2357" customWidth="1"/>
    <col min="7939" max="7939" width="3.7109375" style="2357" customWidth="1"/>
    <col min="7940" max="7940" width="15.5703125" style="2357" customWidth="1"/>
    <col min="7941" max="7941" width="12.85546875" style="2357" customWidth="1"/>
    <col min="7942" max="7942" width="13.28515625" style="2357" customWidth="1"/>
    <col min="7943" max="7943" width="11.7109375" style="2357" customWidth="1"/>
    <col min="7944" max="7944" width="13.85546875" style="2357" customWidth="1"/>
    <col min="7945" max="7945" width="13.140625" style="2357" customWidth="1"/>
    <col min="7946" max="7946" width="13.42578125" style="2357" customWidth="1"/>
    <col min="7947" max="7947" width="13.7109375" style="2357" customWidth="1"/>
    <col min="7948" max="7948" width="12.5703125" style="2357" customWidth="1"/>
    <col min="7949" max="7953" width="9.5703125" style="2357" customWidth="1"/>
    <col min="7954" max="7955" width="9" style="2357" customWidth="1"/>
    <col min="7956" max="8192" width="9.140625" style="2357"/>
    <col min="8193" max="8193" width="3.7109375" style="2357" customWidth="1"/>
    <col min="8194" max="8194" width="14.42578125" style="2357" customWidth="1"/>
    <col min="8195" max="8195" width="3.7109375" style="2357" customWidth="1"/>
    <col min="8196" max="8196" width="15.5703125" style="2357" customWidth="1"/>
    <col min="8197" max="8197" width="12.85546875" style="2357" customWidth="1"/>
    <col min="8198" max="8198" width="13.28515625" style="2357" customWidth="1"/>
    <col min="8199" max="8199" width="11.7109375" style="2357" customWidth="1"/>
    <col min="8200" max="8200" width="13.85546875" style="2357" customWidth="1"/>
    <col min="8201" max="8201" width="13.140625" style="2357" customWidth="1"/>
    <col min="8202" max="8202" width="13.42578125" style="2357" customWidth="1"/>
    <col min="8203" max="8203" width="13.7109375" style="2357" customWidth="1"/>
    <col min="8204" max="8204" width="12.5703125" style="2357" customWidth="1"/>
    <col min="8205" max="8209" width="9.5703125" style="2357" customWidth="1"/>
    <col min="8210" max="8211" width="9" style="2357" customWidth="1"/>
    <col min="8212" max="8448" width="9.140625" style="2357"/>
    <col min="8449" max="8449" width="3.7109375" style="2357" customWidth="1"/>
    <col min="8450" max="8450" width="14.42578125" style="2357" customWidth="1"/>
    <col min="8451" max="8451" width="3.7109375" style="2357" customWidth="1"/>
    <col min="8452" max="8452" width="15.5703125" style="2357" customWidth="1"/>
    <col min="8453" max="8453" width="12.85546875" style="2357" customWidth="1"/>
    <col min="8454" max="8454" width="13.28515625" style="2357" customWidth="1"/>
    <col min="8455" max="8455" width="11.7109375" style="2357" customWidth="1"/>
    <col min="8456" max="8456" width="13.85546875" style="2357" customWidth="1"/>
    <col min="8457" max="8457" width="13.140625" style="2357" customWidth="1"/>
    <col min="8458" max="8458" width="13.42578125" style="2357" customWidth="1"/>
    <col min="8459" max="8459" width="13.7109375" style="2357" customWidth="1"/>
    <col min="8460" max="8460" width="12.5703125" style="2357" customWidth="1"/>
    <col min="8461" max="8465" width="9.5703125" style="2357" customWidth="1"/>
    <col min="8466" max="8467" width="9" style="2357" customWidth="1"/>
    <col min="8468" max="8704" width="9.140625" style="2357"/>
    <col min="8705" max="8705" width="3.7109375" style="2357" customWidth="1"/>
    <col min="8706" max="8706" width="14.42578125" style="2357" customWidth="1"/>
    <col min="8707" max="8707" width="3.7109375" style="2357" customWidth="1"/>
    <col min="8708" max="8708" width="15.5703125" style="2357" customWidth="1"/>
    <col min="8709" max="8709" width="12.85546875" style="2357" customWidth="1"/>
    <col min="8710" max="8710" width="13.28515625" style="2357" customWidth="1"/>
    <col min="8711" max="8711" width="11.7109375" style="2357" customWidth="1"/>
    <col min="8712" max="8712" width="13.85546875" style="2357" customWidth="1"/>
    <col min="8713" max="8713" width="13.140625" style="2357" customWidth="1"/>
    <col min="8714" max="8714" width="13.42578125" style="2357" customWidth="1"/>
    <col min="8715" max="8715" width="13.7109375" style="2357" customWidth="1"/>
    <col min="8716" max="8716" width="12.5703125" style="2357" customWidth="1"/>
    <col min="8717" max="8721" width="9.5703125" style="2357" customWidth="1"/>
    <col min="8722" max="8723" width="9" style="2357" customWidth="1"/>
    <col min="8724" max="8960" width="9.140625" style="2357"/>
    <col min="8961" max="8961" width="3.7109375" style="2357" customWidth="1"/>
    <col min="8962" max="8962" width="14.42578125" style="2357" customWidth="1"/>
    <col min="8963" max="8963" width="3.7109375" style="2357" customWidth="1"/>
    <col min="8964" max="8964" width="15.5703125" style="2357" customWidth="1"/>
    <col min="8965" max="8965" width="12.85546875" style="2357" customWidth="1"/>
    <col min="8966" max="8966" width="13.28515625" style="2357" customWidth="1"/>
    <col min="8967" max="8967" width="11.7109375" style="2357" customWidth="1"/>
    <col min="8968" max="8968" width="13.85546875" style="2357" customWidth="1"/>
    <col min="8969" max="8969" width="13.140625" style="2357" customWidth="1"/>
    <col min="8970" max="8970" width="13.42578125" style="2357" customWidth="1"/>
    <col min="8971" max="8971" width="13.7109375" style="2357" customWidth="1"/>
    <col min="8972" max="8972" width="12.5703125" style="2357" customWidth="1"/>
    <col min="8973" max="8977" width="9.5703125" style="2357" customWidth="1"/>
    <col min="8978" max="8979" width="9" style="2357" customWidth="1"/>
    <col min="8980" max="9216" width="9.140625" style="2357"/>
    <col min="9217" max="9217" width="3.7109375" style="2357" customWidth="1"/>
    <col min="9218" max="9218" width="14.42578125" style="2357" customWidth="1"/>
    <col min="9219" max="9219" width="3.7109375" style="2357" customWidth="1"/>
    <col min="9220" max="9220" width="15.5703125" style="2357" customWidth="1"/>
    <col min="9221" max="9221" width="12.85546875" style="2357" customWidth="1"/>
    <col min="9222" max="9222" width="13.28515625" style="2357" customWidth="1"/>
    <col min="9223" max="9223" width="11.7109375" style="2357" customWidth="1"/>
    <col min="9224" max="9224" width="13.85546875" style="2357" customWidth="1"/>
    <col min="9225" max="9225" width="13.140625" style="2357" customWidth="1"/>
    <col min="9226" max="9226" width="13.42578125" style="2357" customWidth="1"/>
    <col min="9227" max="9227" width="13.7109375" style="2357" customWidth="1"/>
    <col min="9228" max="9228" width="12.5703125" style="2357" customWidth="1"/>
    <col min="9229" max="9233" width="9.5703125" style="2357" customWidth="1"/>
    <col min="9234" max="9235" width="9" style="2357" customWidth="1"/>
    <col min="9236" max="9472" width="9.140625" style="2357"/>
    <col min="9473" max="9473" width="3.7109375" style="2357" customWidth="1"/>
    <col min="9474" max="9474" width="14.42578125" style="2357" customWidth="1"/>
    <col min="9475" max="9475" width="3.7109375" style="2357" customWidth="1"/>
    <col min="9476" max="9476" width="15.5703125" style="2357" customWidth="1"/>
    <col min="9477" max="9477" width="12.85546875" style="2357" customWidth="1"/>
    <col min="9478" max="9478" width="13.28515625" style="2357" customWidth="1"/>
    <col min="9479" max="9479" width="11.7109375" style="2357" customWidth="1"/>
    <col min="9480" max="9480" width="13.85546875" style="2357" customWidth="1"/>
    <col min="9481" max="9481" width="13.140625" style="2357" customWidth="1"/>
    <col min="9482" max="9482" width="13.42578125" style="2357" customWidth="1"/>
    <col min="9483" max="9483" width="13.7109375" style="2357" customWidth="1"/>
    <col min="9484" max="9484" width="12.5703125" style="2357" customWidth="1"/>
    <col min="9485" max="9489" width="9.5703125" style="2357" customWidth="1"/>
    <col min="9490" max="9491" width="9" style="2357" customWidth="1"/>
    <col min="9492" max="9728" width="9.140625" style="2357"/>
    <col min="9729" max="9729" width="3.7109375" style="2357" customWidth="1"/>
    <col min="9730" max="9730" width="14.42578125" style="2357" customWidth="1"/>
    <col min="9731" max="9731" width="3.7109375" style="2357" customWidth="1"/>
    <col min="9732" max="9732" width="15.5703125" style="2357" customWidth="1"/>
    <col min="9733" max="9733" width="12.85546875" style="2357" customWidth="1"/>
    <col min="9734" max="9734" width="13.28515625" style="2357" customWidth="1"/>
    <col min="9735" max="9735" width="11.7109375" style="2357" customWidth="1"/>
    <col min="9736" max="9736" width="13.85546875" style="2357" customWidth="1"/>
    <col min="9737" max="9737" width="13.140625" style="2357" customWidth="1"/>
    <col min="9738" max="9738" width="13.42578125" style="2357" customWidth="1"/>
    <col min="9739" max="9739" width="13.7109375" style="2357" customWidth="1"/>
    <col min="9740" max="9740" width="12.5703125" style="2357" customWidth="1"/>
    <col min="9741" max="9745" width="9.5703125" style="2357" customWidth="1"/>
    <col min="9746" max="9747" width="9" style="2357" customWidth="1"/>
    <col min="9748" max="9984" width="9.140625" style="2357"/>
    <col min="9985" max="9985" width="3.7109375" style="2357" customWidth="1"/>
    <col min="9986" max="9986" width="14.42578125" style="2357" customWidth="1"/>
    <col min="9987" max="9987" width="3.7109375" style="2357" customWidth="1"/>
    <col min="9988" max="9988" width="15.5703125" style="2357" customWidth="1"/>
    <col min="9989" max="9989" width="12.85546875" style="2357" customWidth="1"/>
    <col min="9990" max="9990" width="13.28515625" style="2357" customWidth="1"/>
    <col min="9991" max="9991" width="11.7109375" style="2357" customWidth="1"/>
    <col min="9992" max="9992" width="13.85546875" style="2357" customWidth="1"/>
    <col min="9993" max="9993" width="13.140625" style="2357" customWidth="1"/>
    <col min="9994" max="9994" width="13.42578125" style="2357" customWidth="1"/>
    <col min="9995" max="9995" width="13.7109375" style="2357" customWidth="1"/>
    <col min="9996" max="9996" width="12.5703125" style="2357" customWidth="1"/>
    <col min="9997" max="10001" width="9.5703125" style="2357" customWidth="1"/>
    <col min="10002" max="10003" width="9" style="2357" customWidth="1"/>
    <col min="10004" max="10240" width="9.140625" style="2357"/>
    <col min="10241" max="10241" width="3.7109375" style="2357" customWidth="1"/>
    <col min="10242" max="10242" width="14.42578125" style="2357" customWidth="1"/>
    <col min="10243" max="10243" width="3.7109375" style="2357" customWidth="1"/>
    <col min="10244" max="10244" width="15.5703125" style="2357" customWidth="1"/>
    <col min="10245" max="10245" width="12.85546875" style="2357" customWidth="1"/>
    <col min="10246" max="10246" width="13.28515625" style="2357" customWidth="1"/>
    <col min="10247" max="10247" width="11.7109375" style="2357" customWidth="1"/>
    <col min="10248" max="10248" width="13.85546875" style="2357" customWidth="1"/>
    <col min="10249" max="10249" width="13.140625" style="2357" customWidth="1"/>
    <col min="10250" max="10250" width="13.42578125" style="2357" customWidth="1"/>
    <col min="10251" max="10251" width="13.7109375" style="2357" customWidth="1"/>
    <col min="10252" max="10252" width="12.5703125" style="2357" customWidth="1"/>
    <col min="10253" max="10257" width="9.5703125" style="2357" customWidth="1"/>
    <col min="10258" max="10259" width="9" style="2357" customWidth="1"/>
    <col min="10260" max="10496" width="9.140625" style="2357"/>
    <col min="10497" max="10497" width="3.7109375" style="2357" customWidth="1"/>
    <col min="10498" max="10498" width="14.42578125" style="2357" customWidth="1"/>
    <col min="10499" max="10499" width="3.7109375" style="2357" customWidth="1"/>
    <col min="10500" max="10500" width="15.5703125" style="2357" customWidth="1"/>
    <col min="10501" max="10501" width="12.85546875" style="2357" customWidth="1"/>
    <col min="10502" max="10502" width="13.28515625" style="2357" customWidth="1"/>
    <col min="10503" max="10503" width="11.7109375" style="2357" customWidth="1"/>
    <col min="10504" max="10504" width="13.85546875" style="2357" customWidth="1"/>
    <col min="10505" max="10505" width="13.140625" style="2357" customWidth="1"/>
    <col min="10506" max="10506" width="13.42578125" style="2357" customWidth="1"/>
    <col min="10507" max="10507" width="13.7109375" style="2357" customWidth="1"/>
    <col min="10508" max="10508" width="12.5703125" style="2357" customWidth="1"/>
    <col min="10509" max="10513" width="9.5703125" style="2357" customWidth="1"/>
    <col min="10514" max="10515" width="9" style="2357" customWidth="1"/>
    <col min="10516" max="10752" width="9.140625" style="2357"/>
    <col min="10753" max="10753" width="3.7109375" style="2357" customWidth="1"/>
    <col min="10754" max="10754" width="14.42578125" style="2357" customWidth="1"/>
    <col min="10755" max="10755" width="3.7109375" style="2357" customWidth="1"/>
    <col min="10756" max="10756" width="15.5703125" style="2357" customWidth="1"/>
    <col min="10757" max="10757" width="12.85546875" style="2357" customWidth="1"/>
    <col min="10758" max="10758" width="13.28515625" style="2357" customWidth="1"/>
    <col min="10759" max="10759" width="11.7109375" style="2357" customWidth="1"/>
    <col min="10760" max="10760" width="13.85546875" style="2357" customWidth="1"/>
    <col min="10761" max="10761" width="13.140625" style="2357" customWidth="1"/>
    <col min="10762" max="10762" width="13.42578125" style="2357" customWidth="1"/>
    <col min="10763" max="10763" width="13.7109375" style="2357" customWidth="1"/>
    <col min="10764" max="10764" width="12.5703125" style="2357" customWidth="1"/>
    <col min="10765" max="10769" width="9.5703125" style="2357" customWidth="1"/>
    <col min="10770" max="10771" width="9" style="2357" customWidth="1"/>
    <col min="10772" max="11008" width="9.140625" style="2357"/>
    <col min="11009" max="11009" width="3.7109375" style="2357" customWidth="1"/>
    <col min="11010" max="11010" width="14.42578125" style="2357" customWidth="1"/>
    <col min="11011" max="11011" width="3.7109375" style="2357" customWidth="1"/>
    <col min="11012" max="11012" width="15.5703125" style="2357" customWidth="1"/>
    <col min="11013" max="11013" width="12.85546875" style="2357" customWidth="1"/>
    <col min="11014" max="11014" width="13.28515625" style="2357" customWidth="1"/>
    <col min="11015" max="11015" width="11.7109375" style="2357" customWidth="1"/>
    <col min="11016" max="11016" width="13.85546875" style="2357" customWidth="1"/>
    <col min="11017" max="11017" width="13.140625" style="2357" customWidth="1"/>
    <col min="11018" max="11018" width="13.42578125" style="2357" customWidth="1"/>
    <col min="11019" max="11019" width="13.7109375" style="2357" customWidth="1"/>
    <col min="11020" max="11020" width="12.5703125" style="2357" customWidth="1"/>
    <col min="11021" max="11025" width="9.5703125" style="2357" customWidth="1"/>
    <col min="11026" max="11027" width="9" style="2357" customWidth="1"/>
    <col min="11028" max="11264" width="9.140625" style="2357"/>
    <col min="11265" max="11265" width="3.7109375" style="2357" customWidth="1"/>
    <col min="11266" max="11266" width="14.42578125" style="2357" customWidth="1"/>
    <col min="11267" max="11267" width="3.7109375" style="2357" customWidth="1"/>
    <col min="11268" max="11268" width="15.5703125" style="2357" customWidth="1"/>
    <col min="11269" max="11269" width="12.85546875" style="2357" customWidth="1"/>
    <col min="11270" max="11270" width="13.28515625" style="2357" customWidth="1"/>
    <col min="11271" max="11271" width="11.7109375" style="2357" customWidth="1"/>
    <col min="11272" max="11272" width="13.85546875" style="2357" customWidth="1"/>
    <col min="11273" max="11273" width="13.140625" style="2357" customWidth="1"/>
    <col min="11274" max="11274" width="13.42578125" style="2357" customWidth="1"/>
    <col min="11275" max="11275" width="13.7109375" style="2357" customWidth="1"/>
    <col min="11276" max="11276" width="12.5703125" style="2357" customWidth="1"/>
    <col min="11277" max="11281" width="9.5703125" style="2357" customWidth="1"/>
    <col min="11282" max="11283" width="9" style="2357" customWidth="1"/>
    <col min="11284" max="11520" width="9.140625" style="2357"/>
    <col min="11521" max="11521" width="3.7109375" style="2357" customWidth="1"/>
    <col min="11522" max="11522" width="14.42578125" style="2357" customWidth="1"/>
    <col min="11523" max="11523" width="3.7109375" style="2357" customWidth="1"/>
    <col min="11524" max="11524" width="15.5703125" style="2357" customWidth="1"/>
    <col min="11525" max="11525" width="12.85546875" style="2357" customWidth="1"/>
    <col min="11526" max="11526" width="13.28515625" style="2357" customWidth="1"/>
    <col min="11527" max="11527" width="11.7109375" style="2357" customWidth="1"/>
    <col min="11528" max="11528" width="13.85546875" style="2357" customWidth="1"/>
    <col min="11529" max="11529" width="13.140625" style="2357" customWidth="1"/>
    <col min="11530" max="11530" width="13.42578125" style="2357" customWidth="1"/>
    <col min="11531" max="11531" width="13.7109375" style="2357" customWidth="1"/>
    <col min="11532" max="11532" width="12.5703125" style="2357" customWidth="1"/>
    <col min="11533" max="11537" width="9.5703125" style="2357" customWidth="1"/>
    <col min="11538" max="11539" width="9" style="2357" customWidth="1"/>
    <col min="11540" max="11776" width="9.140625" style="2357"/>
    <col min="11777" max="11777" width="3.7109375" style="2357" customWidth="1"/>
    <col min="11778" max="11778" width="14.42578125" style="2357" customWidth="1"/>
    <col min="11779" max="11779" width="3.7109375" style="2357" customWidth="1"/>
    <col min="11780" max="11780" width="15.5703125" style="2357" customWidth="1"/>
    <col min="11781" max="11781" width="12.85546875" style="2357" customWidth="1"/>
    <col min="11782" max="11782" width="13.28515625" style="2357" customWidth="1"/>
    <col min="11783" max="11783" width="11.7109375" style="2357" customWidth="1"/>
    <col min="11784" max="11784" width="13.85546875" style="2357" customWidth="1"/>
    <col min="11785" max="11785" width="13.140625" style="2357" customWidth="1"/>
    <col min="11786" max="11786" width="13.42578125" style="2357" customWidth="1"/>
    <col min="11787" max="11787" width="13.7109375" style="2357" customWidth="1"/>
    <col min="11788" max="11788" width="12.5703125" style="2357" customWidth="1"/>
    <col min="11789" max="11793" width="9.5703125" style="2357" customWidth="1"/>
    <col min="11794" max="11795" width="9" style="2357" customWidth="1"/>
    <col min="11796" max="12032" width="9.140625" style="2357"/>
    <col min="12033" max="12033" width="3.7109375" style="2357" customWidth="1"/>
    <col min="12034" max="12034" width="14.42578125" style="2357" customWidth="1"/>
    <col min="12035" max="12035" width="3.7109375" style="2357" customWidth="1"/>
    <col min="12036" max="12036" width="15.5703125" style="2357" customWidth="1"/>
    <col min="12037" max="12037" width="12.85546875" style="2357" customWidth="1"/>
    <col min="12038" max="12038" width="13.28515625" style="2357" customWidth="1"/>
    <col min="12039" max="12039" width="11.7109375" style="2357" customWidth="1"/>
    <col min="12040" max="12040" width="13.85546875" style="2357" customWidth="1"/>
    <col min="12041" max="12041" width="13.140625" style="2357" customWidth="1"/>
    <col min="12042" max="12042" width="13.42578125" style="2357" customWidth="1"/>
    <col min="12043" max="12043" width="13.7109375" style="2357" customWidth="1"/>
    <col min="12044" max="12044" width="12.5703125" style="2357" customWidth="1"/>
    <col min="12045" max="12049" width="9.5703125" style="2357" customWidth="1"/>
    <col min="12050" max="12051" width="9" style="2357" customWidth="1"/>
    <col min="12052" max="12288" width="9.140625" style="2357"/>
    <col min="12289" max="12289" width="3.7109375" style="2357" customWidth="1"/>
    <col min="12290" max="12290" width="14.42578125" style="2357" customWidth="1"/>
    <col min="12291" max="12291" width="3.7109375" style="2357" customWidth="1"/>
    <col min="12292" max="12292" width="15.5703125" style="2357" customWidth="1"/>
    <col min="12293" max="12293" width="12.85546875" style="2357" customWidth="1"/>
    <col min="12294" max="12294" width="13.28515625" style="2357" customWidth="1"/>
    <col min="12295" max="12295" width="11.7109375" style="2357" customWidth="1"/>
    <col min="12296" max="12296" width="13.85546875" style="2357" customWidth="1"/>
    <col min="12297" max="12297" width="13.140625" style="2357" customWidth="1"/>
    <col min="12298" max="12298" width="13.42578125" style="2357" customWidth="1"/>
    <col min="12299" max="12299" width="13.7109375" style="2357" customWidth="1"/>
    <col min="12300" max="12300" width="12.5703125" style="2357" customWidth="1"/>
    <col min="12301" max="12305" width="9.5703125" style="2357" customWidth="1"/>
    <col min="12306" max="12307" width="9" style="2357" customWidth="1"/>
    <col min="12308" max="12544" width="9.140625" style="2357"/>
    <col min="12545" max="12545" width="3.7109375" style="2357" customWidth="1"/>
    <col min="12546" max="12546" width="14.42578125" style="2357" customWidth="1"/>
    <col min="12547" max="12547" width="3.7109375" style="2357" customWidth="1"/>
    <col min="12548" max="12548" width="15.5703125" style="2357" customWidth="1"/>
    <col min="12549" max="12549" width="12.85546875" style="2357" customWidth="1"/>
    <col min="12550" max="12550" width="13.28515625" style="2357" customWidth="1"/>
    <col min="12551" max="12551" width="11.7109375" style="2357" customWidth="1"/>
    <col min="12552" max="12552" width="13.85546875" style="2357" customWidth="1"/>
    <col min="12553" max="12553" width="13.140625" style="2357" customWidth="1"/>
    <col min="12554" max="12554" width="13.42578125" style="2357" customWidth="1"/>
    <col min="12555" max="12555" width="13.7109375" style="2357" customWidth="1"/>
    <col min="12556" max="12556" width="12.5703125" style="2357" customWidth="1"/>
    <col min="12557" max="12561" width="9.5703125" style="2357" customWidth="1"/>
    <col min="12562" max="12563" width="9" style="2357" customWidth="1"/>
    <col min="12564" max="12800" width="9.140625" style="2357"/>
    <col min="12801" max="12801" width="3.7109375" style="2357" customWidth="1"/>
    <col min="12802" max="12802" width="14.42578125" style="2357" customWidth="1"/>
    <col min="12803" max="12803" width="3.7109375" style="2357" customWidth="1"/>
    <col min="12804" max="12804" width="15.5703125" style="2357" customWidth="1"/>
    <col min="12805" max="12805" width="12.85546875" style="2357" customWidth="1"/>
    <col min="12806" max="12806" width="13.28515625" style="2357" customWidth="1"/>
    <col min="12807" max="12807" width="11.7109375" style="2357" customWidth="1"/>
    <col min="12808" max="12808" width="13.85546875" style="2357" customWidth="1"/>
    <col min="12809" max="12809" width="13.140625" style="2357" customWidth="1"/>
    <col min="12810" max="12810" width="13.42578125" style="2357" customWidth="1"/>
    <col min="12811" max="12811" width="13.7109375" style="2357" customWidth="1"/>
    <col min="12812" max="12812" width="12.5703125" style="2357" customWidth="1"/>
    <col min="12813" max="12817" width="9.5703125" style="2357" customWidth="1"/>
    <col min="12818" max="12819" width="9" style="2357" customWidth="1"/>
    <col min="12820" max="13056" width="9.140625" style="2357"/>
    <col min="13057" max="13057" width="3.7109375" style="2357" customWidth="1"/>
    <col min="13058" max="13058" width="14.42578125" style="2357" customWidth="1"/>
    <col min="13059" max="13059" width="3.7109375" style="2357" customWidth="1"/>
    <col min="13060" max="13060" width="15.5703125" style="2357" customWidth="1"/>
    <col min="13061" max="13061" width="12.85546875" style="2357" customWidth="1"/>
    <col min="13062" max="13062" width="13.28515625" style="2357" customWidth="1"/>
    <col min="13063" max="13063" width="11.7109375" style="2357" customWidth="1"/>
    <col min="13064" max="13064" width="13.85546875" style="2357" customWidth="1"/>
    <col min="13065" max="13065" width="13.140625" style="2357" customWidth="1"/>
    <col min="13066" max="13066" width="13.42578125" style="2357" customWidth="1"/>
    <col min="13067" max="13067" width="13.7109375" style="2357" customWidth="1"/>
    <col min="13068" max="13068" width="12.5703125" style="2357" customWidth="1"/>
    <col min="13069" max="13073" width="9.5703125" style="2357" customWidth="1"/>
    <col min="13074" max="13075" width="9" style="2357" customWidth="1"/>
    <col min="13076" max="13312" width="9.140625" style="2357"/>
    <col min="13313" max="13313" width="3.7109375" style="2357" customWidth="1"/>
    <col min="13314" max="13314" width="14.42578125" style="2357" customWidth="1"/>
    <col min="13315" max="13315" width="3.7109375" style="2357" customWidth="1"/>
    <col min="13316" max="13316" width="15.5703125" style="2357" customWidth="1"/>
    <col min="13317" max="13317" width="12.85546875" style="2357" customWidth="1"/>
    <col min="13318" max="13318" width="13.28515625" style="2357" customWidth="1"/>
    <col min="13319" max="13319" width="11.7109375" style="2357" customWidth="1"/>
    <col min="13320" max="13320" width="13.85546875" style="2357" customWidth="1"/>
    <col min="13321" max="13321" width="13.140625" style="2357" customWidth="1"/>
    <col min="13322" max="13322" width="13.42578125" style="2357" customWidth="1"/>
    <col min="13323" max="13323" width="13.7109375" style="2357" customWidth="1"/>
    <col min="13324" max="13324" width="12.5703125" style="2357" customWidth="1"/>
    <col min="13325" max="13329" width="9.5703125" style="2357" customWidth="1"/>
    <col min="13330" max="13331" width="9" style="2357" customWidth="1"/>
    <col min="13332" max="13568" width="9.140625" style="2357"/>
    <col min="13569" max="13569" width="3.7109375" style="2357" customWidth="1"/>
    <col min="13570" max="13570" width="14.42578125" style="2357" customWidth="1"/>
    <col min="13571" max="13571" width="3.7109375" style="2357" customWidth="1"/>
    <col min="13572" max="13572" width="15.5703125" style="2357" customWidth="1"/>
    <col min="13573" max="13573" width="12.85546875" style="2357" customWidth="1"/>
    <col min="13574" max="13574" width="13.28515625" style="2357" customWidth="1"/>
    <col min="13575" max="13575" width="11.7109375" style="2357" customWidth="1"/>
    <col min="13576" max="13576" width="13.85546875" style="2357" customWidth="1"/>
    <col min="13577" max="13577" width="13.140625" style="2357" customWidth="1"/>
    <col min="13578" max="13578" width="13.42578125" style="2357" customWidth="1"/>
    <col min="13579" max="13579" width="13.7109375" style="2357" customWidth="1"/>
    <col min="13580" max="13580" width="12.5703125" style="2357" customWidth="1"/>
    <col min="13581" max="13585" width="9.5703125" style="2357" customWidth="1"/>
    <col min="13586" max="13587" width="9" style="2357" customWidth="1"/>
    <col min="13588" max="13824" width="9.140625" style="2357"/>
    <col min="13825" max="13825" width="3.7109375" style="2357" customWidth="1"/>
    <col min="13826" max="13826" width="14.42578125" style="2357" customWidth="1"/>
    <col min="13827" max="13827" width="3.7109375" style="2357" customWidth="1"/>
    <col min="13828" max="13828" width="15.5703125" style="2357" customWidth="1"/>
    <col min="13829" max="13829" width="12.85546875" style="2357" customWidth="1"/>
    <col min="13830" max="13830" width="13.28515625" style="2357" customWidth="1"/>
    <col min="13831" max="13831" width="11.7109375" style="2357" customWidth="1"/>
    <col min="13832" max="13832" width="13.85546875" style="2357" customWidth="1"/>
    <col min="13833" max="13833" width="13.140625" style="2357" customWidth="1"/>
    <col min="13834" max="13834" width="13.42578125" style="2357" customWidth="1"/>
    <col min="13835" max="13835" width="13.7109375" style="2357" customWidth="1"/>
    <col min="13836" max="13836" width="12.5703125" style="2357" customWidth="1"/>
    <col min="13837" max="13841" width="9.5703125" style="2357" customWidth="1"/>
    <col min="13842" max="13843" width="9" style="2357" customWidth="1"/>
    <col min="13844" max="14080" width="9.140625" style="2357"/>
    <col min="14081" max="14081" width="3.7109375" style="2357" customWidth="1"/>
    <col min="14082" max="14082" width="14.42578125" style="2357" customWidth="1"/>
    <col min="14083" max="14083" width="3.7109375" style="2357" customWidth="1"/>
    <col min="14084" max="14084" width="15.5703125" style="2357" customWidth="1"/>
    <col min="14085" max="14085" width="12.85546875" style="2357" customWidth="1"/>
    <col min="14086" max="14086" width="13.28515625" style="2357" customWidth="1"/>
    <col min="14087" max="14087" width="11.7109375" style="2357" customWidth="1"/>
    <col min="14088" max="14088" width="13.85546875" style="2357" customWidth="1"/>
    <col min="14089" max="14089" width="13.140625" style="2357" customWidth="1"/>
    <col min="14090" max="14090" width="13.42578125" style="2357" customWidth="1"/>
    <col min="14091" max="14091" width="13.7109375" style="2357" customWidth="1"/>
    <col min="14092" max="14092" width="12.5703125" style="2357" customWidth="1"/>
    <col min="14093" max="14097" width="9.5703125" style="2357" customWidth="1"/>
    <col min="14098" max="14099" width="9" style="2357" customWidth="1"/>
    <col min="14100" max="14336" width="9.140625" style="2357"/>
    <col min="14337" max="14337" width="3.7109375" style="2357" customWidth="1"/>
    <col min="14338" max="14338" width="14.42578125" style="2357" customWidth="1"/>
    <col min="14339" max="14339" width="3.7109375" style="2357" customWidth="1"/>
    <col min="14340" max="14340" width="15.5703125" style="2357" customWidth="1"/>
    <col min="14341" max="14341" width="12.85546875" style="2357" customWidth="1"/>
    <col min="14342" max="14342" width="13.28515625" style="2357" customWidth="1"/>
    <col min="14343" max="14343" width="11.7109375" style="2357" customWidth="1"/>
    <col min="14344" max="14344" width="13.85546875" style="2357" customWidth="1"/>
    <col min="14345" max="14345" width="13.140625" style="2357" customWidth="1"/>
    <col min="14346" max="14346" width="13.42578125" style="2357" customWidth="1"/>
    <col min="14347" max="14347" width="13.7109375" style="2357" customWidth="1"/>
    <col min="14348" max="14348" width="12.5703125" style="2357" customWidth="1"/>
    <col min="14349" max="14353" width="9.5703125" style="2357" customWidth="1"/>
    <col min="14354" max="14355" width="9" style="2357" customWidth="1"/>
    <col min="14356" max="14592" width="9.140625" style="2357"/>
    <col min="14593" max="14593" width="3.7109375" style="2357" customWidth="1"/>
    <col min="14594" max="14594" width="14.42578125" style="2357" customWidth="1"/>
    <col min="14595" max="14595" width="3.7109375" style="2357" customWidth="1"/>
    <col min="14596" max="14596" width="15.5703125" style="2357" customWidth="1"/>
    <col min="14597" max="14597" width="12.85546875" style="2357" customWidth="1"/>
    <col min="14598" max="14598" width="13.28515625" style="2357" customWidth="1"/>
    <col min="14599" max="14599" width="11.7109375" style="2357" customWidth="1"/>
    <col min="14600" max="14600" width="13.85546875" style="2357" customWidth="1"/>
    <col min="14601" max="14601" width="13.140625" style="2357" customWidth="1"/>
    <col min="14602" max="14602" width="13.42578125" style="2357" customWidth="1"/>
    <col min="14603" max="14603" width="13.7109375" style="2357" customWidth="1"/>
    <col min="14604" max="14604" width="12.5703125" style="2357" customWidth="1"/>
    <col min="14605" max="14609" width="9.5703125" style="2357" customWidth="1"/>
    <col min="14610" max="14611" width="9" style="2357" customWidth="1"/>
    <col min="14612" max="14848" width="9.140625" style="2357"/>
    <col min="14849" max="14849" width="3.7109375" style="2357" customWidth="1"/>
    <col min="14850" max="14850" width="14.42578125" style="2357" customWidth="1"/>
    <col min="14851" max="14851" width="3.7109375" style="2357" customWidth="1"/>
    <col min="14852" max="14852" width="15.5703125" style="2357" customWidth="1"/>
    <col min="14853" max="14853" width="12.85546875" style="2357" customWidth="1"/>
    <col min="14854" max="14854" width="13.28515625" style="2357" customWidth="1"/>
    <col min="14855" max="14855" width="11.7109375" style="2357" customWidth="1"/>
    <col min="14856" max="14856" width="13.85546875" style="2357" customWidth="1"/>
    <col min="14857" max="14857" width="13.140625" style="2357" customWidth="1"/>
    <col min="14858" max="14858" width="13.42578125" style="2357" customWidth="1"/>
    <col min="14859" max="14859" width="13.7109375" style="2357" customWidth="1"/>
    <col min="14860" max="14860" width="12.5703125" style="2357" customWidth="1"/>
    <col min="14861" max="14865" width="9.5703125" style="2357" customWidth="1"/>
    <col min="14866" max="14867" width="9" style="2357" customWidth="1"/>
    <col min="14868" max="15104" width="9.140625" style="2357"/>
    <col min="15105" max="15105" width="3.7109375" style="2357" customWidth="1"/>
    <col min="15106" max="15106" width="14.42578125" style="2357" customWidth="1"/>
    <col min="15107" max="15107" width="3.7109375" style="2357" customWidth="1"/>
    <col min="15108" max="15108" width="15.5703125" style="2357" customWidth="1"/>
    <col min="15109" max="15109" width="12.85546875" style="2357" customWidth="1"/>
    <col min="15110" max="15110" width="13.28515625" style="2357" customWidth="1"/>
    <col min="15111" max="15111" width="11.7109375" style="2357" customWidth="1"/>
    <col min="15112" max="15112" width="13.85546875" style="2357" customWidth="1"/>
    <col min="15113" max="15113" width="13.140625" style="2357" customWidth="1"/>
    <col min="15114" max="15114" width="13.42578125" style="2357" customWidth="1"/>
    <col min="15115" max="15115" width="13.7109375" style="2357" customWidth="1"/>
    <col min="15116" max="15116" width="12.5703125" style="2357" customWidth="1"/>
    <col min="15117" max="15121" width="9.5703125" style="2357" customWidth="1"/>
    <col min="15122" max="15123" width="9" style="2357" customWidth="1"/>
    <col min="15124" max="15360" width="9.140625" style="2357"/>
    <col min="15361" max="15361" width="3.7109375" style="2357" customWidth="1"/>
    <col min="15362" max="15362" width="14.42578125" style="2357" customWidth="1"/>
    <col min="15363" max="15363" width="3.7109375" style="2357" customWidth="1"/>
    <col min="15364" max="15364" width="15.5703125" style="2357" customWidth="1"/>
    <col min="15365" max="15365" width="12.85546875" style="2357" customWidth="1"/>
    <col min="15366" max="15366" width="13.28515625" style="2357" customWidth="1"/>
    <col min="15367" max="15367" width="11.7109375" style="2357" customWidth="1"/>
    <col min="15368" max="15368" width="13.85546875" style="2357" customWidth="1"/>
    <col min="15369" max="15369" width="13.140625" style="2357" customWidth="1"/>
    <col min="15370" max="15370" width="13.42578125" style="2357" customWidth="1"/>
    <col min="15371" max="15371" width="13.7109375" style="2357" customWidth="1"/>
    <col min="15372" max="15372" width="12.5703125" style="2357" customWidth="1"/>
    <col min="15373" max="15377" width="9.5703125" style="2357" customWidth="1"/>
    <col min="15378" max="15379" width="9" style="2357" customWidth="1"/>
    <col min="15380" max="15616" width="9.140625" style="2357"/>
    <col min="15617" max="15617" width="3.7109375" style="2357" customWidth="1"/>
    <col min="15618" max="15618" width="14.42578125" style="2357" customWidth="1"/>
    <col min="15619" max="15619" width="3.7109375" style="2357" customWidth="1"/>
    <col min="15620" max="15620" width="15.5703125" style="2357" customWidth="1"/>
    <col min="15621" max="15621" width="12.85546875" style="2357" customWidth="1"/>
    <col min="15622" max="15622" width="13.28515625" style="2357" customWidth="1"/>
    <col min="15623" max="15623" width="11.7109375" style="2357" customWidth="1"/>
    <col min="15624" max="15624" width="13.85546875" style="2357" customWidth="1"/>
    <col min="15625" max="15625" width="13.140625" style="2357" customWidth="1"/>
    <col min="15626" max="15626" width="13.42578125" style="2357" customWidth="1"/>
    <col min="15627" max="15627" width="13.7109375" style="2357" customWidth="1"/>
    <col min="15628" max="15628" width="12.5703125" style="2357" customWidth="1"/>
    <col min="15629" max="15633" width="9.5703125" style="2357" customWidth="1"/>
    <col min="15634" max="15635" width="9" style="2357" customWidth="1"/>
    <col min="15636" max="15872" width="9.140625" style="2357"/>
    <col min="15873" max="15873" width="3.7109375" style="2357" customWidth="1"/>
    <col min="15874" max="15874" width="14.42578125" style="2357" customWidth="1"/>
    <col min="15875" max="15875" width="3.7109375" style="2357" customWidth="1"/>
    <col min="15876" max="15876" width="15.5703125" style="2357" customWidth="1"/>
    <col min="15877" max="15877" width="12.85546875" style="2357" customWidth="1"/>
    <col min="15878" max="15878" width="13.28515625" style="2357" customWidth="1"/>
    <col min="15879" max="15879" width="11.7109375" style="2357" customWidth="1"/>
    <col min="15880" max="15880" width="13.85546875" style="2357" customWidth="1"/>
    <col min="15881" max="15881" width="13.140625" style="2357" customWidth="1"/>
    <col min="15882" max="15882" width="13.42578125" style="2357" customWidth="1"/>
    <col min="15883" max="15883" width="13.7109375" style="2357" customWidth="1"/>
    <col min="15884" max="15884" width="12.5703125" style="2357" customWidth="1"/>
    <col min="15885" max="15889" width="9.5703125" style="2357" customWidth="1"/>
    <col min="15890" max="15891" width="9" style="2357" customWidth="1"/>
    <col min="15892" max="16128" width="9.140625" style="2357"/>
    <col min="16129" max="16129" width="3.7109375" style="2357" customWidth="1"/>
    <col min="16130" max="16130" width="14.42578125" style="2357" customWidth="1"/>
    <col min="16131" max="16131" width="3.7109375" style="2357" customWidth="1"/>
    <col min="16132" max="16132" width="15.5703125" style="2357" customWidth="1"/>
    <col min="16133" max="16133" width="12.85546875" style="2357" customWidth="1"/>
    <col min="16134" max="16134" width="13.28515625" style="2357" customWidth="1"/>
    <col min="16135" max="16135" width="11.7109375" style="2357" customWidth="1"/>
    <col min="16136" max="16136" width="13.85546875" style="2357" customWidth="1"/>
    <col min="16137" max="16137" width="13.140625" style="2357" customWidth="1"/>
    <col min="16138" max="16138" width="13.42578125" style="2357" customWidth="1"/>
    <col min="16139" max="16139" width="13.7109375" style="2357" customWidth="1"/>
    <col min="16140" max="16140" width="12.5703125" style="2357" customWidth="1"/>
    <col min="16141" max="16145" width="9.5703125" style="2357" customWidth="1"/>
    <col min="16146" max="16147" width="9" style="2357" customWidth="1"/>
    <col min="16148" max="16384" width="9.140625" style="2357"/>
  </cols>
  <sheetData>
    <row r="1" spans="1:21" x14ac:dyDescent="0.25">
      <c r="D1" s="2356"/>
      <c r="E1" s="2356"/>
      <c r="F1" s="2673"/>
      <c r="G1" s="2356"/>
      <c r="H1" s="2356"/>
      <c r="I1" s="2356"/>
      <c r="J1" s="2356"/>
      <c r="K1" s="2356"/>
      <c r="L1" s="2356"/>
      <c r="M1" s="2356"/>
      <c r="N1" s="2356"/>
      <c r="O1" s="2356"/>
      <c r="P1" s="2356"/>
      <c r="Q1" s="2356"/>
      <c r="R1" s="2356"/>
    </row>
    <row r="2" spans="1:21" ht="15" customHeight="1" x14ac:dyDescent="0.25">
      <c r="A2" s="2358">
        <v>1</v>
      </c>
      <c r="B2" s="2358" t="s">
        <v>0</v>
      </c>
      <c r="C2" s="2358">
        <f>1+'Drug-Related Crime'!C2</f>
        <v>66</v>
      </c>
      <c r="D2" s="4420" t="s">
        <v>1172</v>
      </c>
      <c r="E2" s="4421"/>
      <c r="F2" s="4421"/>
      <c r="G2" s="4421"/>
      <c r="H2" s="4421"/>
      <c r="I2" s="4421"/>
      <c r="J2" s="4421"/>
      <c r="K2" s="4421"/>
      <c r="L2" s="4421"/>
      <c r="M2" s="4421"/>
      <c r="N2" s="4421"/>
      <c r="O2" s="4421"/>
      <c r="P2" s="4421"/>
      <c r="Q2" s="4421"/>
      <c r="R2" s="4421"/>
      <c r="S2" s="4422"/>
      <c r="T2" s="2359"/>
      <c r="U2" s="2359"/>
    </row>
    <row r="3" spans="1:21" ht="15" customHeight="1" x14ac:dyDescent="0.25">
      <c r="A3" s="2358">
        <v>2</v>
      </c>
      <c r="B3" s="2358" t="s">
        <v>2</v>
      </c>
      <c r="C3" s="2358"/>
      <c r="D3" s="4420" t="s">
        <v>1032</v>
      </c>
      <c r="E3" s="4421"/>
      <c r="F3" s="4421"/>
      <c r="G3" s="4421"/>
      <c r="H3" s="4421"/>
      <c r="I3" s="4421"/>
      <c r="J3" s="4421"/>
      <c r="K3" s="4421"/>
      <c r="L3" s="4421"/>
      <c r="M3" s="4421"/>
      <c r="N3" s="4421"/>
      <c r="O3" s="4421"/>
      <c r="P3" s="4421"/>
      <c r="Q3" s="4421"/>
      <c r="R3" s="4421"/>
      <c r="S3" s="4422"/>
    </row>
    <row r="4" spans="1:21" ht="12.75" customHeight="1" x14ac:dyDescent="0.25">
      <c r="A4" s="2358">
        <v>3</v>
      </c>
      <c r="B4" s="2358" t="s">
        <v>4</v>
      </c>
      <c r="C4" s="2358"/>
      <c r="D4" s="4420" t="s">
        <v>1173</v>
      </c>
      <c r="E4" s="4421"/>
      <c r="F4" s="4421"/>
      <c r="G4" s="4421"/>
      <c r="H4" s="4421"/>
      <c r="I4" s="4421"/>
      <c r="J4" s="4421"/>
      <c r="K4" s="4421"/>
      <c r="L4" s="4421"/>
      <c r="M4" s="4421"/>
      <c r="N4" s="4421"/>
      <c r="O4" s="4421"/>
      <c r="P4" s="4421"/>
      <c r="Q4" s="4421"/>
      <c r="R4" s="4421"/>
      <c r="S4" s="4422"/>
    </row>
    <row r="5" spans="1:21" ht="13.5" customHeight="1" x14ac:dyDescent="0.25">
      <c r="A5" s="2633"/>
      <c r="B5" s="2633"/>
      <c r="C5" s="2633"/>
      <c r="D5" s="4418"/>
      <c r="E5" s="4418"/>
      <c r="F5" s="4418"/>
      <c r="G5" s="4418"/>
      <c r="H5" s="4418"/>
      <c r="I5" s="4418"/>
      <c r="J5" s="4418"/>
      <c r="K5" s="4418"/>
      <c r="L5" s="4418"/>
      <c r="M5" s="4418"/>
      <c r="N5" s="2728"/>
      <c r="O5" s="2728"/>
      <c r="P5" s="229"/>
      <c r="Q5" s="320"/>
      <c r="R5" s="320"/>
    </row>
    <row r="6" spans="1:21" x14ac:dyDescent="0.25">
      <c r="A6" s="2358">
        <v>4</v>
      </c>
      <c r="B6" s="902" t="s">
        <v>5</v>
      </c>
      <c r="D6" s="304" t="s">
        <v>40</v>
      </c>
      <c r="E6" s="123" t="s">
        <v>1150</v>
      </c>
      <c r="F6" s="556"/>
      <c r="G6" s="556"/>
      <c r="H6" s="556"/>
      <c r="I6" s="556"/>
      <c r="J6" s="556"/>
      <c r="K6" s="556"/>
      <c r="L6" s="556"/>
      <c r="M6" s="556"/>
      <c r="N6" s="122"/>
      <c r="O6" s="945"/>
      <c r="P6" s="945"/>
      <c r="Q6" s="320"/>
      <c r="R6" s="320"/>
      <c r="S6" s="320"/>
    </row>
    <row r="7" spans="1:21" x14ac:dyDescent="0.25">
      <c r="A7" s="2679"/>
      <c r="B7" s="1391"/>
      <c r="C7" s="1391"/>
      <c r="D7" s="2439"/>
      <c r="E7" s="2661" t="s">
        <v>140</v>
      </c>
      <c r="F7" s="2661" t="s">
        <v>141</v>
      </c>
      <c r="G7" s="2661" t="s">
        <v>142</v>
      </c>
      <c r="H7" s="2661" t="s">
        <v>143</v>
      </c>
      <c r="I7" s="2661" t="s">
        <v>144</v>
      </c>
      <c r="J7" s="2661" t="s">
        <v>145</v>
      </c>
      <c r="K7" s="2661" t="s">
        <v>8</v>
      </c>
      <c r="L7" s="2661" t="s">
        <v>9</v>
      </c>
      <c r="M7" s="2661" t="s">
        <v>10</v>
      </c>
      <c r="N7" s="2437" t="s">
        <v>11</v>
      </c>
      <c r="O7" s="2437" t="s">
        <v>12</v>
      </c>
      <c r="P7" s="2437" t="s">
        <v>13</v>
      </c>
      <c r="Q7" s="2437" t="s">
        <v>14</v>
      </c>
      <c r="R7" s="2774" t="s">
        <v>15</v>
      </c>
      <c r="S7" s="3703" t="s">
        <v>333</v>
      </c>
    </row>
    <row r="8" spans="1:21" ht="4.9000000000000004" customHeight="1" x14ac:dyDescent="0.25">
      <c r="A8" s="2679"/>
      <c r="B8" s="1391"/>
      <c r="C8" s="1391"/>
      <c r="D8" s="2686"/>
      <c r="E8" s="2775"/>
      <c r="F8" s="2775"/>
      <c r="G8" s="2775"/>
      <c r="H8" s="2775"/>
      <c r="I8" s="2775"/>
      <c r="J8" s="2775"/>
      <c r="K8" s="2775"/>
      <c r="L8" s="2775"/>
      <c r="M8" s="2775"/>
      <c r="N8" s="2775"/>
      <c r="O8" s="2775"/>
      <c r="P8" s="2775"/>
      <c r="Q8" s="2776"/>
      <c r="R8" s="2777"/>
      <c r="S8" s="3704"/>
      <c r="T8" s="2680"/>
    </row>
    <row r="9" spans="1:21" x14ac:dyDescent="0.25">
      <c r="A9" s="2679"/>
      <c r="B9" s="1391"/>
      <c r="C9" s="1391"/>
      <c r="D9" s="17" t="s">
        <v>19</v>
      </c>
      <c r="E9" s="2778">
        <v>8238</v>
      </c>
      <c r="F9" s="2778">
        <v>8626</v>
      </c>
      <c r="G9" s="2778">
        <v>10312</v>
      </c>
      <c r="H9" s="2778">
        <v>9117</v>
      </c>
      <c r="I9" s="2778">
        <v>9087</v>
      </c>
      <c r="J9" s="2778">
        <v>9456</v>
      </c>
      <c r="K9" s="2778">
        <v>9047</v>
      </c>
      <c r="L9" s="2778">
        <v>9380</v>
      </c>
      <c r="M9" s="2778">
        <v>9239</v>
      </c>
      <c r="N9" s="2778">
        <v>9567</v>
      </c>
      <c r="O9" s="2778">
        <v>9897</v>
      </c>
      <c r="P9" s="2779">
        <v>9224</v>
      </c>
      <c r="Q9" s="2779">
        <v>8797</v>
      </c>
      <c r="R9" s="2780">
        <v>8050</v>
      </c>
      <c r="S9" s="3705">
        <v>8094</v>
      </c>
      <c r="T9" s="2680"/>
    </row>
    <row r="10" spans="1:21" x14ac:dyDescent="0.25">
      <c r="A10" s="2679"/>
      <c r="B10" s="1391"/>
      <c r="C10" s="1391"/>
      <c r="D10" s="17" t="s">
        <v>1041</v>
      </c>
      <c r="E10" s="2778">
        <v>4734</v>
      </c>
      <c r="F10" s="2778">
        <v>4972</v>
      </c>
      <c r="G10" s="2778">
        <v>4559</v>
      </c>
      <c r="H10" s="2778">
        <v>4386</v>
      </c>
      <c r="I10" s="2778">
        <v>4396</v>
      </c>
      <c r="J10" s="2778">
        <v>4523</v>
      </c>
      <c r="K10" s="2778">
        <v>4581</v>
      </c>
      <c r="L10" s="2778">
        <v>4838</v>
      </c>
      <c r="M10" s="2778">
        <v>4927</v>
      </c>
      <c r="N10" s="2778">
        <v>5252</v>
      </c>
      <c r="O10" s="2778">
        <v>4814</v>
      </c>
      <c r="P10" s="2779">
        <v>4094</v>
      </c>
      <c r="Q10" s="2779">
        <v>3928</v>
      </c>
      <c r="R10" s="2780">
        <v>3488</v>
      </c>
      <c r="S10" s="3705">
        <v>3288</v>
      </c>
      <c r="T10" s="2680"/>
    </row>
    <row r="11" spans="1:21" x14ac:dyDescent="0.25">
      <c r="A11" s="2679"/>
      <c r="B11" s="1391"/>
      <c r="C11" s="1391"/>
      <c r="D11" s="17" t="s">
        <v>694</v>
      </c>
      <c r="E11" s="2778">
        <v>16402</v>
      </c>
      <c r="F11" s="2778">
        <v>16333</v>
      </c>
      <c r="G11" s="2778">
        <v>15676</v>
      </c>
      <c r="H11" s="2778">
        <v>15124</v>
      </c>
      <c r="I11" s="2778">
        <v>15398</v>
      </c>
      <c r="J11" s="2778">
        <v>18176</v>
      </c>
      <c r="K11" s="2778">
        <v>15645</v>
      </c>
      <c r="L11" s="2778">
        <v>13987</v>
      </c>
      <c r="M11" s="2778">
        <v>12419</v>
      </c>
      <c r="N11" s="2778">
        <v>12288</v>
      </c>
      <c r="O11" s="2778">
        <v>11021</v>
      </c>
      <c r="P11" s="2779">
        <v>9902</v>
      </c>
      <c r="Q11" s="2779">
        <v>9510</v>
      </c>
      <c r="R11" s="2780">
        <v>9566</v>
      </c>
      <c r="S11" s="3705">
        <v>10116</v>
      </c>
      <c r="T11" s="2680"/>
    </row>
    <row r="12" spans="1:21" x14ac:dyDescent="0.25">
      <c r="A12" s="2679"/>
      <c r="B12" s="1391"/>
      <c r="C12" s="1391"/>
      <c r="D12" s="17" t="s">
        <v>1042</v>
      </c>
      <c r="E12" s="2778">
        <v>11378</v>
      </c>
      <c r="F12" s="2778">
        <v>12122</v>
      </c>
      <c r="G12" s="2778">
        <v>11932</v>
      </c>
      <c r="H12" s="2778">
        <v>11649</v>
      </c>
      <c r="I12" s="2778">
        <v>11355</v>
      </c>
      <c r="J12" s="2778">
        <v>13279</v>
      </c>
      <c r="K12" s="2778">
        <v>13269</v>
      </c>
      <c r="L12" s="2778">
        <v>12793</v>
      </c>
      <c r="M12" s="2778">
        <v>12288</v>
      </c>
      <c r="N12" s="2778">
        <v>12405</v>
      </c>
      <c r="O12" s="2778">
        <v>11875</v>
      </c>
      <c r="P12" s="2779">
        <v>9079</v>
      </c>
      <c r="Q12" s="2779">
        <v>8947</v>
      </c>
      <c r="R12" s="2780">
        <v>8484</v>
      </c>
      <c r="S12" s="3705">
        <v>8759</v>
      </c>
      <c r="T12" s="2680"/>
    </row>
    <row r="13" spans="1:21" x14ac:dyDescent="0.25">
      <c r="A13" s="2679"/>
      <c r="B13" s="1391"/>
      <c r="C13" s="1391"/>
      <c r="D13" s="17" t="s">
        <v>23</v>
      </c>
      <c r="E13" s="2778">
        <v>4491</v>
      </c>
      <c r="F13" s="2778">
        <v>5070</v>
      </c>
      <c r="G13" s="2778">
        <v>4671</v>
      </c>
      <c r="H13" s="2778">
        <v>4780</v>
      </c>
      <c r="I13" s="2778">
        <v>4528</v>
      </c>
      <c r="J13" s="2778">
        <v>4675</v>
      </c>
      <c r="K13" s="2778">
        <v>4905</v>
      </c>
      <c r="L13" s="2778">
        <v>4883</v>
      </c>
      <c r="M13" s="2778">
        <v>5686</v>
      </c>
      <c r="N13" s="2778">
        <v>6467</v>
      </c>
      <c r="O13" s="2778">
        <v>6423</v>
      </c>
      <c r="P13" s="2779">
        <v>4312</v>
      </c>
      <c r="Q13" s="2779">
        <v>4369</v>
      </c>
      <c r="R13" s="2780">
        <v>3828</v>
      </c>
      <c r="S13" s="3705">
        <v>3862</v>
      </c>
      <c r="T13" s="2680"/>
    </row>
    <row r="14" spans="1:21" x14ac:dyDescent="0.25">
      <c r="A14" s="2679"/>
      <c r="B14" s="1391"/>
      <c r="C14" s="1391"/>
      <c r="D14" s="17" t="s">
        <v>1043</v>
      </c>
      <c r="E14" s="2778">
        <v>4375</v>
      </c>
      <c r="F14" s="2778">
        <v>4674</v>
      </c>
      <c r="G14" s="2778">
        <v>4756</v>
      </c>
      <c r="H14" s="2778">
        <v>4631</v>
      </c>
      <c r="I14" s="2778">
        <v>4169</v>
      </c>
      <c r="J14" s="2778">
        <v>4695</v>
      </c>
      <c r="K14" s="2778">
        <v>4603</v>
      </c>
      <c r="L14" s="2778">
        <v>4442</v>
      </c>
      <c r="M14" s="2778">
        <v>4092</v>
      </c>
      <c r="N14" s="2778">
        <v>4267</v>
      </c>
      <c r="O14" s="2778">
        <v>3953</v>
      </c>
      <c r="P14" s="2779">
        <v>3474</v>
      </c>
      <c r="Q14" s="2779">
        <v>3331</v>
      </c>
      <c r="R14" s="2780">
        <v>3216</v>
      </c>
      <c r="S14" s="3705">
        <v>3198</v>
      </c>
      <c r="T14" s="2680"/>
    </row>
    <row r="15" spans="1:21" x14ac:dyDescent="0.25">
      <c r="A15" s="2679"/>
      <c r="B15" s="1391"/>
      <c r="C15" s="1391"/>
      <c r="D15" s="17" t="s">
        <v>25</v>
      </c>
      <c r="E15" s="2778">
        <v>4519</v>
      </c>
      <c r="F15" s="2778">
        <v>4610</v>
      </c>
      <c r="G15" s="2778">
        <v>4546</v>
      </c>
      <c r="H15" s="2778">
        <v>4588</v>
      </c>
      <c r="I15" s="2778">
        <v>4513</v>
      </c>
      <c r="J15" s="2778">
        <v>5021</v>
      </c>
      <c r="K15" s="2778">
        <v>4759</v>
      </c>
      <c r="L15" s="2778">
        <v>4706</v>
      </c>
      <c r="M15" s="2778">
        <v>4972</v>
      </c>
      <c r="N15" s="2778">
        <v>5521</v>
      </c>
      <c r="O15" s="2778">
        <v>4850</v>
      </c>
      <c r="P15" s="2779">
        <v>4585</v>
      </c>
      <c r="Q15" s="2779">
        <v>4164</v>
      </c>
      <c r="R15" s="2780">
        <v>4326</v>
      </c>
      <c r="S15" s="3705">
        <v>4182</v>
      </c>
      <c r="T15" s="2680"/>
    </row>
    <row r="16" spans="1:21" x14ac:dyDescent="0.25">
      <c r="A16" s="2679"/>
      <c r="B16" s="1391"/>
      <c r="C16" s="1391"/>
      <c r="D16" s="17" t="s">
        <v>1044</v>
      </c>
      <c r="E16" s="2778">
        <v>2191</v>
      </c>
      <c r="F16" s="2778">
        <v>2212</v>
      </c>
      <c r="G16" s="2778">
        <v>1993</v>
      </c>
      <c r="H16" s="2778">
        <v>1957</v>
      </c>
      <c r="I16" s="2778">
        <v>1749</v>
      </c>
      <c r="J16" s="2778">
        <v>1917</v>
      </c>
      <c r="K16" s="2778">
        <v>1845</v>
      </c>
      <c r="L16" s="2778">
        <v>1868</v>
      </c>
      <c r="M16" s="2778">
        <v>1738</v>
      </c>
      <c r="N16" s="2778">
        <v>1844</v>
      </c>
      <c r="O16" s="2778">
        <v>1754</v>
      </c>
      <c r="P16" s="2779">
        <v>1578</v>
      </c>
      <c r="Q16" s="2779">
        <v>1719</v>
      </c>
      <c r="R16" s="2780">
        <v>1587</v>
      </c>
      <c r="S16" s="3705">
        <v>1538</v>
      </c>
      <c r="T16" s="2680"/>
    </row>
    <row r="17" spans="1:21" x14ac:dyDescent="0.25">
      <c r="A17" s="2679"/>
      <c r="B17" s="1391"/>
      <c r="C17" s="1391"/>
      <c r="D17" s="17" t="s">
        <v>27</v>
      </c>
      <c r="E17" s="2779">
        <v>9751</v>
      </c>
      <c r="F17" s="2779">
        <v>10498</v>
      </c>
      <c r="G17" s="2779">
        <v>9631</v>
      </c>
      <c r="H17" s="2779">
        <v>8969</v>
      </c>
      <c r="I17" s="2779">
        <v>8623</v>
      </c>
      <c r="J17" s="2779">
        <v>8772</v>
      </c>
      <c r="K17" s="2779">
        <v>9678</v>
      </c>
      <c r="L17" s="2779">
        <v>9299</v>
      </c>
      <c r="M17" s="2779">
        <v>9153</v>
      </c>
      <c r="N17" s="2779">
        <v>8776</v>
      </c>
      <c r="O17" s="2779">
        <v>8062</v>
      </c>
      <c r="P17" s="2779">
        <v>7369</v>
      </c>
      <c r="Q17" s="2779">
        <v>7130</v>
      </c>
      <c r="R17" s="2780">
        <v>7115</v>
      </c>
      <c r="S17" s="3705">
        <v>7075</v>
      </c>
      <c r="T17" s="2680"/>
    </row>
    <row r="18" spans="1:21" x14ac:dyDescent="0.25">
      <c r="A18" s="2679"/>
      <c r="B18" s="1391"/>
      <c r="C18" s="1391"/>
      <c r="D18" s="180" t="s">
        <v>1151</v>
      </c>
      <c r="E18" s="2781">
        <v>66079</v>
      </c>
      <c r="F18" s="2781">
        <v>69117</v>
      </c>
      <c r="G18" s="2781">
        <v>68076</v>
      </c>
      <c r="H18" s="2781">
        <v>65201</v>
      </c>
      <c r="I18" s="2781">
        <v>63818</v>
      </c>
      <c r="J18" s="2781">
        <v>70514</v>
      </c>
      <c r="K18" s="2781">
        <v>68332</v>
      </c>
      <c r="L18" s="2781">
        <v>66196</v>
      </c>
      <c r="M18" s="2781">
        <v>64514</v>
      </c>
      <c r="N18" s="2781">
        <v>66387</v>
      </c>
      <c r="O18" s="2781">
        <v>62649</v>
      </c>
      <c r="P18" s="2781">
        <v>53617</v>
      </c>
      <c r="Q18" s="2781">
        <v>51895</v>
      </c>
      <c r="R18" s="2782">
        <v>49660</v>
      </c>
      <c r="S18" s="3706">
        <v>50108</v>
      </c>
      <c r="T18" s="2680"/>
    </row>
    <row r="19" spans="1:21" hidden="1" x14ac:dyDescent="0.25">
      <c r="A19" s="2679"/>
      <c r="B19" s="1391"/>
      <c r="C19" s="1391"/>
      <c r="D19" s="371"/>
      <c r="E19" s="2783"/>
      <c r="F19" s="2783"/>
      <c r="G19" s="2783"/>
      <c r="H19" s="2783"/>
      <c r="I19" s="2783"/>
      <c r="J19" s="2783"/>
      <c r="K19" s="2783"/>
      <c r="L19" s="2783"/>
      <c r="M19" s="2783"/>
      <c r="N19" s="2661"/>
      <c r="O19" s="766"/>
      <c r="P19" s="2217"/>
      <c r="Q19" s="2217"/>
      <c r="R19" s="2784"/>
      <c r="S19" s="2784"/>
      <c r="T19" s="2680"/>
    </row>
    <row r="20" spans="1:21" hidden="1" x14ac:dyDescent="0.25">
      <c r="A20" s="2679"/>
      <c r="B20" s="1391"/>
      <c r="C20" s="1391"/>
      <c r="D20" s="304" t="s">
        <v>67</v>
      </c>
      <c r="E20" s="4419" t="s">
        <v>1152</v>
      </c>
      <c r="F20" s="4419"/>
      <c r="G20" s="4419"/>
      <c r="H20" s="4419"/>
      <c r="I20" s="4419"/>
      <c r="J20" s="4419"/>
      <c r="K20" s="4419"/>
      <c r="L20" s="4419"/>
      <c r="M20" s="4419"/>
      <c r="N20" s="2785"/>
      <c r="O20" s="766"/>
      <c r="P20" s="2217"/>
      <c r="Q20" s="2217"/>
      <c r="R20" s="2784"/>
      <c r="S20" s="2784"/>
      <c r="T20" s="2680"/>
    </row>
    <row r="21" spans="1:21" hidden="1" x14ac:dyDescent="0.25">
      <c r="A21" s="2679"/>
      <c r="B21" s="1391"/>
      <c r="C21" s="1391"/>
      <c r="D21" s="2742"/>
      <c r="E21" s="2743" t="s">
        <v>140</v>
      </c>
      <c r="F21" s="2743" t="s">
        <v>141</v>
      </c>
      <c r="G21" s="2743" t="s">
        <v>142</v>
      </c>
      <c r="H21" s="2743" t="s">
        <v>143</v>
      </c>
      <c r="I21" s="2743" t="s">
        <v>144</v>
      </c>
      <c r="J21" s="2743" t="s">
        <v>145</v>
      </c>
      <c r="K21" s="2743" t="s">
        <v>8</v>
      </c>
      <c r="L21" s="2743" t="s">
        <v>325</v>
      </c>
      <c r="M21" s="2743" t="s">
        <v>10</v>
      </c>
      <c r="N21" s="2743" t="s">
        <v>11</v>
      </c>
      <c r="O21" s="2743" t="s">
        <v>12</v>
      </c>
      <c r="P21" s="2786" t="s">
        <v>13</v>
      </c>
      <c r="Q21" s="2786" t="s">
        <v>14</v>
      </c>
      <c r="R21" s="2744" t="s">
        <v>15</v>
      </c>
      <c r="S21" s="2744" t="s">
        <v>333</v>
      </c>
      <c r="T21" s="2680"/>
    </row>
    <row r="22" spans="1:21" hidden="1" x14ac:dyDescent="0.25">
      <c r="A22" s="2679"/>
      <c r="B22" s="1391"/>
      <c r="C22" s="1391"/>
      <c r="D22" s="17" t="s">
        <v>19</v>
      </c>
      <c r="E22" s="2787">
        <v>119.2</v>
      </c>
      <c r="F22" s="2787">
        <v>125.1</v>
      </c>
      <c r="G22" s="2787">
        <v>149.6</v>
      </c>
      <c r="H22" s="2788">
        <v>140.53696589936487</v>
      </c>
      <c r="I22" s="2788">
        <v>140.15557432089582</v>
      </c>
      <c r="J22" s="2788">
        <v>145.91531539266504</v>
      </c>
      <c r="K22" s="2788">
        <v>139.65280640654649</v>
      </c>
      <c r="L22" s="2788">
        <v>144.8329501449426</v>
      </c>
      <c r="M22" s="2788">
        <v>142.68147870236899</v>
      </c>
      <c r="N22" s="2788">
        <v>147.74346693412164</v>
      </c>
      <c r="O22" s="2788">
        <v>152.79310256767116</v>
      </c>
      <c r="P22" s="2789">
        <v>142.32071151437199</v>
      </c>
      <c r="Q22" s="2019">
        <v>135.61955835725382</v>
      </c>
      <c r="R22" s="2746">
        <f>(R9/6493176)*100000</f>
        <v>123.97630989826858</v>
      </c>
      <c r="S22" s="2746">
        <f>(S9/6501008)*100000</f>
        <v>124.50376926162836</v>
      </c>
      <c r="T22" s="2680"/>
    </row>
    <row r="23" spans="1:21" hidden="1" x14ac:dyDescent="0.25">
      <c r="A23" s="2679"/>
      <c r="B23" s="1391"/>
      <c r="C23" s="1391"/>
      <c r="D23" s="17" t="s">
        <v>1041</v>
      </c>
      <c r="E23" s="2787">
        <v>159.5</v>
      </c>
      <c r="F23" s="2787">
        <v>169.4</v>
      </c>
      <c r="G23" s="2787">
        <v>154.30000000000001</v>
      </c>
      <c r="H23" s="2788">
        <v>163.48172547530666</v>
      </c>
      <c r="I23" s="2788">
        <v>163.1587073432097</v>
      </c>
      <c r="J23" s="2788">
        <v>167.08694134385209</v>
      </c>
      <c r="K23" s="2788">
        <v>168.3701295806199</v>
      </c>
      <c r="L23" s="2788">
        <v>176.84543453096225</v>
      </c>
      <c r="M23" s="2788">
        <v>179.05248747207577</v>
      </c>
      <c r="N23" s="2788">
        <v>189.68544390059256</v>
      </c>
      <c r="O23" s="2788">
        <v>172.72489033258432</v>
      </c>
      <c r="P23" s="2789">
        <v>145.87056963926938</v>
      </c>
      <c r="Q23" s="2019">
        <v>138.93058617038028</v>
      </c>
      <c r="R23" s="2746">
        <f>(R10/2849339)*100000</f>
        <v>122.41435645249652</v>
      </c>
      <c r="S23" s="2746">
        <f>(S10/2872759)*100000</f>
        <v>114.45443213301219</v>
      </c>
      <c r="T23" s="2680"/>
    </row>
    <row r="24" spans="1:21" hidden="1" x14ac:dyDescent="0.25">
      <c r="A24" s="2679"/>
      <c r="B24" s="1391"/>
      <c r="C24" s="1391"/>
      <c r="D24" s="17" t="s">
        <v>694</v>
      </c>
      <c r="E24" s="2787">
        <v>180.4</v>
      </c>
      <c r="F24" s="2787">
        <v>178</v>
      </c>
      <c r="G24" s="2787">
        <v>168</v>
      </c>
      <c r="H24" s="2788">
        <v>139.52535846115083</v>
      </c>
      <c r="I24" s="2788">
        <v>138.56959706491494</v>
      </c>
      <c r="J24" s="2788">
        <v>159.51935057768449</v>
      </c>
      <c r="K24" s="2788">
        <v>133.8843621356497</v>
      </c>
      <c r="L24" s="2788">
        <v>116.68302429119576</v>
      </c>
      <c r="M24" s="2788">
        <v>100.97337387555973</v>
      </c>
      <c r="N24" s="2788">
        <v>97.361147980753685</v>
      </c>
      <c r="O24" s="2788">
        <v>85.097256290721219</v>
      </c>
      <c r="P24" s="2789">
        <v>74.507109421560727</v>
      </c>
      <c r="Q24" s="2019">
        <v>69.728606235057597</v>
      </c>
      <c r="R24" s="2746">
        <f>(R11/13999402)*100000</f>
        <v>68.331490159365373</v>
      </c>
      <c r="S24" s="2746">
        <f>(S11/14373250)*100000</f>
        <v>70.380742003374323</v>
      </c>
      <c r="T24" s="2680"/>
    </row>
    <row r="25" spans="1:21" hidden="1" x14ac:dyDescent="0.25">
      <c r="A25" s="2679"/>
      <c r="B25" s="1391"/>
      <c r="C25" s="1391"/>
      <c r="D25" s="17" t="s">
        <v>1042</v>
      </c>
      <c r="E25" s="2787">
        <v>116.8</v>
      </c>
      <c r="F25" s="2787">
        <v>123.9</v>
      </c>
      <c r="G25" s="2787">
        <v>121.2</v>
      </c>
      <c r="H25" s="2788">
        <v>117.11260136120254</v>
      </c>
      <c r="I25" s="2788">
        <v>113.25220916517823</v>
      </c>
      <c r="J25" s="2788">
        <v>131.34099483552606</v>
      </c>
      <c r="K25" s="2788">
        <v>130.100087280358</v>
      </c>
      <c r="L25" s="2788">
        <v>124.2955872690403</v>
      </c>
      <c r="M25" s="2788">
        <v>118.25918603875978</v>
      </c>
      <c r="N25" s="2788">
        <v>118.20140994360055</v>
      </c>
      <c r="O25" s="2788">
        <v>111.97616884706908</v>
      </c>
      <c r="P25" s="2789">
        <v>84.679895449036692</v>
      </c>
      <c r="Q25" s="2019">
        <v>82.501490260105598</v>
      </c>
      <c r="R25" s="2746">
        <f>(R12/10974209)*100000</f>
        <v>77.308533125257583</v>
      </c>
      <c r="S25" s="2746">
        <f>(S12/11109313)*100000</f>
        <v>78.843759285565184</v>
      </c>
      <c r="T25" s="2680"/>
    </row>
    <row r="26" spans="1:21" hidden="1" x14ac:dyDescent="0.25">
      <c r="A26" s="2679"/>
      <c r="B26" s="1391"/>
      <c r="C26" s="1391"/>
      <c r="D26" s="17" t="s">
        <v>23</v>
      </c>
      <c r="E26" s="2787">
        <v>84.2</v>
      </c>
      <c r="F26" s="2787">
        <v>95.5</v>
      </c>
      <c r="G26" s="2787">
        <v>87.4</v>
      </c>
      <c r="H26" s="2788">
        <v>92.367569965482033</v>
      </c>
      <c r="I26" s="2788">
        <v>86.769986068435443</v>
      </c>
      <c r="J26" s="2788">
        <v>88.811718667052915</v>
      </c>
      <c r="K26" s="2788">
        <v>92.346895260929529</v>
      </c>
      <c r="L26" s="2788">
        <v>91.087418136711506</v>
      </c>
      <c r="M26" s="2788">
        <v>105.05821936222362</v>
      </c>
      <c r="N26" s="2788">
        <v>118.289256354681</v>
      </c>
      <c r="O26" s="2788">
        <v>116.2328611888373</v>
      </c>
      <c r="P26" s="2789">
        <v>77.155671156429392</v>
      </c>
      <c r="Q26" s="2019">
        <v>77.260005387755342</v>
      </c>
      <c r="R26" s="2746">
        <f>(R13/5724477)*100000</f>
        <v>66.870737711060769</v>
      </c>
      <c r="S26" s="2746">
        <f>(S13/5797008)*100000</f>
        <v>66.620573923651648</v>
      </c>
      <c r="T26" s="2680"/>
    </row>
    <row r="27" spans="1:21" hidden="1" x14ac:dyDescent="0.25">
      <c r="A27" s="2679"/>
      <c r="B27" s="1391"/>
      <c r="C27" s="1391"/>
      <c r="D27" s="17" t="s">
        <v>1043</v>
      </c>
      <c r="E27" s="2787">
        <v>125.8</v>
      </c>
      <c r="F27" s="2787">
        <v>135.6</v>
      </c>
      <c r="G27" s="2787">
        <v>137.1</v>
      </c>
      <c r="H27" s="2788">
        <v>124.65286891644881</v>
      </c>
      <c r="I27" s="2788">
        <v>110.44530598765617</v>
      </c>
      <c r="J27" s="2788">
        <v>122.39772096870665</v>
      </c>
      <c r="K27" s="2788">
        <v>118.07445611385074</v>
      </c>
      <c r="L27" s="2788">
        <v>112.10800759152725</v>
      </c>
      <c r="M27" s="2788">
        <v>101.59697948337819</v>
      </c>
      <c r="N27" s="2788">
        <v>104.19662412653368</v>
      </c>
      <c r="O27" s="2788">
        <v>94.916549613881941</v>
      </c>
      <c r="P27" s="2789">
        <v>82.002913052295312</v>
      </c>
      <c r="Q27" s="2019">
        <v>77.281583357616427</v>
      </c>
      <c r="R27" s="2746">
        <f>(R14/4386153)*100000</f>
        <v>73.321655674118063</v>
      </c>
      <c r="S27" s="2746">
        <f>(S14/4463733)*100000</f>
        <v>71.644070109032057</v>
      </c>
      <c r="T27" s="2680"/>
    </row>
    <row r="28" spans="1:21" hidden="1" x14ac:dyDescent="0.25">
      <c r="A28" s="2679"/>
      <c r="B28" s="1391"/>
      <c r="C28" s="1391"/>
      <c r="D28" s="17" t="s">
        <v>25</v>
      </c>
      <c r="E28" s="2787">
        <v>135.30000000000001</v>
      </c>
      <c r="F28" s="2787">
        <v>137.4</v>
      </c>
      <c r="G28" s="2787">
        <v>136.6</v>
      </c>
      <c r="H28" s="2788">
        <v>141.41865381252592</v>
      </c>
      <c r="I28" s="2788">
        <v>137.0629743322807</v>
      </c>
      <c r="J28" s="2788">
        <v>150.20530978300633</v>
      </c>
      <c r="K28" s="2788">
        <v>140.2031808355371</v>
      </c>
      <c r="L28" s="2788">
        <v>136.50541886240899</v>
      </c>
      <c r="M28" s="2788">
        <v>141.96659199326331</v>
      </c>
      <c r="N28" s="2788">
        <v>155.12784934733449</v>
      </c>
      <c r="O28" s="2788">
        <v>134.0581514122602</v>
      </c>
      <c r="P28" s="2789">
        <v>124.63927604237307</v>
      </c>
      <c r="Q28" s="2019">
        <v>111.29998356944262</v>
      </c>
      <c r="R28" s="2746">
        <f>(R15/3806079)*100000</f>
        <v>113.6602787277931</v>
      </c>
      <c r="S28" s="2746">
        <f>(S15/3873298)*100000</f>
        <v>107.97000385717804</v>
      </c>
      <c r="T28" s="2680"/>
    </row>
    <row r="29" spans="1:21" ht="14.25" hidden="1" customHeight="1" x14ac:dyDescent="0.25">
      <c r="B29" s="2685"/>
      <c r="C29" s="2681"/>
      <c r="D29" s="17" t="s">
        <v>1044</v>
      </c>
      <c r="E29" s="2787">
        <v>205.4</v>
      </c>
      <c r="F29" s="2787">
        <v>206.4</v>
      </c>
      <c r="G29" s="2787">
        <v>184.8</v>
      </c>
      <c r="H29" s="2788">
        <v>182.3188661903279</v>
      </c>
      <c r="I29" s="2788">
        <v>161.27684735246601</v>
      </c>
      <c r="J29" s="2788">
        <v>174.91145872103718</v>
      </c>
      <c r="K29" s="2788">
        <v>166.53305770277046</v>
      </c>
      <c r="L29" s="2788">
        <v>166.75968763057756</v>
      </c>
      <c r="M29" s="2788">
        <v>153.42117432948615</v>
      </c>
      <c r="N29" s="2788">
        <v>160.92359380575562</v>
      </c>
      <c r="O29" s="2788">
        <v>151.28822013824669</v>
      </c>
      <c r="P29" s="2789">
        <v>134.4910624986002</v>
      </c>
      <c r="Q29" s="2790">
        <v>144.73441778733297</v>
      </c>
      <c r="R29" s="2746">
        <f>(R16/1202571)*100000</f>
        <v>131.96726014513905</v>
      </c>
      <c r="S29" s="2747">
        <f>(S16/1217917)*100000</f>
        <v>126.28118336471205</v>
      </c>
      <c r="T29" s="2682"/>
    </row>
    <row r="30" spans="1:21" hidden="1" x14ac:dyDescent="0.25">
      <c r="B30" s="2685"/>
      <c r="C30" s="2681"/>
      <c r="D30" s="17" t="s">
        <v>27</v>
      </c>
      <c r="E30" s="2787">
        <v>216.7</v>
      </c>
      <c r="F30" s="2787">
        <v>229.9</v>
      </c>
      <c r="G30" s="2787">
        <v>207.5</v>
      </c>
      <c r="H30" s="2788">
        <v>172.64213467888507</v>
      </c>
      <c r="I30" s="2788">
        <v>162.58261702383953</v>
      </c>
      <c r="J30" s="2788">
        <v>161.97972949202241</v>
      </c>
      <c r="K30" s="2788">
        <v>175.01204697000284</v>
      </c>
      <c r="L30" s="2788">
        <v>164.66273036666144</v>
      </c>
      <c r="M30" s="2788">
        <v>158.6973412309429</v>
      </c>
      <c r="N30" s="2788">
        <v>148.98128973702845</v>
      </c>
      <c r="O30" s="2788">
        <v>134.00603493642961</v>
      </c>
      <c r="P30" s="2789">
        <v>119.93917448679049</v>
      </c>
      <c r="Q30" s="2790">
        <v>113.64138755842464</v>
      </c>
      <c r="R30" s="2746">
        <f>(R17/6274123)*100000</f>
        <v>113.40230339762228</v>
      </c>
      <c r="S30" s="2747">
        <f>(S17/6545042)*100000</f>
        <v>108.09709089720128</v>
      </c>
      <c r="T30" s="2682"/>
      <c r="U30" s="2365"/>
    </row>
    <row r="31" spans="1:21" hidden="1" x14ac:dyDescent="0.25">
      <c r="B31" s="2685"/>
      <c r="C31" s="2681"/>
      <c r="D31" s="180" t="s">
        <v>1153</v>
      </c>
      <c r="E31" s="2791">
        <v>142.5</v>
      </c>
      <c r="F31" s="2791">
        <v>148.4</v>
      </c>
      <c r="G31" s="2791">
        <v>145.19999999999999</v>
      </c>
      <c r="H31" s="2792">
        <v>134.82571521464288</v>
      </c>
      <c r="I31" s="2792">
        <v>130.26683024641071</v>
      </c>
      <c r="J31" s="2792">
        <v>142.03350564921692</v>
      </c>
      <c r="K31" s="2792">
        <v>135.77990292035815</v>
      </c>
      <c r="L31" s="2792">
        <v>129.72048694851287</v>
      </c>
      <c r="M31" s="2792">
        <v>124.64173839102422</v>
      </c>
      <c r="N31" s="2792">
        <v>126.40841556659892</v>
      </c>
      <c r="O31" s="2792">
        <v>117.53037073875666</v>
      </c>
      <c r="P31" s="2409">
        <v>99.070023437985171</v>
      </c>
      <c r="Q31" s="2793">
        <v>94.414143546077824</v>
      </c>
      <c r="R31" s="2752">
        <f>(R18/56753327)*100000</f>
        <v>87.501478107177746</v>
      </c>
      <c r="S31" s="2752">
        <f>(S18/56753327)*100000</f>
        <v>88.29085914205524</v>
      </c>
    </row>
    <row r="32" spans="1:21" x14ac:dyDescent="0.25">
      <c r="B32" s="2685"/>
      <c r="C32" s="2681"/>
      <c r="D32" s="2635"/>
      <c r="E32" s="2635"/>
      <c r="F32" s="2635"/>
      <c r="G32" s="2635"/>
      <c r="H32" s="2635"/>
      <c r="I32" s="2635"/>
      <c r="J32" s="2635"/>
      <c r="K32" s="2635"/>
      <c r="L32" s="2635"/>
      <c r="M32" s="2635"/>
      <c r="N32" s="2635"/>
      <c r="O32" s="2635"/>
      <c r="P32" s="2682"/>
      <c r="Q32" s="2682"/>
      <c r="R32" s="2794"/>
      <c r="S32" s="2794"/>
    </row>
    <row r="33" spans="1:25" ht="15" customHeight="1" x14ac:dyDescent="0.25">
      <c r="B33" s="2685"/>
      <c r="C33" s="332"/>
      <c r="D33" s="304" t="s">
        <v>258</v>
      </c>
      <c r="E33" s="4423" t="s">
        <v>1154</v>
      </c>
      <c r="F33" s="4423"/>
      <c r="G33" s="4423"/>
      <c r="H33" s="4423"/>
      <c r="I33" s="4423"/>
      <c r="J33" s="4423"/>
      <c r="K33" s="4423"/>
      <c r="L33" s="4423"/>
      <c r="M33" s="4423"/>
      <c r="N33" s="8"/>
      <c r="O33" s="2795"/>
      <c r="P33" s="2796"/>
      <c r="Q33" s="2682"/>
      <c r="R33" s="2794"/>
      <c r="S33" s="2794"/>
    </row>
    <row r="34" spans="1:25" ht="27.75" customHeight="1" x14ac:dyDescent="0.25">
      <c r="B34" s="2685"/>
      <c r="C34" s="2681"/>
      <c r="D34" s="2757"/>
      <c r="E34" s="2797" t="s">
        <v>1174</v>
      </c>
      <c r="F34" s="2797" t="s">
        <v>1175</v>
      </c>
      <c r="G34" s="2797" t="s">
        <v>1176</v>
      </c>
      <c r="H34" s="2797" t="s">
        <v>1177</v>
      </c>
      <c r="I34" s="2797" t="s">
        <v>1178</v>
      </c>
      <c r="J34" s="2797" t="s">
        <v>1179</v>
      </c>
      <c r="K34" s="2797" t="s">
        <v>1161</v>
      </c>
      <c r="L34" s="2797" t="s">
        <v>1162</v>
      </c>
      <c r="M34" s="2797" t="s">
        <v>1163</v>
      </c>
      <c r="N34" s="2797" t="s">
        <v>1164</v>
      </c>
      <c r="O34" s="2798" t="s">
        <v>1165</v>
      </c>
      <c r="P34" s="2799" t="s">
        <v>1166</v>
      </c>
      <c r="Q34" s="2800" t="s">
        <v>1180</v>
      </c>
      <c r="R34" s="2759" t="s">
        <v>1168</v>
      </c>
      <c r="S34" s="2801"/>
      <c r="T34" s="2802"/>
      <c r="U34" s="2802"/>
      <c r="V34" s="2802"/>
      <c r="W34" s="2802"/>
      <c r="X34" s="2365"/>
      <c r="Y34" s="2365"/>
    </row>
    <row r="35" spans="1:25" x14ac:dyDescent="0.25">
      <c r="B35" s="2685"/>
      <c r="C35" s="2681"/>
      <c r="D35" s="17" t="s">
        <v>19</v>
      </c>
      <c r="E35" s="2803">
        <v>4.7E-2</v>
      </c>
      <c r="F35" s="2804">
        <f>(F9-E9)/E9</f>
        <v>4.7098810390871569E-2</v>
      </c>
      <c r="G35" s="2804">
        <f t="shared" ref="G35:P35" si="0">(G9-F9)/F9</f>
        <v>0.1954555993507999</v>
      </c>
      <c r="H35" s="2804">
        <f t="shared" si="0"/>
        <v>-0.1158844065166796</v>
      </c>
      <c r="I35" s="2804">
        <f t="shared" si="0"/>
        <v>-3.290556103981573E-3</v>
      </c>
      <c r="J35" s="2804">
        <f t="shared" si="0"/>
        <v>4.0607461208319574E-2</v>
      </c>
      <c r="K35" s="2804">
        <f t="shared" si="0"/>
        <v>-4.3252961082910324E-2</v>
      </c>
      <c r="L35" s="2804">
        <f t="shared" si="0"/>
        <v>3.6807781585055821E-2</v>
      </c>
      <c r="M35" s="2804">
        <f t="shared" si="0"/>
        <v>-1.5031982942430704E-2</v>
      </c>
      <c r="N35" s="2804">
        <f t="shared" si="0"/>
        <v>3.5501677670743588E-2</v>
      </c>
      <c r="O35" s="2804">
        <f t="shared" si="0"/>
        <v>3.4493571652555663E-2</v>
      </c>
      <c r="P35" s="2761">
        <f t="shared" si="0"/>
        <v>-6.8000404162877642E-2</v>
      </c>
      <c r="Q35" s="2762">
        <f>(R9-Q9)/Q9</f>
        <v>-8.4915312038194843E-2</v>
      </c>
      <c r="R35" s="2805">
        <f>(S9-R9)/R9</f>
        <v>5.46583850931677E-3</v>
      </c>
      <c r="S35" s="1753"/>
      <c r="T35" s="2806"/>
      <c r="U35" s="2806"/>
      <c r="V35" s="2806"/>
      <c r="W35" s="2806"/>
    </row>
    <row r="36" spans="1:25" ht="12.75" customHeight="1" x14ac:dyDescent="0.25">
      <c r="B36" s="2685"/>
      <c r="C36" s="2681"/>
      <c r="D36" s="17" t="s">
        <v>1041</v>
      </c>
      <c r="E36" s="2803">
        <v>0.05</v>
      </c>
      <c r="F36" s="2804">
        <f t="shared" ref="F36:P44" si="1">(F10-E10)/E10</f>
        <v>5.0274609209970428E-2</v>
      </c>
      <c r="G36" s="2804">
        <f t="shared" si="1"/>
        <v>-8.3065164923572007E-2</v>
      </c>
      <c r="H36" s="2804">
        <f t="shared" si="1"/>
        <v>-3.7946918183812239E-2</v>
      </c>
      <c r="I36" s="2804">
        <f t="shared" si="1"/>
        <v>2.2799817601459188E-3</v>
      </c>
      <c r="J36" s="2804">
        <f t="shared" si="1"/>
        <v>2.8889899909008188E-2</v>
      </c>
      <c r="K36" s="2804">
        <f t="shared" si="1"/>
        <v>1.2823347335839045E-2</v>
      </c>
      <c r="L36" s="2804">
        <f t="shared" si="1"/>
        <v>5.6101287928399912E-2</v>
      </c>
      <c r="M36" s="2804">
        <f t="shared" si="1"/>
        <v>1.8396031417941296E-2</v>
      </c>
      <c r="N36" s="2804">
        <f t="shared" si="1"/>
        <v>6.5963060686015831E-2</v>
      </c>
      <c r="O36" s="2804">
        <f t="shared" si="1"/>
        <v>-8.3396801218583394E-2</v>
      </c>
      <c r="P36" s="2761">
        <f t="shared" si="1"/>
        <v>-0.14956377233070212</v>
      </c>
      <c r="Q36" s="2762">
        <f t="shared" ref="Q36:R44" si="2">(R10-Q10)/Q10</f>
        <v>-0.11201629327902241</v>
      </c>
      <c r="R36" s="2805">
        <f t="shared" si="2"/>
        <v>-5.7339449541284407E-2</v>
      </c>
      <c r="S36" s="1753"/>
      <c r="T36" s="2806"/>
      <c r="U36" s="2806"/>
      <c r="V36" s="2806"/>
      <c r="W36" s="2806"/>
    </row>
    <row r="37" spans="1:25" x14ac:dyDescent="0.25">
      <c r="B37" s="2685"/>
      <c r="C37" s="2681"/>
      <c r="D37" s="17" t="s">
        <v>694</v>
      </c>
      <c r="E37" s="2803">
        <v>-4.0000000000000001E-3</v>
      </c>
      <c r="F37" s="2804">
        <f t="shared" si="1"/>
        <v>-4.2068040482867945E-3</v>
      </c>
      <c r="G37" s="2804">
        <f t="shared" si="1"/>
        <v>-4.0225310720626954E-2</v>
      </c>
      <c r="H37" s="2804">
        <f t="shared" si="1"/>
        <v>-3.5213064557285019E-2</v>
      </c>
      <c r="I37" s="2804">
        <f t="shared" si="1"/>
        <v>1.8116900290928325E-2</v>
      </c>
      <c r="J37" s="2804">
        <f t="shared" si="1"/>
        <v>0.18041304065463046</v>
      </c>
      <c r="K37" s="2804">
        <f t="shared" si="1"/>
        <v>-0.13924955985915494</v>
      </c>
      <c r="L37" s="2804">
        <f t="shared" si="1"/>
        <v>-0.10597635027165228</v>
      </c>
      <c r="M37" s="2804">
        <f t="shared" si="1"/>
        <v>-0.11210409666118538</v>
      </c>
      <c r="N37" s="2804">
        <f t="shared" si="1"/>
        <v>-1.054835332957565E-2</v>
      </c>
      <c r="O37" s="2804">
        <f t="shared" si="1"/>
        <v>-0.10310872395833333</v>
      </c>
      <c r="P37" s="2761">
        <f t="shared" si="1"/>
        <v>-0.10153343616731694</v>
      </c>
      <c r="Q37" s="2762">
        <f t="shared" si="2"/>
        <v>5.8885383806519453E-3</v>
      </c>
      <c r="R37" s="2805">
        <f t="shared" si="2"/>
        <v>5.7495295839431318E-2</v>
      </c>
      <c r="S37" s="1753"/>
      <c r="T37" s="2806"/>
      <c r="U37" s="2806"/>
      <c r="V37" s="2806"/>
      <c r="W37" s="2806"/>
    </row>
    <row r="38" spans="1:25" x14ac:dyDescent="0.25">
      <c r="B38" s="2685"/>
      <c r="C38" s="2681"/>
      <c r="D38" s="17" t="s">
        <v>1042</v>
      </c>
      <c r="E38" s="2803">
        <v>6.5000000000000002E-2</v>
      </c>
      <c r="F38" s="2804">
        <f t="shared" si="1"/>
        <v>6.5389347864299521E-2</v>
      </c>
      <c r="G38" s="2804">
        <f t="shared" si="1"/>
        <v>-1.5673981191222569E-2</v>
      </c>
      <c r="H38" s="2804">
        <f t="shared" si="1"/>
        <v>-2.3717733825008382E-2</v>
      </c>
      <c r="I38" s="2804">
        <f t="shared" si="1"/>
        <v>-2.523821787277878E-2</v>
      </c>
      <c r="J38" s="2804">
        <f t="shared" si="1"/>
        <v>0.16944077498899163</v>
      </c>
      <c r="K38" s="2804">
        <f t="shared" si="1"/>
        <v>-7.5306875517734771E-4</v>
      </c>
      <c r="L38" s="2804">
        <f t="shared" si="1"/>
        <v>-3.587308764790112E-2</v>
      </c>
      <c r="M38" s="2804">
        <f t="shared" si="1"/>
        <v>-3.9474712733526145E-2</v>
      </c>
      <c r="N38" s="2804">
        <f t="shared" si="1"/>
        <v>9.521484375E-3</v>
      </c>
      <c r="O38" s="2804">
        <f t="shared" si="1"/>
        <v>-4.2724707779121324E-2</v>
      </c>
      <c r="P38" s="2761">
        <f t="shared" si="1"/>
        <v>-0.23545263157894736</v>
      </c>
      <c r="Q38" s="2762">
        <f t="shared" si="2"/>
        <v>-5.1749189672515926E-2</v>
      </c>
      <c r="R38" s="2805">
        <f t="shared" si="2"/>
        <v>3.2413955681282414E-2</v>
      </c>
      <c r="S38" s="1753"/>
      <c r="T38" s="2806"/>
      <c r="U38" s="2806"/>
      <c r="V38" s="2806"/>
      <c r="W38" s="2806"/>
    </row>
    <row r="39" spans="1:25" x14ac:dyDescent="0.25">
      <c r="B39" s="2685"/>
      <c r="C39" s="2681"/>
      <c r="D39" s="17" t="s">
        <v>23</v>
      </c>
      <c r="E39" s="2803">
        <v>0.129</v>
      </c>
      <c r="F39" s="2804">
        <f t="shared" si="1"/>
        <v>0.12892451569806279</v>
      </c>
      <c r="G39" s="2804">
        <f t="shared" si="1"/>
        <v>-7.8698224852071008E-2</v>
      </c>
      <c r="H39" s="2804">
        <f t="shared" si="1"/>
        <v>2.3335474202526227E-2</v>
      </c>
      <c r="I39" s="2804">
        <f t="shared" si="1"/>
        <v>-5.2719665271966525E-2</v>
      </c>
      <c r="J39" s="2804">
        <f t="shared" si="1"/>
        <v>3.2464664310954065E-2</v>
      </c>
      <c r="K39" s="2804">
        <f t="shared" si="1"/>
        <v>4.9197860962566842E-2</v>
      </c>
      <c r="L39" s="2804">
        <f t="shared" si="1"/>
        <v>-4.4852191641182463E-3</v>
      </c>
      <c r="M39" s="2804">
        <f t="shared" si="1"/>
        <v>0.16444808519352858</v>
      </c>
      <c r="N39" s="2804">
        <f t="shared" si="1"/>
        <v>0.1373549067886036</v>
      </c>
      <c r="O39" s="2804">
        <f t="shared" si="1"/>
        <v>-6.803773001391681E-3</v>
      </c>
      <c r="P39" s="2761">
        <f t="shared" si="1"/>
        <v>-0.3286626187139966</v>
      </c>
      <c r="Q39" s="2762">
        <f t="shared" si="2"/>
        <v>-0.12382696269169147</v>
      </c>
      <c r="R39" s="2805">
        <f t="shared" si="2"/>
        <v>8.881922675026124E-3</v>
      </c>
      <c r="S39" s="1753"/>
      <c r="T39" s="2806"/>
      <c r="U39" s="2806"/>
      <c r="V39" s="2806"/>
      <c r="W39" s="2806"/>
    </row>
    <row r="40" spans="1:25" x14ac:dyDescent="0.25">
      <c r="B40" s="2685"/>
      <c r="C40" s="2681"/>
      <c r="D40" s="17" t="s">
        <v>1043</v>
      </c>
      <c r="E40" s="2803">
        <v>6.8000000000000005E-2</v>
      </c>
      <c r="F40" s="2804">
        <f t="shared" si="1"/>
        <v>6.834285714285715E-2</v>
      </c>
      <c r="G40" s="2804">
        <f t="shared" si="1"/>
        <v>1.7543859649122806E-2</v>
      </c>
      <c r="H40" s="2804">
        <f t="shared" si="1"/>
        <v>-2.6282590412111017E-2</v>
      </c>
      <c r="I40" s="2804">
        <f t="shared" si="1"/>
        <v>-9.9762470308788598E-2</v>
      </c>
      <c r="J40" s="2804">
        <f t="shared" si="1"/>
        <v>0.12616934516670664</v>
      </c>
      <c r="K40" s="2804">
        <f t="shared" si="1"/>
        <v>-1.9595314164004261E-2</v>
      </c>
      <c r="L40" s="2804">
        <f t="shared" si="1"/>
        <v>-3.4977188789919615E-2</v>
      </c>
      <c r="M40" s="2804">
        <f t="shared" si="1"/>
        <v>-7.879333633498424E-2</v>
      </c>
      <c r="N40" s="2804">
        <f t="shared" si="1"/>
        <v>4.2766373411534699E-2</v>
      </c>
      <c r="O40" s="2804">
        <f t="shared" si="1"/>
        <v>-7.3588000937426762E-2</v>
      </c>
      <c r="P40" s="2761">
        <f t="shared" si="1"/>
        <v>-0.12117379205666583</v>
      </c>
      <c r="Q40" s="2762">
        <f t="shared" si="2"/>
        <v>-3.4524166916841792E-2</v>
      </c>
      <c r="R40" s="2805">
        <f t="shared" si="2"/>
        <v>-5.597014925373134E-3</v>
      </c>
      <c r="S40" s="1753"/>
      <c r="T40" s="2806"/>
      <c r="U40" s="2806"/>
      <c r="V40" s="2806"/>
      <c r="W40" s="2806"/>
    </row>
    <row r="41" spans="1:25" x14ac:dyDescent="0.25">
      <c r="B41" s="2685"/>
      <c r="C41" s="2681"/>
      <c r="D41" s="17" t="s">
        <v>25</v>
      </c>
      <c r="E41" s="2803">
        <v>0.02</v>
      </c>
      <c r="F41" s="2804">
        <f t="shared" si="1"/>
        <v>2.0137198495242311E-2</v>
      </c>
      <c r="G41" s="2804">
        <f t="shared" si="1"/>
        <v>-1.3882863340563991E-2</v>
      </c>
      <c r="H41" s="2804">
        <f t="shared" si="1"/>
        <v>9.2388913330400356E-3</v>
      </c>
      <c r="I41" s="2804">
        <f t="shared" si="1"/>
        <v>-1.6346992153443766E-2</v>
      </c>
      <c r="J41" s="2804">
        <f t="shared" si="1"/>
        <v>0.11256370485264791</v>
      </c>
      <c r="K41" s="2804">
        <f t="shared" si="1"/>
        <v>-5.2180840470025892E-2</v>
      </c>
      <c r="L41" s="2804">
        <f t="shared" si="1"/>
        <v>-1.113679344400084E-2</v>
      </c>
      <c r="M41" s="2804">
        <f t="shared" si="1"/>
        <v>5.6523586910327245E-2</v>
      </c>
      <c r="N41" s="2804">
        <f t="shared" si="1"/>
        <v>0.11041834271922768</v>
      </c>
      <c r="O41" s="2804">
        <f t="shared" si="1"/>
        <v>-0.12153595363158848</v>
      </c>
      <c r="P41" s="2761">
        <f t="shared" si="1"/>
        <v>-5.4639175257731959E-2</v>
      </c>
      <c r="Q41" s="2762">
        <f t="shared" si="2"/>
        <v>3.8904899135446688E-2</v>
      </c>
      <c r="R41" s="2805">
        <f t="shared" si="2"/>
        <v>-3.3287101248266296E-2</v>
      </c>
      <c r="S41" s="1753"/>
      <c r="T41" s="2806"/>
      <c r="U41" s="2806"/>
      <c r="V41" s="2806"/>
      <c r="W41" s="2806"/>
    </row>
    <row r="42" spans="1:25" x14ac:dyDescent="0.25">
      <c r="B42" s="899"/>
      <c r="C42" s="2681"/>
      <c r="D42" s="17" t="s">
        <v>1044</v>
      </c>
      <c r="E42" s="2803">
        <v>0.01</v>
      </c>
      <c r="F42" s="2804">
        <f t="shared" si="1"/>
        <v>9.5846645367412137E-3</v>
      </c>
      <c r="G42" s="2804">
        <f t="shared" si="1"/>
        <v>-9.9005424954792046E-2</v>
      </c>
      <c r="H42" s="2804">
        <f t="shared" si="1"/>
        <v>-1.8063221274460611E-2</v>
      </c>
      <c r="I42" s="2804">
        <f t="shared" si="1"/>
        <v>-0.10628513030148186</v>
      </c>
      <c r="J42" s="2804">
        <f t="shared" si="1"/>
        <v>9.6054888507718691E-2</v>
      </c>
      <c r="K42" s="2804">
        <f t="shared" si="1"/>
        <v>-3.7558685446009391E-2</v>
      </c>
      <c r="L42" s="2804">
        <f t="shared" si="1"/>
        <v>1.2466124661246613E-2</v>
      </c>
      <c r="M42" s="2804">
        <f t="shared" si="1"/>
        <v>-6.9593147751605994E-2</v>
      </c>
      <c r="N42" s="2804">
        <f t="shared" si="1"/>
        <v>6.0989643268124283E-2</v>
      </c>
      <c r="O42" s="2804">
        <f t="shared" si="1"/>
        <v>-4.8806941431670282E-2</v>
      </c>
      <c r="P42" s="2761">
        <f t="shared" si="1"/>
        <v>-0.10034207525655645</v>
      </c>
      <c r="Q42" s="2762">
        <f t="shared" si="2"/>
        <v>-7.6788830715532289E-2</v>
      </c>
      <c r="R42" s="2805">
        <f t="shared" si="2"/>
        <v>-3.0875866414618779E-2</v>
      </c>
      <c r="S42" s="1753"/>
      <c r="T42" s="2806"/>
      <c r="U42" s="2806"/>
      <c r="V42" s="2806"/>
      <c r="W42" s="2806"/>
    </row>
    <row r="43" spans="1:25" x14ac:dyDescent="0.25">
      <c r="B43" s="2636"/>
      <c r="C43" s="2681"/>
      <c r="D43" s="17" t="s">
        <v>27</v>
      </c>
      <c r="E43" s="2803">
        <v>7.6999999999999999E-2</v>
      </c>
      <c r="F43" s="2804">
        <f t="shared" si="1"/>
        <v>7.6607527433083786E-2</v>
      </c>
      <c r="G43" s="2804">
        <f t="shared" si="1"/>
        <v>-8.2587159458944556E-2</v>
      </c>
      <c r="H43" s="2804">
        <f t="shared" si="1"/>
        <v>-6.8736372131658188E-2</v>
      </c>
      <c r="I43" s="2804">
        <f t="shared" si="1"/>
        <v>-3.8577321886497935E-2</v>
      </c>
      <c r="J43" s="2804">
        <f t="shared" si="1"/>
        <v>1.7279369129073407E-2</v>
      </c>
      <c r="K43" s="2804">
        <f t="shared" si="1"/>
        <v>0.10328317373461013</v>
      </c>
      <c r="L43" s="2804">
        <f t="shared" si="1"/>
        <v>-3.9160983674312873E-2</v>
      </c>
      <c r="M43" s="2804">
        <f t="shared" si="1"/>
        <v>-1.5700612969136465E-2</v>
      </c>
      <c r="N43" s="2804">
        <f t="shared" si="1"/>
        <v>-4.1188681306675405E-2</v>
      </c>
      <c r="O43" s="2804">
        <f t="shared" si="1"/>
        <v>-8.1358249772105748E-2</v>
      </c>
      <c r="P43" s="2761">
        <f t="shared" si="1"/>
        <v>-8.5958819151575286E-2</v>
      </c>
      <c r="Q43" s="2762">
        <f t="shared" si="2"/>
        <v>-2.1037868162692847E-3</v>
      </c>
      <c r="R43" s="2805">
        <f t="shared" si="2"/>
        <v>-5.6219255094869993E-3</v>
      </c>
      <c r="S43" s="1753"/>
      <c r="T43" s="2806"/>
      <c r="U43" s="2806"/>
      <c r="V43" s="2806"/>
      <c r="W43" s="2806"/>
    </row>
    <row r="44" spans="1:25" x14ac:dyDescent="0.25">
      <c r="C44" s="2681"/>
      <c r="D44" s="602" t="s">
        <v>257</v>
      </c>
      <c r="E44" s="2763">
        <v>4.5999999999999999E-2</v>
      </c>
      <c r="F44" s="2763">
        <f t="shared" si="1"/>
        <v>4.5975272022881701E-2</v>
      </c>
      <c r="G44" s="2763">
        <f t="shared" si="1"/>
        <v>-1.5061417596249837E-2</v>
      </c>
      <c r="H44" s="2763">
        <f t="shared" si="1"/>
        <v>-4.2232211058229038E-2</v>
      </c>
      <c r="I44" s="2763">
        <f t="shared" si="1"/>
        <v>-2.1211331114553457E-2</v>
      </c>
      <c r="J44" s="2763">
        <f t="shared" si="1"/>
        <v>0.10492337585007365</v>
      </c>
      <c r="K44" s="2763">
        <f t="shared" si="1"/>
        <v>-3.0944209660492952E-2</v>
      </c>
      <c r="L44" s="2763">
        <f t="shared" si="1"/>
        <v>-3.1259146519932099E-2</v>
      </c>
      <c r="M44" s="2763">
        <f t="shared" si="1"/>
        <v>-2.5409390295486133E-2</v>
      </c>
      <c r="N44" s="2763">
        <f t="shared" si="1"/>
        <v>2.9032458071116346E-2</v>
      </c>
      <c r="O44" s="2763">
        <f t="shared" si="1"/>
        <v>-5.6306204527994938E-2</v>
      </c>
      <c r="P44" s="2763">
        <f t="shared" si="1"/>
        <v>-0.14416830276620538</v>
      </c>
      <c r="Q44" s="2764">
        <f t="shared" si="2"/>
        <v>-4.3067732922246846E-2</v>
      </c>
      <c r="R44" s="2807">
        <f t="shared" si="2"/>
        <v>9.0213451469995966E-3</v>
      </c>
      <c r="S44" s="1753"/>
      <c r="T44" s="2806"/>
      <c r="U44" s="2806"/>
      <c r="V44" s="2806"/>
      <c r="W44" s="2806"/>
    </row>
    <row r="46" spans="1:25" ht="12.75" customHeight="1" x14ac:dyDescent="0.25">
      <c r="A46" s="2358">
        <v>5</v>
      </c>
      <c r="B46" s="2358" t="s">
        <v>29</v>
      </c>
      <c r="C46" s="2681"/>
      <c r="D46" s="4420" t="s">
        <v>1181</v>
      </c>
      <c r="E46" s="4421"/>
      <c r="F46" s="4421"/>
      <c r="G46" s="4421"/>
      <c r="H46" s="4421"/>
      <c r="I46" s="4421"/>
      <c r="J46" s="4421"/>
      <c r="K46" s="4421"/>
      <c r="L46" s="4421"/>
      <c r="M46" s="4421"/>
      <c r="N46" s="4421"/>
      <c r="O46" s="4421"/>
      <c r="P46" s="4421"/>
      <c r="Q46" s="4421"/>
      <c r="R46" s="4421"/>
      <c r="S46" s="4422"/>
    </row>
    <row r="47" spans="1:25" ht="12.75" customHeight="1" x14ac:dyDescent="0.25">
      <c r="A47" s="2433">
        <v>6</v>
      </c>
      <c r="B47" s="2433" t="s">
        <v>32</v>
      </c>
      <c r="C47" s="2681"/>
      <c r="D47" s="4420" t="s">
        <v>1182</v>
      </c>
      <c r="E47" s="4421"/>
      <c r="F47" s="4421"/>
      <c r="G47" s="4421"/>
      <c r="H47" s="4421"/>
      <c r="I47" s="4421"/>
      <c r="J47" s="4421"/>
      <c r="K47" s="4421"/>
      <c r="L47" s="4421"/>
      <c r="M47" s="4421"/>
      <c r="N47" s="4421"/>
      <c r="O47" s="4421"/>
      <c r="P47" s="4421"/>
      <c r="Q47" s="4421"/>
      <c r="R47" s="4421"/>
      <c r="S47" s="4422"/>
    </row>
    <row r="48" spans="1:25" s="2472" customFormat="1" ht="12.75" customHeight="1" x14ac:dyDescent="0.2">
      <c r="A48" s="2358">
        <v>7</v>
      </c>
      <c r="B48" s="2358" t="s">
        <v>31</v>
      </c>
      <c r="C48" s="899"/>
      <c r="D48" s="4420" t="s">
        <v>1132</v>
      </c>
      <c r="E48" s="4421"/>
      <c r="F48" s="4421"/>
      <c r="G48" s="4421"/>
      <c r="H48" s="4421"/>
      <c r="I48" s="4421"/>
      <c r="J48" s="4421"/>
      <c r="K48" s="4421"/>
      <c r="L48" s="4421"/>
      <c r="M48" s="4421"/>
      <c r="N48" s="4421"/>
      <c r="O48" s="4421"/>
      <c r="P48" s="4421"/>
      <c r="Q48" s="4421"/>
      <c r="R48" s="4421"/>
      <c r="S48" s="4422"/>
    </row>
    <row r="49" spans="2:14" ht="15" customHeight="1" x14ac:dyDescent="0.25">
      <c r="C49" s="2358"/>
      <c r="F49" s="2357"/>
    </row>
    <row r="50" spans="2:14" ht="12.75" customHeight="1" x14ac:dyDescent="0.25">
      <c r="C50" s="2433"/>
      <c r="F50" s="2357"/>
    </row>
    <row r="51" spans="2:14" ht="12.75" customHeight="1" x14ac:dyDescent="0.25">
      <c r="C51" s="2358"/>
      <c r="F51" s="2357"/>
    </row>
    <row r="52" spans="2:14" ht="16.5" customHeight="1" x14ac:dyDescent="0.25">
      <c r="B52" s="2808" t="s">
        <v>1183</v>
      </c>
      <c r="C52" s="2809" t="s">
        <v>143</v>
      </c>
      <c r="D52" s="2809" t="s">
        <v>144</v>
      </c>
      <c r="E52" s="2809" t="s">
        <v>145</v>
      </c>
      <c r="F52" s="2809" t="s">
        <v>8</v>
      </c>
      <c r="G52" s="2809" t="s">
        <v>9</v>
      </c>
      <c r="H52" s="2809" t="s">
        <v>10</v>
      </c>
      <c r="I52" s="2810" t="s">
        <v>11</v>
      </c>
      <c r="J52" s="2810" t="s">
        <v>12</v>
      </c>
      <c r="K52" s="2810" t="s">
        <v>13</v>
      </c>
      <c r="L52" s="2810" t="s">
        <v>14</v>
      </c>
      <c r="M52" s="2810" t="s">
        <v>15</v>
      </c>
      <c r="N52" s="2810" t="s">
        <v>333</v>
      </c>
    </row>
    <row r="53" spans="2:14" x14ac:dyDescent="0.25">
      <c r="B53" s="2808" t="s">
        <v>1151</v>
      </c>
      <c r="C53" s="2811">
        <v>65201</v>
      </c>
      <c r="D53" s="2811">
        <v>63818</v>
      </c>
      <c r="E53" s="2811">
        <v>70514</v>
      </c>
      <c r="F53" s="2811">
        <v>68332</v>
      </c>
      <c r="G53" s="2811">
        <v>66196</v>
      </c>
      <c r="H53" s="2811">
        <v>64514</v>
      </c>
      <c r="I53" s="2811">
        <v>66387</v>
      </c>
      <c r="J53" s="2811">
        <v>62649</v>
      </c>
      <c r="K53" s="2811">
        <v>53617</v>
      </c>
      <c r="L53" s="2811">
        <v>51895</v>
      </c>
      <c r="M53" s="2811">
        <v>49660</v>
      </c>
      <c r="N53" s="2811">
        <v>50108</v>
      </c>
    </row>
    <row r="54" spans="2:14" ht="75" x14ac:dyDescent="0.25">
      <c r="B54" s="2812" t="s">
        <v>1184</v>
      </c>
      <c r="C54" s="2813">
        <v>134.82571521464288</v>
      </c>
      <c r="D54" s="2813">
        <v>130.26683024641071</v>
      </c>
      <c r="E54" s="2813">
        <v>142.03350564921692</v>
      </c>
      <c r="F54" s="2813">
        <v>135.77990292035815</v>
      </c>
      <c r="G54" s="2813">
        <v>129.72048694851287</v>
      </c>
      <c r="H54" s="2813">
        <v>124.64173839102422</v>
      </c>
      <c r="I54" s="2813">
        <v>126.40841556659892</v>
      </c>
      <c r="J54" s="2813">
        <v>117.53037073875666</v>
      </c>
      <c r="K54" s="2813">
        <v>99.070023437985171</v>
      </c>
      <c r="L54" s="2813">
        <v>94.414143546077824</v>
      </c>
      <c r="M54" s="2808">
        <v>88.8</v>
      </c>
      <c r="N54" s="2813">
        <f>(N53/56753327)*100000</f>
        <v>88.29085914205524</v>
      </c>
    </row>
  </sheetData>
  <mergeCells count="9">
    <mergeCell ref="D2:S2"/>
    <mergeCell ref="D48:S48"/>
    <mergeCell ref="D46:S46"/>
    <mergeCell ref="D47:S47"/>
    <mergeCell ref="D3:S3"/>
    <mergeCell ref="D4:S4"/>
    <mergeCell ref="D5:M5"/>
    <mergeCell ref="E20:M20"/>
    <mergeCell ref="E33:M33"/>
  </mergeCells>
  <pageMargins left="0.74803149606299213" right="0.74803149606299213" top="0.98425196850393704" bottom="0.98425196850393704" header="0.51181102362204722" footer="0.51181102362204722"/>
  <pageSetup paperSize="9" scale="58"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M63"/>
  <sheetViews>
    <sheetView showGridLines="0" view="pageBreakPreview" zoomScaleNormal="100" zoomScaleSheetLayoutView="100" workbookViewId="0">
      <selection activeCell="D4" sqref="D4:U4"/>
    </sheetView>
  </sheetViews>
  <sheetFormatPr defaultColWidth="9.140625" defaultRowHeight="15" x14ac:dyDescent="0.2"/>
  <cols>
    <col min="1" max="1" width="3.7109375" style="686" customWidth="1"/>
    <col min="2" max="2" width="11.5703125" style="2420" customWidth="1"/>
    <col min="3" max="3" width="6.7109375" style="2420" customWidth="1"/>
    <col min="4" max="4" width="21.85546875" style="2814" customWidth="1"/>
    <col min="5" max="5" width="12" style="2814" customWidth="1"/>
    <col min="6" max="6" width="8" style="2814" customWidth="1"/>
    <col min="7" max="7" width="8.140625" style="2814" customWidth="1"/>
    <col min="8" max="8" width="8.28515625" style="2814" customWidth="1"/>
    <col min="9" max="12" width="8.7109375" style="2814" customWidth="1"/>
    <col min="13" max="14" width="9.42578125" style="2814" customWidth="1"/>
    <col min="15" max="15" width="8.85546875" style="2814" customWidth="1"/>
    <col min="16" max="16" width="8.5703125" style="2814" customWidth="1"/>
    <col min="17" max="17" width="8.140625" style="2814" customWidth="1"/>
    <col min="18" max="18" width="7.7109375" style="2814" customWidth="1"/>
    <col min="19" max="19" width="7.140625" style="2814" customWidth="1"/>
    <col min="20" max="20" width="6.85546875" style="2814" customWidth="1"/>
    <col min="21" max="21" width="8.28515625" style="2814" customWidth="1"/>
    <col min="22" max="260" width="9.140625" style="2814"/>
    <col min="261" max="261" width="3.7109375" style="2814" customWidth="1"/>
    <col min="262" max="262" width="14.42578125" style="2814" customWidth="1"/>
    <col min="263" max="263" width="4" style="2814" customWidth="1"/>
    <col min="264" max="264" width="22.42578125" style="2814" customWidth="1"/>
    <col min="265" max="265" width="11.5703125" style="2814" customWidth="1"/>
    <col min="266" max="275" width="8.7109375" style="2814" customWidth="1"/>
    <col min="276" max="516" width="9.140625" style="2814"/>
    <col min="517" max="517" width="3.7109375" style="2814" customWidth="1"/>
    <col min="518" max="518" width="14.42578125" style="2814" customWidth="1"/>
    <col min="519" max="519" width="4" style="2814" customWidth="1"/>
    <col min="520" max="520" width="22.42578125" style="2814" customWidth="1"/>
    <col min="521" max="521" width="11.5703125" style="2814" customWidth="1"/>
    <col min="522" max="531" width="8.7109375" style="2814" customWidth="1"/>
    <col min="532" max="772" width="9.140625" style="2814"/>
    <col min="773" max="773" width="3.7109375" style="2814" customWidth="1"/>
    <col min="774" max="774" width="14.42578125" style="2814" customWidth="1"/>
    <col min="775" max="775" width="4" style="2814" customWidth="1"/>
    <col min="776" max="776" width="22.42578125" style="2814" customWidth="1"/>
    <col min="777" max="777" width="11.5703125" style="2814" customWidth="1"/>
    <col min="778" max="787" width="8.7109375" style="2814" customWidth="1"/>
    <col min="788" max="1028" width="9.140625" style="2814"/>
    <col min="1029" max="1029" width="3.7109375" style="2814" customWidth="1"/>
    <col min="1030" max="1030" width="14.42578125" style="2814" customWidth="1"/>
    <col min="1031" max="1031" width="4" style="2814" customWidth="1"/>
    <col min="1032" max="1032" width="22.42578125" style="2814" customWidth="1"/>
    <col min="1033" max="1033" width="11.5703125" style="2814" customWidth="1"/>
    <col min="1034" max="1043" width="8.7109375" style="2814" customWidth="1"/>
    <col min="1044" max="1284" width="9.140625" style="2814"/>
    <col min="1285" max="1285" width="3.7109375" style="2814" customWidth="1"/>
    <col min="1286" max="1286" width="14.42578125" style="2814" customWidth="1"/>
    <col min="1287" max="1287" width="4" style="2814" customWidth="1"/>
    <col min="1288" max="1288" width="22.42578125" style="2814" customWidth="1"/>
    <col min="1289" max="1289" width="11.5703125" style="2814" customWidth="1"/>
    <col min="1290" max="1299" width="8.7109375" style="2814" customWidth="1"/>
    <col min="1300" max="1540" width="9.140625" style="2814"/>
    <col min="1541" max="1541" width="3.7109375" style="2814" customWidth="1"/>
    <col min="1542" max="1542" width="14.42578125" style="2814" customWidth="1"/>
    <col min="1543" max="1543" width="4" style="2814" customWidth="1"/>
    <col min="1544" max="1544" width="22.42578125" style="2814" customWidth="1"/>
    <col min="1545" max="1545" width="11.5703125" style="2814" customWidth="1"/>
    <col min="1546" max="1555" width="8.7109375" style="2814" customWidth="1"/>
    <col min="1556" max="1796" width="9.140625" style="2814"/>
    <col min="1797" max="1797" width="3.7109375" style="2814" customWidth="1"/>
    <col min="1798" max="1798" width="14.42578125" style="2814" customWidth="1"/>
    <col min="1799" max="1799" width="4" style="2814" customWidth="1"/>
    <col min="1800" max="1800" width="22.42578125" style="2814" customWidth="1"/>
    <col min="1801" max="1801" width="11.5703125" style="2814" customWidth="1"/>
    <col min="1802" max="1811" width="8.7109375" style="2814" customWidth="1"/>
    <col min="1812" max="2052" width="9.140625" style="2814"/>
    <col min="2053" max="2053" width="3.7109375" style="2814" customWidth="1"/>
    <col min="2054" max="2054" width="14.42578125" style="2814" customWidth="1"/>
    <col min="2055" max="2055" width="4" style="2814" customWidth="1"/>
    <col min="2056" max="2056" width="22.42578125" style="2814" customWidth="1"/>
    <col min="2057" max="2057" width="11.5703125" style="2814" customWidth="1"/>
    <col min="2058" max="2067" width="8.7109375" style="2814" customWidth="1"/>
    <col min="2068" max="2308" width="9.140625" style="2814"/>
    <col min="2309" max="2309" width="3.7109375" style="2814" customWidth="1"/>
    <col min="2310" max="2310" width="14.42578125" style="2814" customWidth="1"/>
    <col min="2311" max="2311" width="4" style="2814" customWidth="1"/>
    <col min="2312" max="2312" width="22.42578125" style="2814" customWidth="1"/>
    <col min="2313" max="2313" width="11.5703125" style="2814" customWidth="1"/>
    <col min="2314" max="2323" width="8.7109375" style="2814" customWidth="1"/>
    <col min="2324" max="2564" width="9.140625" style="2814"/>
    <col min="2565" max="2565" width="3.7109375" style="2814" customWidth="1"/>
    <col min="2566" max="2566" width="14.42578125" style="2814" customWidth="1"/>
    <col min="2567" max="2567" width="4" style="2814" customWidth="1"/>
    <col min="2568" max="2568" width="22.42578125" style="2814" customWidth="1"/>
    <col min="2569" max="2569" width="11.5703125" style="2814" customWidth="1"/>
    <col min="2570" max="2579" width="8.7109375" style="2814" customWidth="1"/>
    <col min="2580" max="2820" width="9.140625" style="2814"/>
    <col min="2821" max="2821" width="3.7109375" style="2814" customWidth="1"/>
    <col min="2822" max="2822" width="14.42578125" style="2814" customWidth="1"/>
    <col min="2823" max="2823" width="4" style="2814" customWidth="1"/>
    <col min="2824" max="2824" width="22.42578125" style="2814" customWidth="1"/>
    <col min="2825" max="2825" width="11.5703125" style="2814" customWidth="1"/>
    <col min="2826" max="2835" width="8.7109375" style="2814" customWidth="1"/>
    <col min="2836" max="3076" width="9.140625" style="2814"/>
    <col min="3077" max="3077" width="3.7109375" style="2814" customWidth="1"/>
    <col min="3078" max="3078" width="14.42578125" style="2814" customWidth="1"/>
    <col min="3079" max="3079" width="4" style="2814" customWidth="1"/>
    <col min="3080" max="3080" width="22.42578125" style="2814" customWidth="1"/>
    <col min="3081" max="3081" width="11.5703125" style="2814" customWidth="1"/>
    <col min="3082" max="3091" width="8.7109375" style="2814" customWidth="1"/>
    <col min="3092" max="3332" width="9.140625" style="2814"/>
    <col min="3333" max="3333" width="3.7109375" style="2814" customWidth="1"/>
    <col min="3334" max="3334" width="14.42578125" style="2814" customWidth="1"/>
    <col min="3335" max="3335" width="4" style="2814" customWidth="1"/>
    <col min="3336" max="3336" width="22.42578125" style="2814" customWidth="1"/>
    <col min="3337" max="3337" width="11.5703125" style="2814" customWidth="1"/>
    <col min="3338" max="3347" width="8.7109375" style="2814" customWidth="1"/>
    <col min="3348" max="3588" width="9.140625" style="2814"/>
    <col min="3589" max="3589" width="3.7109375" style="2814" customWidth="1"/>
    <col min="3590" max="3590" width="14.42578125" style="2814" customWidth="1"/>
    <col min="3591" max="3591" width="4" style="2814" customWidth="1"/>
    <col min="3592" max="3592" width="22.42578125" style="2814" customWidth="1"/>
    <col min="3593" max="3593" width="11.5703125" style="2814" customWidth="1"/>
    <col min="3594" max="3603" width="8.7109375" style="2814" customWidth="1"/>
    <col min="3604" max="3844" width="9.140625" style="2814"/>
    <col min="3845" max="3845" width="3.7109375" style="2814" customWidth="1"/>
    <col min="3846" max="3846" width="14.42578125" style="2814" customWidth="1"/>
    <col min="3847" max="3847" width="4" style="2814" customWidth="1"/>
    <col min="3848" max="3848" width="22.42578125" style="2814" customWidth="1"/>
    <col min="3849" max="3849" width="11.5703125" style="2814" customWidth="1"/>
    <col min="3850" max="3859" width="8.7109375" style="2814" customWidth="1"/>
    <col min="3860" max="4100" width="9.140625" style="2814"/>
    <col min="4101" max="4101" width="3.7109375" style="2814" customWidth="1"/>
    <col min="4102" max="4102" width="14.42578125" style="2814" customWidth="1"/>
    <col min="4103" max="4103" width="4" style="2814" customWidth="1"/>
    <col min="4104" max="4104" width="22.42578125" style="2814" customWidth="1"/>
    <col min="4105" max="4105" width="11.5703125" style="2814" customWidth="1"/>
    <col min="4106" max="4115" width="8.7109375" style="2814" customWidth="1"/>
    <col min="4116" max="4356" width="9.140625" style="2814"/>
    <col min="4357" max="4357" width="3.7109375" style="2814" customWidth="1"/>
    <col min="4358" max="4358" width="14.42578125" style="2814" customWidth="1"/>
    <col min="4359" max="4359" width="4" style="2814" customWidth="1"/>
    <col min="4360" max="4360" width="22.42578125" style="2814" customWidth="1"/>
    <col min="4361" max="4361" width="11.5703125" style="2814" customWidth="1"/>
    <col min="4362" max="4371" width="8.7109375" style="2814" customWidth="1"/>
    <col min="4372" max="4612" width="9.140625" style="2814"/>
    <col min="4613" max="4613" width="3.7109375" style="2814" customWidth="1"/>
    <col min="4614" max="4614" width="14.42578125" style="2814" customWidth="1"/>
    <col min="4615" max="4615" width="4" style="2814" customWidth="1"/>
    <col min="4616" max="4616" width="22.42578125" style="2814" customWidth="1"/>
    <col min="4617" max="4617" width="11.5703125" style="2814" customWidth="1"/>
    <col min="4618" max="4627" width="8.7109375" style="2814" customWidth="1"/>
    <col min="4628" max="4868" width="9.140625" style="2814"/>
    <col min="4869" max="4869" width="3.7109375" style="2814" customWidth="1"/>
    <col min="4870" max="4870" width="14.42578125" style="2814" customWidth="1"/>
    <col min="4871" max="4871" width="4" style="2814" customWidth="1"/>
    <col min="4872" max="4872" width="22.42578125" style="2814" customWidth="1"/>
    <col min="4873" max="4873" width="11.5703125" style="2814" customWidth="1"/>
    <col min="4874" max="4883" width="8.7109375" style="2814" customWidth="1"/>
    <col min="4884" max="5124" width="9.140625" style="2814"/>
    <col min="5125" max="5125" width="3.7109375" style="2814" customWidth="1"/>
    <col min="5126" max="5126" width="14.42578125" style="2814" customWidth="1"/>
    <col min="5127" max="5127" width="4" style="2814" customWidth="1"/>
    <col min="5128" max="5128" width="22.42578125" style="2814" customWidth="1"/>
    <col min="5129" max="5129" width="11.5703125" style="2814" customWidth="1"/>
    <col min="5130" max="5139" width="8.7109375" style="2814" customWidth="1"/>
    <col min="5140" max="5380" width="9.140625" style="2814"/>
    <col min="5381" max="5381" width="3.7109375" style="2814" customWidth="1"/>
    <col min="5382" max="5382" width="14.42578125" style="2814" customWidth="1"/>
    <col min="5383" max="5383" width="4" style="2814" customWidth="1"/>
    <col min="5384" max="5384" width="22.42578125" style="2814" customWidth="1"/>
    <col min="5385" max="5385" width="11.5703125" style="2814" customWidth="1"/>
    <col min="5386" max="5395" width="8.7109375" style="2814" customWidth="1"/>
    <col min="5396" max="5636" width="9.140625" style="2814"/>
    <col min="5637" max="5637" width="3.7109375" style="2814" customWidth="1"/>
    <col min="5638" max="5638" width="14.42578125" style="2814" customWidth="1"/>
    <col min="5639" max="5639" width="4" style="2814" customWidth="1"/>
    <col min="5640" max="5640" width="22.42578125" style="2814" customWidth="1"/>
    <col min="5641" max="5641" width="11.5703125" style="2814" customWidth="1"/>
    <col min="5642" max="5651" width="8.7109375" style="2814" customWidth="1"/>
    <col min="5652" max="5892" width="9.140625" style="2814"/>
    <col min="5893" max="5893" width="3.7109375" style="2814" customWidth="1"/>
    <col min="5894" max="5894" width="14.42578125" style="2814" customWidth="1"/>
    <col min="5895" max="5895" width="4" style="2814" customWidth="1"/>
    <col min="5896" max="5896" width="22.42578125" style="2814" customWidth="1"/>
    <col min="5897" max="5897" width="11.5703125" style="2814" customWidth="1"/>
    <col min="5898" max="5907" width="8.7109375" style="2814" customWidth="1"/>
    <col min="5908" max="6148" width="9.140625" style="2814"/>
    <col min="6149" max="6149" width="3.7109375" style="2814" customWidth="1"/>
    <col min="6150" max="6150" width="14.42578125" style="2814" customWidth="1"/>
    <col min="6151" max="6151" width="4" style="2814" customWidth="1"/>
    <col min="6152" max="6152" width="22.42578125" style="2814" customWidth="1"/>
    <col min="6153" max="6153" width="11.5703125" style="2814" customWidth="1"/>
    <col min="6154" max="6163" width="8.7109375" style="2814" customWidth="1"/>
    <col min="6164" max="6404" width="9.140625" style="2814"/>
    <col min="6405" max="6405" width="3.7109375" style="2814" customWidth="1"/>
    <col min="6406" max="6406" width="14.42578125" style="2814" customWidth="1"/>
    <col min="6407" max="6407" width="4" style="2814" customWidth="1"/>
    <col min="6408" max="6408" width="22.42578125" style="2814" customWidth="1"/>
    <col min="6409" max="6409" width="11.5703125" style="2814" customWidth="1"/>
    <col min="6410" max="6419" width="8.7109375" style="2814" customWidth="1"/>
    <col min="6420" max="6660" width="9.140625" style="2814"/>
    <col min="6661" max="6661" width="3.7109375" style="2814" customWidth="1"/>
    <col min="6662" max="6662" width="14.42578125" style="2814" customWidth="1"/>
    <col min="6663" max="6663" width="4" style="2814" customWidth="1"/>
    <col min="6664" max="6664" width="22.42578125" style="2814" customWidth="1"/>
    <col min="6665" max="6665" width="11.5703125" style="2814" customWidth="1"/>
    <col min="6666" max="6675" width="8.7109375" style="2814" customWidth="1"/>
    <col min="6676" max="6916" width="9.140625" style="2814"/>
    <col min="6917" max="6917" width="3.7109375" style="2814" customWidth="1"/>
    <col min="6918" max="6918" width="14.42578125" style="2814" customWidth="1"/>
    <col min="6919" max="6919" width="4" style="2814" customWidth="1"/>
    <col min="6920" max="6920" width="22.42578125" style="2814" customWidth="1"/>
    <col min="6921" max="6921" width="11.5703125" style="2814" customWidth="1"/>
    <col min="6922" max="6931" width="8.7109375" style="2814" customWidth="1"/>
    <col min="6932" max="7172" width="9.140625" style="2814"/>
    <col min="7173" max="7173" width="3.7109375" style="2814" customWidth="1"/>
    <col min="7174" max="7174" width="14.42578125" style="2814" customWidth="1"/>
    <col min="7175" max="7175" width="4" style="2814" customWidth="1"/>
    <col min="7176" max="7176" width="22.42578125" style="2814" customWidth="1"/>
    <col min="7177" max="7177" width="11.5703125" style="2814" customWidth="1"/>
    <col min="7178" max="7187" width="8.7109375" style="2814" customWidth="1"/>
    <col min="7188" max="7428" width="9.140625" style="2814"/>
    <col min="7429" max="7429" width="3.7109375" style="2814" customWidth="1"/>
    <col min="7430" max="7430" width="14.42578125" style="2814" customWidth="1"/>
    <col min="7431" max="7431" width="4" style="2814" customWidth="1"/>
    <col min="7432" max="7432" width="22.42578125" style="2814" customWidth="1"/>
    <col min="7433" max="7433" width="11.5703125" style="2814" customWidth="1"/>
    <col min="7434" max="7443" width="8.7109375" style="2814" customWidth="1"/>
    <col min="7444" max="7684" width="9.140625" style="2814"/>
    <col min="7685" max="7685" width="3.7109375" style="2814" customWidth="1"/>
    <col min="7686" max="7686" width="14.42578125" style="2814" customWidth="1"/>
    <col min="7687" max="7687" width="4" style="2814" customWidth="1"/>
    <col min="7688" max="7688" width="22.42578125" style="2814" customWidth="1"/>
    <col min="7689" max="7689" width="11.5703125" style="2814" customWidth="1"/>
    <col min="7690" max="7699" width="8.7109375" style="2814" customWidth="1"/>
    <col min="7700" max="7940" width="9.140625" style="2814"/>
    <col min="7941" max="7941" width="3.7109375" style="2814" customWidth="1"/>
    <col min="7942" max="7942" width="14.42578125" style="2814" customWidth="1"/>
    <col min="7943" max="7943" width="4" style="2814" customWidth="1"/>
    <col min="7944" max="7944" width="22.42578125" style="2814" customWidth="1"/>
    <col min="7945" max="7945" width="11.5703125" style="2814" customWidth="1"/>
    <col min="7946" max="7955" width="8.7109375" style="2814" customWidth="1"/>
    <col min="7956" max="8196" width="9.140625" style="2814"/>
    <col min="8197" max="8197" width="3.7109375" style="2814" customWidth="1"/>
    <col min="8198" max="8198" width="14.42578125" style="2814" customWidth="1"/>
    <col min="8199" max="8199" width="4" style="2814" customWidth="1"/>
    <col min="8200" max="8200" width="22.42578125" style="2814" customWidth="1"/>
    <col min="8201" max="8201" width="11.5703125" style="2814" customWidth="1"/>
    <col min="8202" max="8211" width="8.7109375" style="2814" customWidth="1"/>
    <col min="8212" max="8452" width="9.140625" style="2814"/>
    <col min="8453" max="8453" width="3.7109375" style="2814" customWidth="1"/>
    <col min="8454" max="8454" width="14.42578125" style="2814" customWidth="1"/>
    <col min="8455" max="8455" width="4" style="2814" customWidth="1"/>
    <col min="8456" max="8456" width="22.42578125" style="2814" customWidth="1"/>
    <col min="8457" max="8457" width="11.5703125" style="2814" customWidth="1"/>
    <col min="8458" max="8467" width="8.7109375" style="2814" customWidth="1"/>
    <col min="8468" max="8708" width="9.140625" style="2814"/>
    <col min="8709" max="8709" width="3.7109375" style="2814" customWidth="1"/>
    <col min="8710" max="8710" width="14.42578125" style="2814" customWidth="1"/>
    <col min="8711" max="8711" width="4" style="2814" customWidth="1"/>
    <col min="8712" max="8712" width="22.42578125" style="2814" customWidth="1"/>
    <col min="8713" max="8713" width="11.5703125" style="2814" customWidth="1"/>
    <col min="8714" max="8723" width="8.7109375" style="2814" customWidth="1"/>
    <col min="8724" max="8964" width="9.140625" style="2814"/>
    <col min="8965" max="8965" width="3.7109375" style="2814" customWidth="1"/>
    <col min="8966" max="8966" width="14.42578125" style="2814" customWidth="1"/>
    <col min="8967" max="8967" width="4" style="2814" customWidth="1"/>
    <col min="8968" max="8968" width="22.42578125" style="2814" customWidth="1"/>
    <col min="8969" max="8969" width="11.5703125" style="2814" customWidth="1"/>
    <col min="8970" max="8979" width="8.7109375" style="2814" customWidth="1"/>
    <col min="8980" max="9220" width="9.140625" style="2814"/>
    <col min="9221" max="9221" width="3.7109375" style="2814" customWidth="1"/>
    <col min="9222" max="9222" width="14.42578125" style="2814" customWidth="1"/>
    <col min="9223" max="9223" width="4" style="2814" customWidth="1"/>
    <col min="9224" max="9224" width="22.42578125" style="2814" customWidth="1"/>
    <col min="9225" max="9225" width="11.5703125" style="2814" customWidth="1"/>
    <col min="9226" max="9235" width="8.7109375" style="2814" customWidth="1"/>
    <col min="9236" max="9476" width="9.140625" style="2814"/>
    <col min="9477" max="9477" width="3.7109375" style="2814" customWidth="1"/>
    <col min="9478" max="9478" width="14.42578125" style="2814" customWidth="1"/>
    <col min="9479" max="9479" width="4" style="2814" customWidth="1"/>
    <col min="9480" max="9480" width="22.42578125" style="2814" customWidth="1"/>
    <col min="9481" max="9481" width="11.5703125" style="2814" customWidth="1"/>
    <col min="9482" max="9491" width="8.7109375" style="2814" customWidth="1"/>
    <col min="9492" max="9732" width="9.140625" style="2814"/>
    <col min="9733" max="9733" width="3.7109375" style="2814" customWidth="1"/>
    <col min="9734" max="9734" width="14.42578125" style="2814" customWidth="1"/>
    <col min="9735" max="9735" width="4" style="2814" customWidth="1"/>
    <col min="9736" max="9736" width="22.42578125" style="2814" customWidth="1"/>
    <col min="9737" max="9737" width="11.5703125" style="2814" customWidth="1"/>
    <col min="9738" max="9747" width="8.7109375" style="2814" customWidth="1"/>
    <col min="9748" max="9988" width="9.140625" style="2814"/>
    <col min="9989" max="9989" width="3.7109375" style="2814" customWidth="1"/>
    <col min="9990" max="9990" width="14.42578125" style="2814" customWidth="1"/>
    <col min="9991" max="9991" width="4" style="2814" customWidth="1"/>
    <col min="9992" max="9992" width="22.42578125" style="2814" customWidth="1"/>
    <col min="9993" max="9993" width="11.5703125" style="2814" customWidth="1"/>
    <col min="9994" max="10003" width="8.7109375" style="2814" customWidth="1"/>
    <col min="10004" max="10244" width="9.140625" style="2814"/>
    <col min="10245" max="10245" width="3.7109375" style="2814" customWidth="1"/>
    <col min="10246" max="10246" width="14.42578125" style="2814" customWidth="1"/>
    <col min="10247" max="10247" width="4" style="2814" customWidth="1"/>
    <col min="10248" max="10248" width="22.42578125" style="2814" customWidth="1"/>
    <col min="10249" max="10249" width="11.5703125" style="2814" customWidth="1"/>
    <col min="10250" max="10259" width="8.7109375" style="2814" customWidth="1"/>
    <col min="10260" max="10500" width="9.140625" style="2814"/>
    <col min="10501" max="10501" width="3.7109375" style="2814" customWidth="1"/>
    <col min="10502" max="10502" width="14.42578125" style="2814" customWidth="1"/>
    <col min="10503" max="10503" width="4" style="2814" customWidth="1"/>
    <col min="10504" max="10504" width="22.42578125" style="2814" customWidth="1"/>
    <col min="10505" max="10505" width="11.5703125" style="2814" customWidth="1"/>
    <col min="10506" max="10515" width="8.7109375" style="2814" customWidth="1"/>
    <col min="10516" max="10756" width="9.140625" style="2814"/>
    <col min="10757" max="10757" width="3.7109375" style="2814" customWidth="1"/>
    <col min="10758" max="10758" width="14.42578125" style="2814" customWidth="1"/>
    <col min="10759" max="10759" width="4" style="2814" customWidth="1"/>
    <col min="10760" max="10760" width="22.42578125" style="2814" customWidth="1"/>
    <col min="10761" max="10761" width="11.5703125" style="2814" customWidth="1"/>
    <col min="10762" max="10771" width="8.7109375" style="2814" customWidth="1"/>
    <col min="10772" max="11012" width="9.140625" style="2814"/>
    <col min="11013" max="11013" width="3.7109375" style="2814" customWidth="1"/>
    <col min="11014" max="11014" width="14.42578125" style="2814" customWidth="1"/>
    <col min="11015" max="11015" width="4" style="2814" customWidth="1"/>
    <col min="11016" max="11016" width="22.42578125" style="2814" customWidth="1"/>
    <col min="11017" max="11017" width="11.5703125" style="2814" customWidth="1"/>
    <col min="11018" max="11027" width="8.7109375" style="2814" customWidth="1"/>
    <col min="11028" max="11268" width="9.140625" style="2814"/>
    <col min="11269" max="11269" width="3.7109375" style="2814" customWidth="1"/>
    <col min="11270" max="11270" width="14.42578125" style="2814" customWidth="1"/>
    <col min="11271" max="11271" width="4" style="2814" customWidth="1"/>
    <col min="11272" max="11272" width="22.42578125" style="2814" customWidth="1"/>
    <col min="11273" max="11273" width="11.5703125" style="2814" customWidth="1"/>
    <col min="11274" max="11283" width="8.7109375" style="2814" customWidth="1"/>
    <col min="11284" max="11524" width="9.140625" style="2814"/>
    <col min="11525" max="11525" width="3.7109375" style="2814" customWidth="1"/>
    <col min="11526" max="11526" width="14.42578125" style="2814" customWidth="1"/>
    <col min="11527" max="11527" width="4" style="2814" customWidth="1"/>
    <col min="11528" max="11528" width="22.42578125" style="2814" customWidth="1"/>
    <col min="11529" max="11529" width="11.5703125" style="2814" customWidth="1"/>
    <col min="11530" max="11539" width="8.7109375" style="2814" customWidth="1"/>
    <col min="11540" max="11780" width="9.140625" style="2814"/>
    <col min="11781" max="11781" width="3.7109375" style="2814" customWidth="1"/>
    <col min="11782" max="11782" width="14.42578125" style="2814" customWidth="1"/>
    <col min="11783" max="11783" width="4" style="2814" customWidth="1"/>
    <col min="11784" max="11784" width="22.42578125" style="2814" customWidth="1"/>
    <col min="11785" max="11785" width="11.5703125" style="2814" customWidth="1"/>
    <col min="11786" max="11795" width="8.7109375" style="2814" customWidth="1"/>
    <col min="11796" max="12036" width="9.140625" style="2814"/>
    <col min="12037" max="12037" width="3.7109375" style="2814" customWidth="1"/>
    <col min="12038" max="12038" width="14.42578125" style="2814" customWidth="1"/>
    <col min="12039" max="12039" width="4" style="2814" customWidth="1"/>
    <col min="12040" max="12040" width="22.42578125" style="2814" customWidth="1"/>
    <col min="12041" max="12041" width="11.5703125" style="2814" customWidth="1"/>
    <col min="12042" max="12051" width="8.7109375" style="2814" customWidth="1"/>
    <col min="12052" max="12292" width="9.140625" style="2814"/>
    <col min="12293" max="12293" width="3.7109375" style="2814" customWidth="1"/>
    <col min="12294" max="12294" width="14.42578125" style="2814" customWidth="1"/>
    <col min="12295" max="12295" width="4" style="2814" customWidth="1"/>
    <col min="12296" max="12296" width="22.42578125" style="2814" customWidth="1"/>
    <col min="12297" max="12297" width="11.5703125" style="2814" customWidth="1"/>
    <col min="12298" max="12307" width="8.7109375" style="2814" customWidth="1"/>
    <col min="12308" max="12548" width="9.140625" style="2814"/>
    <col min="12549" max="12549" width="3.7109375" style="2814" customWidth="1"/>
    <col min="12550" max="12550" width="14.42578125" style="2814" customWidth="1"/>
    <col min="12551" max="12551" width="4" style="2814" customWidth="1"/>
    <col min="12552" max="12552" width="22.42578125" style="2814" customWidth="1"/>
    <col min="12553" max="12553" width="11.5703125" style="2814" customWidth="1"/>
    <col min="12554" max="12563" width="8.7109375" style="2814" customWidth="1"/>
    <col min="12564" max="12804" width="9.140625" style="2814"/>
    <col min="12805" max="12805" width="3.7109375" style="2814" customWidth="1"/>
    <col min="12806" max="12806" width="14.42578125" style="2814" customWidth="1"/>
    <col min="12807" max="12807" width="4" style="2814" customWidth="1"/>
    <col min="12808" max="12808" width="22.42578125" style="2814" customWidth="1"/>
    <col min="12809" max="12809" width="11.5703125" style="2814" customWidth="1"/>
    <col min="12810" max="12819" width="8.7109375" style="2814" customWidth="1"/>
    <col min="12820" max="13060" width="9.140625" style="2814"/>
    <col min="13061" max="13061" width="3.7109375" style="2814" customWidth="1"/>
    <col min="13062" max="13062" width="14.42578125" style="2814" customWidth="1"/>
    <col min="13063" max="13063" width="4" style="2814" customWidth="1"/>
    <col min="13064" max="13064" width="22.42578125" style="2814" customWidth="1"/>
    <col min="13065" max="13065" width="11.5703125" style="2814" customWidth="1"/>
    <col min="13066" max="13075" width="8.7109375" style="2814" customWidth="1"/>
    <col min="13076" max="13316" width="9.140625" style="2814"/>
    <col min="13317" max="13317" width="3.7109375" style="2814" customWidth="1"/>
    <col min="13318" max="13318" width="14.42578125" style="2814" customWidth="1"/>
    <col min="13319" max="13319" width="4" style="2814" customWidth="1"/>
    <col min="13320" max="13320" width="22.42578125" style="2814" customWidth="1"/>
    <col min="13321" max="13321" width="11.5703125" style="2814" customWidth="1"/>
    <col min="13322" max="13331" width="8.7109375" style="2814" customWidth="1"/>
    <col min="13332" max="13572" width="9.140625" style="2814"/>
    <col min="13573" max="13573" width="3.7109375" style="2814" customWidth="1"/>
    <col min="13574" max="13574" width="14.42578125" style="2814" customWidth="1"/>
    <col min="13575" max="13575" width="4" style="2814" customWidth="1"/>
    <col min="13576" max="13576" width="22.42578125" style="2814" customWidth="1"/>
    <col min="13577" max="13577" width="11.5703125" style="2814" customWidth="1"/>
    <col min="13578" max="13587" width="8.7109375" style="2814" customWidth="1"/>
    <col min="13588" max="13828" width="9.140625" style="2814"/>
    <col min="13829" max="13829" width="3.7109375" style="2814" customWidth="1"/>
    <col min="13830" max="13830" width="14.42578125" style="2814" customWidth="1"/>
    <col min="13831" max="13831" width="4" style="2814" customWidth="1"/>
    <col min="13832" max="13832" width="22.42578125" style="2814" customWidth="1"/>
    <col min="13833" max="13833" width="11.5703125" style="2814" customWidth="1"/>
    <col min="13834" max="13843" width="8.7109375" style="2814" customWidth="1"/>
    <col min="13844" max="14084" width="9.140625" style="2814"/>
    <col min="14085" max="14085" width="3.7109375" style="2814" customWidth="1"/>
    <col min="14086" max="14086" width="14.42578125" style="2814" customWidth="1"/>
    <col min="14087" max="14087" width="4" style="2814" customWidth="1"/>
    <col min="14088" max="14088" width="22.42578125" style="2814" customWidth="1"/>
    <col min="14089" max="14089" width="11.5703125" style="2814" customWidth="1"/>
    <col min="14090" max="14099" width="8.7109375" style="2814" customWidth="1"/>
    <col min="14100" max="14340" width="9.140625" style="2814"/>
    <col min="14341" max="14341" width="3.7109375" style="2814" customWidth="1"/>
    <col min="14342" max="14342" width="14.42578125" style="2814" customWidth="1"/>
    <col min="14343" max="14343" width="4" style="2814" customWidth="1"/>
    <col min="14344" max="14344" width="22.42578125" style="2814" customWidth="1"/>
    <col min="14345" max="14345" width="11.5703125" style="2814" customWidth="1"/>
    <col min="14346" max="14355" width="8.7109375" style="2814" customWidth="1"/>
    <col min="14356" max="14596" width="9.140625" style="2814"/>
    <col min="14597" max="14597" width="3.7109375" style="2814" customWidth="1"/>
    <col min="14598" max="14598" width="14.42578125" style="2814" customWidth="1"/>
    <col min="14599" max="14599" width="4" style="2814" customWidth="1"/>
    <col min="14600" max="14600" width="22.42578125" style="2814" customWidth="1"/>
    <col min="14601" max="14601" width="11.5703125" style="2814" customWidth="1"/>
    <col min="14602" max="14611" width="8.7109375" style="2814" customWidth="1"/>
    <col min="14612" max="14852" width="9.140625" style="2814"/>
    <col min="14853" max="14853" width="3.7109375" style="2814" customWidth="1"/>
    <col min="14854" max="14854" width="14.42578125" style="2814" customWidth="1"/>
    <col min="14855" max="14855" width="4" style="2814" customWidth="1"/>
    <col min="14856" max="14856" width="22.42578125" style="2814" customWidth="1"/>
    <col min="14857" max="14857" width="11.5703125" style="2814" customWidth="1"/>
    <col min="14858" max="14867" width="8.7109375" style="2814" customWidth="1"/>
    <col min="14868" max="15108" width="9.140625" style="2814"/>
    <col min="15109" max="15109" width="3.7109375" style="2814" customWidth="1"/>
    <col min="15110" max="15110" width="14.42578125" style="2814" customWidth="1"/>
    <col min="15111" max="15111" width="4" style="2814" customWidth="1"/>
    <col min="15112" max="15112" width="22.42578125" style="2814" customWidth="1"/>
    <col min="15113" max="15113" width="11.5703125" style="2814" customWidth="1"/>
    <col min="15114" max="15123" width="8.7109375" style="2814" customWidth="1"/>
    <col min="15124" max="15364" width="9.140625" style="2814"/>
    <col min="15365" max="15365" width="3.7109375" style="2814" customWidth="1"/>
    <col min="15366" max="15366" width="14.42578125" style="2814" customWidth="1"/>
    <col min="15367" max="15367" width="4" style="2814" customWidth="1"/>
    <col min="15368" max="15368" width="22.42578125" style="2814" customWidth="1"/>
    <col min="15369" max="15369" width="11.5703125" style="2814" customWidth="1"/>
    <col min="15370" max="15379" width="8.7109375" style="2814" customWidth="1"/>
    <col min="15380" max="15620" width="9.140625" style="2814"/>
    <col min="15621" max="15621" width="3.7109375" style="2814" customWidth="1"/>
    <col min="15622" max="15622" width="14.42578125" style="2814" customWidth="1"/>
    <col min="15623" max="15623" width="4" style="2814" customWidth="1"/>
    <col min="15624" max="15624" width="22.42578125" style="2814" customWidth="1"/>
    <col min="15625" max="15625" width="11.5703125" style="2814" customWidth="1"/>
    <col min="15626" max="15635" width="8.7109375" style="2814" customWidth="1"/>
    <col min="15636" max="15876" width="9.140625" style="2814"/>
    <col min="15877" max="15877" width="3.7109375" style="2814" customWidth="1"/>
    <col min="15878" max="15878" width="14.42578125" style="2814" customWidth="1"/>
    <col min="15879" max="15879" width="4" style="2814" customWidth="1"/>
    <col min="15880" max="15880" width="22.42578125" style="2814" customWidth="1"/>
    <col min="15881" max="15881" width="11.5703125" style="2814" customWidth="1"/>
    <col min="15882" max="15891" width="8.7109375" style="2814" customWidth="1"/>
    <col min="15892" max="16132" width="9.140625" style="2814"/>
    <col min="16133" max="16133" width="3.7109375" style="2814" customWidth="1"/>
    <col min="16134" max="16134" width="14.42578125" style="2814" customWidth="1"/>
    <col min="16135" max="16135" width="4" style="2814" customWidth="1"/>
    <col min="16136" max="16136" width="22.42578125" style="2814" customWidth="1"/>
    <col min="16137" max="16137" width="11.5703125" style="2814" customWidth="1"/>
    <col min="16138" max="16147" width="8.7109375" style="2814" customWidth="1"/>
    <col min="16148" max="16384" width="9.140625" style="2814"/>
  </cols>
  <sheetData>
    <row r="1" spans="1:39" x14ac:dyDescent="0.2">
      <c r="D1" s="2642"/>
      <c r="E1" s="2642"/>
      <c r="F1" s="2642"/>
      <c r="G1" s="2642"/>
      <c r="H1" s="2642"/>
      <c r="I1" s="2642"/>
      <c r="J1" s="2642"/>
      <c r="K1" s="2642"/>
      <c r="L1" s="2642"/>
      <c r="M1" s="2642"/>
      <c r="N1" s="2642"/>
    </row>
    <row r="2" spans="1:39" ht="12.75" customHeight="1" x14ac:dyDescent="0.2">
      <c r="A2" s="686">
        <v>1</v>
      </c>
      <c r="B2" s="686" t="s">
        <v>0</v>
      </c>
      <c r="C2" s="686">
        <v>67</v>
      </c>
      <c r="D2" s="4424" t="s">
        <v>1185</v>
      </c>
      <c r="E2" s="4425"/>
      <c r="F2" s="4425"/>
      <c r="G2" s="4425"/>
      <c r="H2" s="4425"/>
      <c r="I2" s="4425"/>
      <c r="J2" s="4425"/>
      <c r="K2" s="4425"/>
      <c r="L2" s="4425"/>
      <c r="M2" s="4425"/>
      <c r="N2" s="4425"/>
      <c r="O2" s="4425"/>
      <c r="P2" s="4425"/>
      <c r="Q2" s="4425"/>
      <c r="R2" s="4425"/>
      <c r="S2" s="4425"/>
      <c r="T2" s="4425"/>
      <c r="U2" s="4426"/>
      <c r="V2" s="2156"/>
      <c r="W2" s="2156"/>
      <c r="X2" s="2156"/>
      <c r="Y2" s="2156"/>
      <c r="Z2" s="2815"/>
      <c r="AA2" s="2815"/>
      <c r="AB2" s="2815"/>
      <c r="AC2" s="2815"/>
      <c r="AD2" s="2815"/>
      <c r="AE2" s="2815"/>
      <c r="AF2" s="2815"/>
      <c r="AG2" s="2815"/>
      <c r="AH2" s="2815"/>
      <c r="AI2" s="2815"/>
      <c r="AJ2" s="2815"/>
      <c r="AK2" s="2815"/>
      <c r="AL2" s="2815"/>
      <c r="AM2" s="2815"/>
    </row>
    <row r="3" spans="1:39" ht="15" customHeight="1" x14ac:dyDescent="0.2">
      <c r="A3" s="686">
        <v>2</v>
      </c>
      <c r="B3" s="686" t="s">
        <v>2</v>
      </c>
      <c r="C3" s="686"/>
      <c r="D3" s="4424" t="s">
        <v>1186</v>
      </c>
      <c r="E3" s="4425"/>
      <c r="F3" s="4425"/>
      <c r="G3" s="4425"/>
      <c r="H3" s="4425"/>
      <c r="I3" s="4425"/>
      <c r="J3" s="4425"/>
      <c r="K3" s="4425"/>
      <c r="L3" s="4425"/>
      <c r="M3" s="4425"/>
      <c r="N3" s="4425"/>
      <c r="O3" s="4425"/>
      <c r="P3" s="4425"/>
      <c r="Q3" s="4425"/>
      <c r="R3" s="4425"/>
      <c r="S3" s="4425"/>
      <c r="T3" s="4425"/>
      <c r="U3" s="4426"/>
      <c r="V3" s="2815"/>
      <c r="W3" s="2815"/>
      <c r="X3" s="2815"/>
      <c r="Y3" s="2815"/>
      <c r="Z3" s="2815"/>
      <c r="AA3" s="2815"/>
      <c r="AB3" s="2815"/>
      <c r="AC3" s="2815"/>
      <c r="AD3" s="2815"/>
      <c r="AE3" s="2815"/>
      <c r="AF3" s="2815"/>
      <c r="AG3" s="2815"/>
      <c r="AH3" s="2815"/>
      <c r="AI3" s="2815"/>
      <c r="AJ3" s="2815"/>
      <c r="AK3" s="2815"/>
      <c r="AL3" s="2815"/>
      <c r="AM3" s="2815"/>
    </row>
    <row r="4" spans="1:39" ht="16.5" customHeight="1" x14ac:dyDescent="0.25">
      <c r="A4" s="686">
        <v>3</v>
      </c>
      <c r="B4" s="686" t="s">
        <v>4</v>
      </c>
      <c r="C4" s="686"/>
      <c r="D4" s="4424" t="s">
        <v>1741</v>
      </c>
      <c r="E4" s="4425"/>
      <c r="F4" s="4425"/>
      <c r="G4" s="4425"/>
      <c r="H4" s="4425"/>
      <c r="I4" s="4425"/>
      <c r="J4" s="4425"/>
      <c r="K4" s="4425"/>
      <c r="L4" s="4425"/>
      <c r="M4" s="4425"/>
      <c r="N4" s="4425"/>
      <c r="O4" s="4425"/>
      <c r="P4" s="4425"/>
      <c r="Q4" s="4425"/>
      <c r="R4" s="4425"/>
      <c r="S4" s="4425"/>
      <c r="T4" s="4425"/>
      <c r="U4" s="4426"/>
      <c r="V4" s="2816"/>
      <c r="W4" s="2816"/>
      <c r="X4" s="2816"/>
      <c r="Y4" s="2816"/>
      <c r="Z4" s="2816"/>
      <c r="AA4" s="2816"/>
      <c r="AB4" s="2816"/>
      <c r="AC4" s="2816"/>
      <c r="AD4" s="2816"/>
      <c r="AE4" s="2815"/>
      <c r="AF4" s="2815"/>
      <c r="AG4" s="2815"/>
      <c r="AH4" s="2815"/>
      <c r="AI4" s="2815"/>
      <c r="AJ4" s="2815"/>
      <c r="AK4" s="2815"/>
      <c r="AL4" s="2815"/>
      <c r="AM4" s="2815"/>
    </row>
    <row r="5" spans="1:39" s="2816" customFormat="1" ht="16.5" customHeight="1" x14ac:dyDescent="0.25">
      <c r="C5" s="1"/>
      <c r="D5" s="2817"/>
      <c r="E5" s="2818"/>
      <c r="F5" s="2818"/>
      <c r="G5" s="2818"/>
      <c r="H5" s="2818"/>
      <c r="I5" s="2818"/>
      <c r="J5" s="2818"/>
      <c r="K5" s="2818"/>
      <c r="L5" s="2818"/>
      <c r="M5" s="2818"/>
      <c r="N5" s="2818"/>
      <c r="O5" s="3671"/>
      <c r="P5" s="3671"/>
      <c r="S5" s="2819"/>
      <c r="T5" s="2819"/>
      <c r="U5" s="2819"/>
      <c r="V5" s="2819"/>
      <c r="W5" s="2819"/>
      <c r="X5" s="2819"/>
      <c r="Y5" s="2819"/>
      <c r="Z5" s="2819"/>
      <c r="AA5" s="2819"/>
      <c r="AB5" s="2819"/>
      <c r="AC5" s="2819"/>
      <c r="AD5" s="2819"/>
      <c r="AE5" s="2819"/>
      <c r="AF5" s="2819"/>
      <c r="AG5" s="2819"/>
      <c r="AH5" s="2819"/>
      <c r="AI5" s="2819"/>
      <c r="AJ5" s="2819"/>
      <c r="AK5" s="2819"/>
      <c r="AL5" s="2819"/>
      <c r="AM5" s="2819"/>
    </row>
    <row r="6" spans="1:39" s="2820" customFormat="1" ht="12.75" x14ac:dyDescent="0.2">
      <c r="C6" s="2821"/>
      <c r="D6" s="932"/>
      <c r="E6" s="1844"/>
      <c r="F6" s="1844"/>
      <c r="G6" s="1844"/>
      <c r="H6" s="1844"/>
      <c r="I6" s="1844"/>
      <c r="J6" s="1844"/>
      <c r="K6" s="2822"/>
      <c r="L6" s="2823"/>
      <c r="M6" s="2823"/>
      <c r="N6" s="2823"/>
      <c r="O6" s="2823"/>
      <c r="P6" s="3672"/>
    </row>
    <row r="7" spans="1:39" s="2816" customFormat="1" x14ac:dyDescent="0.25">
      <c r="A7" s="1">
        <v>4</v>
      </c>
      <c r="B7" s="1" t="s">
        <v>5</v>
      </c>
      <c r="C7" s="1"/>
      <c r="D7" s="720" t="s">
        <v>1187</v>
      </c>
      <c r="E7" s="1405" t="s">
        <v>1188</v>
      </c>
      <c r="F7" s="1405"/>
      <c r="G7" s="1405"/>
      <c r="H7" s="1405"/>
      <c r="I7" s="1405"/>
      <c r="J7" s="1405"/>
      <c r="K7" s="1858"/>
      <c r="L7" s="2824"/>
      <c r="M7" s="2825"/>
      <c r="N7" s="2825"/>
      <c r="O7" s="2825"/>
      <c r="P7" s="2825"/>
      <c r="Q7" s="2825"/>
      <c r="R7" s="2825"/>
      <c r="S7" s="2825"/>
      <c r="T7" s="2825"/>
      <c r="U7" s="2826"/>
    </row>
    <row r="8" spans="1:39" ht="67.5" x14ac:dyDescent="0.2">
      <c r="B8" s="1"/>
      <c r="C8" s="2827"/>
      <c r="D8" s="2828" t="s">
        <v>1189</v>
      </c>
      <c r="E8" s="2829" t="s">
        <v>139</v>
      </c>
      <c r="F8" s="2829" t="s">
        <v>140</v>
      </c>
      <c r="G8" s="2829" t="s">
        <v>141</v>
      </c>
      <c r="H8" s="2829" t="s">
        <v>142</v>
      </c>
      <c r="I8" s="2829" t="s">
        <v>143</v>
      </c>
      <c r="J8" s="2829" t="s">
        <v>144</v>
      </c>
      <c r="K8" s="2829" t="s">
        <v>145</v>
      </c>
      <c r="L8" s="2829" t="s">
        <v>8</v>
      </c>
      <c r="M8" s="2829" t="s">
        <v>9</v>
      </c>
      <c r="N8" s="2829" t="s">
        <v>10</v>
      </c>
      <c r="O8" s="2829" t="s">
        <v>11</v>
      </c>
      <c r="P8" s="2829" t="s">
        <v>12</v>
      </c>
      <c r="Q8" s="2829" t="s">
        <v>13</v>
      </c>
      <c r="R8" s="2829" t="s">
        <v>14</v>
      </c>
      <c r="S8" s="2829" t="s">
        <v>15</v>
      </c>
      <c r="T8" s="2829" t="s">
        <v>333</v>
      </c>
      <c r="U8" s="2830" t="s">
        <v>1190</v>
      </c>
    </row>
    <row r="9" spans="1:39" ht="12.75" x14ac:dyDescent="0.2">
      <c r="B9" s="2056"/>
      <c r="C9" s="2831">
        <v>1</v>
      </c>
      <c r="D9" s="2832" t="s">
        <v>1191</v>
      </c>
      <c r="E9" s="2122">
        <f>'[17]NPA PERFORM'!$B$11</f>
        <v>1117879</v>
      </c>
      <c r="F9" s="2122">
        <f>'[17]NPA PERFORM'!$C$11</f>
        <v>1117488</v>
      </c>
      <c r="G9" s="2122">
        <f>'[17]NPA PERFORM'!$D$11</f>
        <v>1084137</v>
      </c>
      <c r="H9" s="2122">
        <f>'[17]NPA PERFORM'!E$11</f>
        <v>1069724</v>
      </c>
      <c r="I9" s="2122">
        <f>'[17]NPA PERFORM'!$I$11</f>
        <v>1062497</v>
      </c>
      <c r="J9" s="2122">
        <f>'[17]NPA PERFORM'!$J$11</f>
        <v>1037309</v>
      </c>
      <c r="K9" s="2122">
        <f>'[17]NPA PERFORM'!$K$11</f>
        <v>1058210</v>
      </c>
      <c r="L9" s="2122">
        <f>'[17]NPA PERFORM'!$L$11</f>
        <v>1044346</v>
      </c>
      <c r="M9" s="2122">
        <f>'[18]Charges referred to Courts'!$K$9</f>
        <v>962317</v>
      </c>
      <c r="N9" s="2122">
        <v>897842</v>
      </c>
      <c r="O9" s="2122">
        <v>916917</v>
      </c>
      <c r="P9" s="2122">
        <f>'[19]13.14 ALL CRTS'!$J$79</f>
        <v>931799</v>
      </c>
      <c r="Q9" s="2122">
        <v>908364</v>
      </c>
      <c r="R9" s="2122">
        <v>864276</v>
      </c>
      <c r="S9" s="3668">
        <f>'[20]NPA PERFORM OVERVIEW'!$P$4</f>
        <v>884088</v>
      </c>
      <c r="T9" s="3668">
        <f>'[20]NPA PERFORM OVERVIEW'!$Q$4</f>
        <v>888053</v>
      </c>
      <c r="U9" s="2833">
        <f>T9/S9-1</f>
        <v>4.4848476622236788E-3</v>
      </c>
    </row>
    <row r="10" spans="1:39" ht="12.75" hidden="1" x14ac:dyDescent="0.2">
      <c r="B10" s="2056"/>
      <c r="C10" s="2834"/>
      <c r="D10" s="2835" t="s">
        <v>1192</v>
      </c>
      <c r="E10" s="2836">
        <f>[21]PROGRESS!$N$18</f>
        <v>534067</v>
      </c>
      <c r="F10" s="2836">
        <f>[22]PROGRESS!$N$19</f>
        <v>767588.08333333326</v>
      </c>
      <c r="G10" s="2836">
        <f>[23]PROGRESS!$N$19</f>
        <v>729934</v>
      </c>
      <c r="H10" s="2836">
        <f>[24]PROGRESS!$N$19</f>
        <v>757376</v>
      </c>
      <c r="I10" s="2836">
        <f>'[25]0607'!$M$18</f>
        <v>722259</v>
      </c>
      <c r="J10" s="2836">
        <f>'[25]0708'!$P$19</f>
        <v>654902</v>
      </c>
      <c r="K10" s="2836">
        <f>'[26]0809 ALL CRTS'!$P$19</f>
        <v>638699</v>
      </c>
      <c r="L10" s="2836">
        <f>'[26]0910 ALL CRTS'!$Q$19</f>
        <v>595623</v>
      </c>
      <c r="M10" s="2836"/>
      <c r="N10" s="2836"/>
      <c r="O10" s="2836"/>
      <c r="P10" s="2836"/>
      <c r="Q10" s="1844"/>
      <c r="R10" s="1844"/>
      <c r="S10" s="2312"/>
      <c r="T10" s="2312"/>
      <c r="U10" s="2837"/>
    </row>
    <row r="11" spans="1:39" ht="12.75" hidden="1" x14ac:dyDescent="0.2">
      <c r="B11" s="2056"/>
      <c r="C11" s="2834"/>
      <c r="D11" s="2835" t="s">
        <v>1193</v>
      </c>
      <c r="E11" s="2838">
        <v>104</v>
      </c>
      <c r="F11" s="2838">
        <v>87</v>
      </c>
      <c r="G11" s="2838">
        <v>106</v>
      </c>
      <c r="H11" s="2838">
        <v>143</v>
      </c>
      <c r="I11" s="2838">
        <v>102</v>
      </c>
      <c r="J11" s="2838">
        <v>127</v>
      </c>
      <c r="K11" s="2838">
        <v>96</v>
      </c>
      <c r="L11" s="2838">
        <v>128</v>
      </c>
      <c r="M11" s="2838"/>
      <c r="N11" s="2838"/>
      <c r="O11" s="2838"/>
      <c r="P11" s="2838"/>
      <c r="Q11" s="2839"/>
      <c r="R11" s="2839"/>
      <c r="S11" s="2312"/>
      <c r="T11" s="2312"/>
      <c r="U11" s="2837"/>
    </row>
    <row r="12" spans="1:39" ht="12.75" x14ac:dyDescent="0.2">
      <c r="A12" s="1"/>
      <c r="B12" s="2056"/>
      <c r="C12" s="2834">
        <v>2.2000000000000002</v>
      </c>
      <c r="D12" s="2835" t="s">
        <v>1194</v>
      </c>
      <c r="E12" s="1844">
        <f t="shared" ref="E12:M12" si="0">SUM(E13,E17)</f>
        <v>422338</v>
      </c>
      <c r="F12" s="1844">
        <f t="shared" si="0"/>
        <v>414488</v>
      </c>
      <c r="G12" s="1844">
        <f t="shared" si="0"/>
        <v>399966</v>
      </c>
      <c r="H12" s="1844">
        <f t="shared" si="0"/>
        <v>411417</v>
      </c>
      <c r="I12" s="1844">
        <f t="shared" si="0"/>
        <v>379034</v>
      </c>
      <c r="J12" s="1844">
        <f t="shared" si="0"/>
        <v>388344</v>
      </c>
      <c r="K12" s="1844">
        <f t="shared" si="0"/>
        <v>431640</v>
      </c>
      <c r="L12" s="1844">
        <f t="shared" si="0"/>
        <v>469541</v>
      </c>
      <c r="M12" s="1844">
        <f t="shared" si="0"/>
        <v>460891</v>
      </c>
      <c r="N12" s="1844">
        <f>SUM(N13,N17)</f>
        <v>448793</v>
      </c>
      <c r="O12" s="1844">
        <f>SUM(O13,O17)</f>
        <v>466800</v>
      </c>
      <c r="P12" s="1844">
        <f>'[19]13.14 ALL CRTS'!$BB$79</f>
        <v>505342</v>
      </c>
      <c r="Q12" s="1844">
        <v>503463</v>
      </c>
      <c r="R12" s="1844">
        <v>477802</v>
      </c>
      <c r="S12" s="2312">
        <f>S13+S17</f>
        <v>505376</v>
      </c>
      <c r="T12" s="2312">
        <f>T13+T17</f>
        <v>494815</v>
      </c>
      <c r="U12" s="2833">
        <f t="shared" ref="U12:U21" si="1">T12/S12-1</f>
        <v>-2.0897312100297549E-2</v>
      </c>
    </row>
    <row r="13" spans="1:39" ht="12.75" x14ac:dyDescent="0.2">
      <c r="A13" s="1"/>
      <c r="B13" s="2056"/>
      <c r="C13" s="2834" t="s">
        <v>1195</v>
      </c>
      <c r="D13" s="2840" t="s">
        <v>1196</v>
      </c>
      <c r="E13" s="2113">
        <f>'[17]NPA PERFORM'!$B$9</f>
        <v>407530</v>
      </c>
      <c r="F13" s="2113">
        <f>'[17]NPA PERFORM'!$C$9</f>
        <v>396536</v>
      </c>
      <c r="G13" s="2113">
        <f>'[17]NPA PERFORM'!$D$9</f>
        <v>381020</v>
      </c>
      <c r="H13" s="2113">
        <f>'[17]NPA PERFORM'!$E$9</f>
        <v>373995</v>
      </c>
      <c r="I13" s="2113">
        <f>'[17]NPA PERFORM'!$I$9</f>
        <v>334551</v>
      </c>
      <c r="J13" s="2113">
        <f>'[17]NPA PERFORM'!$J$9+30115</f>
        <v>326506</v>
      </c>
      <c r="K13" s="2113">
        <f>'[17]NPA PERFORM'!$K$9+38015</f>
        <v>349883</v>
      </c>
      <c r="L13" s="2113">
        <f>'[17]NPA PERFORM'!$L$9</f>
        <v>350910</v>
      </c>
      <c r="M13" s="2113">
        <f>'[18]Charges referred to Courts'!$K$15</f>
        <v>331045</v>
      </c>
      <c r="N13" s="2113">
        <v>316098</v>
      </c>
      <c r="O13" s="2113">
        <v>323390</v>
      </c>
      <c r="P13" s="2113">
        <f>'[19]13.14 ALL CRTS'!$X$79</f>
        <v>329153</v>
      </c>
      <c r="Q13" s="2841">
        <v>319149</v>
      </c>
      <c r="R13" s="2841">
        <v>310850</v>
      </c>
      <c r="S13" s="3669">
        <f>'[20]NPA PERFORM OVERVIEW'!$P$28</f>
        <v>341360</v>
      </c>
      <c r="T13" s="3668">
        <f>'[20]NPA PERFORM OVERVIEW'!$Q$28</f>
        <v>335161</v>
      </c>
      <c r="U13" s="2833">
        <f t="shared" si="1"/>
        <v>-1.8159714084837075E-2</v>
      </c>
    </row>
    <row r="14" spans="1:39" ht="12.75" x14ac:dyDescent="0.2">
      <c r="A14" s="1"/>
      <c r="B14" s="2056"/>
      <c r="C14" s="2834" t="s">
        <v>1197</v>
      </c>
      <c r="D14" s="2840" t="s">
        <v>1198</v>
      </c>
      <c r="E14" s="2113">
        <f t="shared" ref="E14:K14" si="2">SUM(E15:E16)</f>
        <v>332056</v>
      </c>
      <c r="F14" s="2113">
        <f t="shared" si="2"/>
        <v>330146</v>
      </c>
      <c r="G14" s="2113">
        <f t="shared" si="2"/>
        <v>322147</v>
      </c>
      <c r="H14" s="2113">
        <f t="shared" si="2"/>
        <v>322687</v>
      </c>
      <c r="I14" s="2113">
        <f t="shared" si="2"/>
        <v>286861</v>
      </c>
      <c r="J14" s="2113">
        <f t="shared" si="2"/>
        <v>284620</v>
      </c>
      <c r="K14" s="2113">
        <f t="shared" si="2"/>
        <v>307089</v>
      </c>
      <c r="L14" s="2113">
        <f>SUM(L15:L16)</f>
        <v>310951</v>
      </c>
      <c r="M14" s="2113">
        <f>'[18]Charges referred to Courts'!$K$16</f>
        <v>293673</v>
      </c>
      <c r="N14" s="2113">
        <v>280658</v>
      </c>
      <c r="O14" s="2113">
        <f>SUM(O15:O16)</f>
        <v>289789</v>
      </c>
      <c r="P14" s="2113">
        <f>'[19]13.14 ALL CRTS'!$T$79</f>
        <v>301798</v>
      </c>
      <c r="Q14" s="1844">
        <v>294608</v>
      </c>
      <c r="R14" s="1844">
        <v>289245</v>
      </c>
      <c r="S14" s="2312">
        <f>'[20]NPA PERFORM OVERVIEW'!$P$36</f>
        <v>321190</v>
      </c>
      <c r="T14" s="2312">
        <f>'[20]NPA PERFORM OVERVIEW'!$Q$36</f>
        <v>317475</v>
      </c>
      <c r="U14" s="2833">
        <f t="shared" si="1"/>
        <v>-1.1566362589121693E-2</v>
      </c>
    </row>
    <row r="15" spans="1:39" ht="12.75" hidden="1" x14ac:dyDescent="0.2">
      <c r="B15" s="2056"/>
      <c r="C15" s="2834"/>
      <c r="D15" s="2835" t="s">
        <v>1192</v>
      </c>
      <c r="E15" s="2836">
        <f>[21]PROGRESS!$O$18</f>
        <v>330728</v>
      </c>
      <c r="F15" s="2836">
        <f>[22]PROGRESS!$O$19</f>
        <v>328887</v>
      </c>
      <c r="G15" s="2836">
        <f>[23]PROGRESS!$O$19</f>
        <v>320938</v>
      </c>
      <c r="H15" s="2836">
        <f>[24]PROGRESS!$O$19</f>
        <v>320413</v>
      </c>
      <c r="I15" s="2836">
        <f>'[25]0607'!$N$18</f>
        <v>284865</v>
      </c>
      <c r="J15" s="2836">
        <f>SUM('[25]0708'!$Q$19+'[25]0708'!$Y$19)</f>
        <v>282720</v>
      </c>
      <c r="K15" s="2836">
        <f>SUM('[26]0809 ALL CRTS'!$Q$19+'[26]0809 ALL CRTS'!$Y$19)</f>
        <v>305628</v>
      </c>
      <c r="L15" s="2836">
        <f>SUM('[26]0910 ALL CRTS'!$T$19)</f>
        <v>309868</v>
      </c>
      <c r="M15" s="2836"/>
      <c r="N15" s="2836"/>
      <c r="O15" s="2836">
        <v>261591</v>
      </c>
      <c r="P15" s="2836">
        <v>261591</v>
      </c>
      <c r="Q15" s="1844"/>
      <c r="R15" s="1844"/>
      <c r="S15" s="2312"/>
      <c r="T15" s="2312"/>
      <c r="U15" s="2833" t="e">
        <f t="shared" si="1"/>
        <v>#DIV/0!</v>
      </c>
    </row>
    <row r="16" spans="1:39" ht="12.75" hidden="1" x14ac:dyDescent="0.2">
      <c r="B16" s="2056"/>
      <c r="C16" s="2834"/>
      <c r="D16" s="2835" t="s">
        <v>1193</v>
      </c>
      <c r="E16" s="2838">
        <v>1328</v>
      </c>
      <c r="F16" s="2838">
        <v>1259</v>
      </c>
      <c r="G16" s="2838">
        <v>1209</v>
      </c>
      <c r="H16" s="2838">
        <v>2274</v>
      </c>
      <c r="I16" s="2838">
        <v>1996</v>
      </c>
      <c r="J16" s="2838">
        <v>1900</v>
      </c>
      <c r="K16" s="2838">
        <v>1461</v>
      </c>
      <c r="L16" s="2838">
        <v>1083</v>
      </c>
      <c r="M16" s="2838"/>
      <c r="N16" s="2838"/>
      <c r="O16" s="2838">
        <v>28198</v>
      </c>
      <c r="P16" s="2838">
        <v>28198</v>
      </c>
      <c r="Q16" s="2839"/>
      <c r="R16" s="2839"/>
      <c r="S16" s="2312"/>
      <c r="T16" s="2312"/>
      <c r="U16" s="2833" t="e">
        <f t="shared" si="1"/>
        <v>#DIV/0!</v>
      </c>
    </row>
    <row r="17" spans="1:21" ht="12.75" x14ac:dyDescent="0.2">
      <c r="A17" s="1"/>
      <c r="B17" s="2056"/>
      <c r="C17" s="2834" t="s">
        <v>1199</v>
      </c>
      <c r="D17" s="2842" t="s">
        <v>1200</v>
      </c>
      <c r="E17" s="2843">
        <f>SUM('[17]NPA PERFORM'!B$7:B$8)</f>
        <v>14808</v>
      </c>
      <c r="F17" s="2844">
        <f>SUM('[17]NPA PERFORM'!C$7:C$8)</f>
        <v>17952</v>
      </c>
      <c r="G17" s="2844">
        <f>SUM('[17]NPA PERFORM'!D$7:D$8)</f>
        <v>18946</v>
      </c>
      <c r="H17" s="2844">
        <f>SUM('[17]NPA PERFORM'!E$7:E$8)</f>
        <v>37422</v>
      </c>
      <c r="I17" s="2844">
        <f>SUM('[17]NPA PERFORM'!$I$7:$I$8)</f>
        <v>44483</v>
      </c>
      <c r="J17" s="2844">
        <f>SUM('[17]NPA PERFORM'!$J$7:$J$8)</f>
        <v>61838</v>
      </c>
      <c r="K17" s="2844">
        <f>SUM('[17]NPA PERFORM'!$K$7:$K$8)</f>
        <v>81757</v>
      </c>
      <c r="L17" s="2844">
        <f>SUM('[17]NPA PERFORM'!$L$7:$L$8)</f>
        <v>118631</v>
      </c>
      <c r="M17" s="2844">
        <f>'[18]Charges referred to Courts'!$K$19</f>
        <v>129846</v>
      </c>
      <c r="N17" s="2844">
        <v>132695</v>
      </c>
      <c r="O17" s="2844">
        <v>143410</v>
      </c>
      <c r="P17" s="2844">
        <f>'[19]13.14 ALL CRTS'!$BA$79</f>
        <v>176189</v>
      </c>
      <c r="Q17" s="2844">
        <v>184314</v>
      </c>
      <c r="R17" s="2844">
        <v>166952</v>
      </c>
      <c r="S17" s="3669">
        <f>'[20]NPA PERFORM OVERVIEW'!$P$40</f>
        <v>164016</v>
      </c>
      <c r="T17" s="3669">
        <f>'[20]NPA PERFORM OVERVIEW'!$Q$40</f>
        <v>159654</v>
      </c>
      <c r="U17" s="2833">
        <f t="shared" si="1"/>
        <v>-2.6594966344746895E-2</v>
      </c>
    </row>
    <row r="18" spans="1:21" ht="12.75" hidden="1" x14ac:dyDescent="0.2">
      <c r="B18" s="2056"/>
      <c r="C18" s="2845"/>
      <c r="D18" s="2846" t="s">
        <v>1201</v>
      </c>
      <c r="E18" s="2836">
        <f>'[17]NPA PERFORM'!$B$8</f>
        <v>14808</v>
      </c>
      <c r="F18" s="2836">
        <f>'[17]NPA PERFORM'!$C$8</f>
        <v>17952</v>
      </c>
      <c r="G18" s="2836">
        <f>'[17]NPA PERFORM'!$D$8</f>
        <v>18946</v>
      </c>
      <c r="H18" s="2836">
        <f>'[17]NPA PERFORM'!$E$8</f>
        <v>37422</v>
      </c>
      <c r="I18" s="2836">
        <f>'[17]NPA PERFORM'!$I$8</f>
        <v>44483</v>
      </c>
      <c r="J18" s="2836">
        <f>'[17]NPA PERFORM'!$J$8</f>
        <v>46445</v>
      </c>
      <c r="K18" s="2836">
        <f>'[17]NPA PERFORM'!$K$8</f>
        <v>43728</v>
      </c>
      <c r="L18" s="2836">
        <f>'[17]NPA PERFORM'!$L$8</f>
        <v>50361</v>
      </c>
      <c r="M18" s="2836"/>
      <c r="N18" s="2836"/>
      <c r="O18" s="2836">
        <v>31016</v>
      </c>
      <c r="P18" s="2836">
        <v>31016</v>
      </c>
      <c r="Q18" s="1844"/>
      <c r="R18" s="1844"/>
      <c r="S18" s="2312"/>
      <c r="T18" s="2312"/>
      <c r="U18" s="2833" t="e">
        <f t="shared" si="1"/>
        <v>#DIV/0!</v>
      </c>
    </row>
    <row r="19" spans="1:21" ht="12.75" hidden="1" x14ac:dyDescent="0.2">
      <c r="B19" s="2056"/>
      <c r="C19" s="2845"/>
      <c r="D19" s="2846" t="s">
        <v>1202</v>
      </c>
      <c r="E19" s="2836">
        <v>0</v>
      </c>
      <c r="F19" s="2836">
        <v>0</v>
      </c>
      <c r="G19" s="2836">
        <v>0</v>
      </c>
      <c r="H19" s="2836">
        <v>0</v>
      </c>
      <c r="I19" s="2836">
        <v>0</v>
      </c>
      <c r="J19" s="2836"/>
      <c r="K19" s="2836"/>
      <c r="L19" s="2836"/>
      <c r="M19" s="2836"/>
      <c r="N19" s="2836"/>
      <c r="O19" s="2836">
        <v>6605</v>
      </c>
      <c r="P19" s="2836">
        <v>6605</v>
      </c>
      <c r="Q19" s="1844"/>
      <c r="R19" s="1844"/>
      <c r="S19" s="2312"/>
      <c r="T19" s="2312"/>
      <c r="U19" s="2833" t="e">
        <f t="shared" si="1"/>
        <v>#DIV/0!</v>
      </c>
    </row>
    <row r="20" spans="1:21" ht="12.75" hidden="1" x14ac:dyDescent="0.2">
      <c r="B20" s="2056"/>
      <c r="C20" s="2845"/>
      <c r="D20" s="2846" t="s">
        <v>1203</v>
      </c>
      <c r="E20" s="2836">
        <v>0</v>
      </c>
      <c r="F20" s="2836">
        <v>0</v>
      </c>
      <c r="G20" s="2836">
        <v>0</v>
      </c>
      <c r="H20" s="2836">
        <v>0</v>
      </c>
      <c r="I20" s="2836">
        <v>0</v>
      </c>
      <c r="J20" s="2836">
        <f>'[17]NPA PERFORM'!$J$7</f>
        <v>15393</v>
      </c>
      <c r="K20" s="2836">
        <f>'[17]NPA PERFORM'!$K$7</f>
        <v>38029</v>
      </c>
      <c r="L20" s="2836">
        <f>'[17]NPA PERFORM'!$L$7</f>
        <v>68270</v>
      </c>
      <c r="M20" s="2836"/>
      <c r="N20" s="2836"/>
      <c r="O20" s="2836" t="s">
        <v>1204</v>
      </c>
      <c r="P20" s="2836" t="s">
        <v>1204</v>
      </c>
      <c r="Q20" s="1844"/>
      <c r="R20" s="1844"/>
      <c r="S20" s="2312"/>
      <c r="T20" s="2312"/>
      <c r="U20" s="2833" t="e">
        <f t="shared" si="1"/>
        <v>#DIV/0!</v>
      </c>
    </row>
    <row r="21" spans="1:21" ht="12.75" x14ac:dyDescent="0.2">
      <c r="A21" s="1"/>
      <c r="B21" s="2056"/>
      <c r="C21" s="2847">
        <v>3</v>
      </c>
      <c r="D21" s="937" t="s">
        <v>1205</v>
      </c>
      <c r="E21" s="2308">
        <f>'[17]NPA PERFORM'!$B$15</f>
        <v>188691</v>
      </c>
      <c r="F21" s="2308">
        <f>'[17]NPA PERFORM'!$C$15</f>
        <v>185423</v>
      </c>
      <c r="G21" s="2308">
        <f>'[17]NPA PERFORM'!$D$15</f>
        <v>206005</v>
      </c>
      <c r="H21" s="2308">
        <f>'[17]NPA PERFORM'!E$15</f>
        <v>198990</v>
      </c>
      <c r="I21" s="2308">
        <f>'[17]NPA PERFORM'!$I$15</f>
        <v>206508</v>
      </c>
      <c r="J21" s="2308">
        <f>'[17]NPA PERFORM'!$J$15</f>
        <v>232518</v>
      </c>
      <c r="K21" s="2308">
        <f>'[17]NPA PERFORM'!$K$15</f>
        <v>234606</v>
      </c>
      <c r="L21" s="2308">
        <f>'[17]NPA PERFORM'!$L$15</f>
        <v>230477</v>
      </c>
      <c r="M21" s="2308">
        <f>'[18]Charges referred to Courts'!$K$23</f>
        <v>218660</v>
      </c>
      <c r="N21" s="2308">
        <v>200532</v>
      </c>
      <c r="O21" s="2308">
        <v>189810</v>
      </c>
      <c r="P21" s="2308">
        <f>'[19]13.14 ALL CRTS'!$AE$77</f>
        <v>182979</v>
      </c>
      <c r="Q21" s="2308">
        <v>171708</v>
      </c>
      <c r="R21" s="2308">
        <v>185202</v>
      </c>
      <c r="S21" s="3670">
        <f>'[20]NPA PERFORM OVERVIEW'!$P$60</f>
        <v>171312</v>
      </c>
      <c r="T21" s="3670">
        <f>'[20]NPA PERFORM OVERVIEW'!$R$60</f>
        <v>167901</v>
      </c>
      <c r="U21" s="2833">
        <f t="shared" si="1"/>
        <v>-1.9911039506864681E-2</v>
      </c>
    </row>
    <row r="22" spans="1:21" ht="12.75" x14ac:dyDescent="0.2">
      <c r="A22" s="1"/>
      <c r="B22" s="2056"/>
      <c r="C22" s="2847"/>
      <c r="D22" s="932"/>
      <c r="E22" s="1844"/>
      <c r="F22" s="1844"/>
      <c r="G22" s="1844"/>
      <c r="H22" s="1844"/>
      <c r="I22" s="1844"/>
      <c r="J22" s="1844"/>
      <c r="K22" s="1844"/>
      <c r="L22" s="1844"/>
      <c r="M22" s="2839"/>
      <c r="N22" s="1844"/>
      <c r="O22" s="2839"/>
      <c r="P22" s="2839"/>
      <c r="Q22" s="2839"/>
      <c r="R22" s="2839"/>
      <c r="S22" s="2848"/>
      <c r="T22" s="2848"/>
    </row>
    <row r="23" spans="1:21" ht="12.75" x14ac:dyDescent="0.2">
      <c r="A23" s="1"/>
      <c r="B23" s="2056"/>
      <c r="C23" s="2847"/>
      <c r="D23" s="2849" t="s">
        <v>1206</v>
      </c>
      <c r="E23" s="1803" t="s">
        <v>1207</v>
      </c>
      <c r="F23" s="767"/>
      <c r="G23" s="767"/>
      <c r="H23" s="767"/>
      <c r="I23" s="767"/>
      <c r="J23" s="767"/>
      <c r="K23" s="767"/>
      <c r="L23" s="767"/>
      <c r="M23" s="2850"/>
      <c r="N23" s="767"/>
      <c r="O23" s="2850"/>
      <c r="P23" s="2850"/>
      <c r="Q23" s="2850"/>
      <c r="R23" s="2850"/>
      <c r="S23" s="2850"/>
      <c r="T23" s="2850"/>
      <c r="U23" s="2850"/>
    </row>
    <row r="24" spans="1:21" ht="51" customHeight="1" x14ac:dyDescent="0.2">
      <c r="A24" s="1"/>
      <c r="B24" s="2056"/>
      <c r="C24" s="2847"/>
      <c r="D24" s="932"/>
      <c r="E24" s="2829" t="s">
        <v>139</v>
      </c>
      <c r="F24" s="2829" t="s">
        <v>140</v>
      </c>
      <c r="G24" s="2829" t="s">
        <v>141</v>
      </c>
      <c r="H24" s="2829" t="s">
        <v>142</v>
      </c>
      <c r="I24" s="2829" t="s">
        <v>143</v>
      </c>
      <c r="J24" s="2829" t="s">
        <v>144</v>
      </c>
      <c r="K24" s="2829" t="s">
        <v>145</v>
      </c>
      <c r="L24" s="2829" t="s">
        <v>8</v>
      </c>
      <c r="M24" s="2829" t="s">
        <v>9</v>
      </c>
      <c r="N24" s="2829" t="s">
        <v>10</v>
      </c>
      <c r="O24" s="2829" t="s">
        <v>11</v>
      </c>
      <c r="P24" s="2829" t="s">
        <v>12</v>
      </c>
      <c r="Q24" s="2829" t="s">
        <v>13</v>
      </c>
      <c r="R24" s="2829" t="s">
        <v>14</v>
      </c>
      <c r="S24" s="2829" t="s">
        <v>15</v>
      </c>
      <c r="T24" s="2829" t="s">
        <v>333</v>
      </c>
      <c r="U24" s="2851" t="s">
        <v>1190</v>
      </c>
    </row>
    <row r="25" spans="1:21" ht="12.75" x14ac:dyDescent="0.2">
      <c r="A25" s="1"/>
      <c r="B25" s="2056"/>
      <c r="C25" s="2847"/>
      <c r="D25" s="2287" t="s">
        <v>1185</v>
      </c>
      <c r="E25" s="2852">
        <v>0.81573055797893912</v>
      </c>
      <c r="F25" s="2852">
        <v>0.83469687010163318</v>
      </c>
      <c r="G25" s="2852">
        <v>0.85077503964024159</v>
      </c>
      <c r="H25" s="2852">
        <v>0.85676784013009777</v>
      </c>
      <c r="I25" s="2852">
        <v>0.8576425302519014</v>
      </c>
      <c r="J25" s="2852">
        <v>0.83799999999999997</v>
      </c>
      <c r="K25" s="2852">
        <v>0.86277821939586641</v>
      </c>
      <c r="L25" s="2852">
        <v>0.88612749707902316</v>
      </c>
      <c r="M25" s="2852">
        <v>0.88710900330770737</v>
      </c>
      <c r="N25" s="2852">
        <v>0.88788287176761638</v>
      </c>
      <c r="O25" s="2852">
        <v>0.89932898358019731</v>
      </c>
      <c r="P25" s="2852">
        <v>0.91689275200286802</v>
      </c>
      <c r="Q25" s="2852">
        <v>0.9231048820456903</v>
      </c>
      <c r="R25" s="2852">
        <v>0.93049702428824188</v>
      </c>
      <c r="S25" s="2852">
        <v>0.94091281931099136</v>
      </c>
      <c r="T25" s="2852">
        <v>0.94723133061424214</v>
      </c>
      <c r="U25" s="2852">
        <f>SUM(T25-S25)</f>
        <v>6.3185113032507845E-3</v>
      </c>
    </row>
    <row r="26" spans="1:21" ht="12.75" x14ac:dyDescent="0.2">
      <c r="A26" s="1"/>
      <c r="B26" s="2056"/>
      <c r="C26" s="2847"/>
      <c r="D26" s="1738" t="s">
        <v>1208</v>
      </c>
      <c r="E26" s="2852">
        <v>0.83583060797582509</v>
      </c>
      <c r="F26" s="2852">
        <v>0.85542203245873794</v>
      </c>
      <c r="G26" s="2852">
        <v>0.86691561132549666</v>
      </c>
      <c r="H26" s="2852">
        <v>0.87365172515828038</v>
      </c>
      <c r="I26" s="2852">
        <v>0.87448235696460552</v>
      </c>
      <c r="J26" s="2852">
        <v>0.87637775840924337</v>
      </c>
      <c r="K26" s="2852">
        <v>0.88123280986602781</v>
      </c>
      <c r="L26" s="2852">
        <v>0.90498450886839132</v>
      </c>
      <c r="M26" s="2852">
        <v>0.90671386785489738</v>
      </c>
      <c r="N26" s="2852">
        <v>0.90834418873932554</v>
      </c>
      <c r="O26" s="2852">
        <v>0.91904663197872349</v>
      </c>
      <c r="P26" s="2852">
        <v>0.93623216173587565</v>
      </c>
      <c r="Q26" s="2852">
        <v>0.94165223834993905</v>
      </c>
      <c r="R26" s="2852">
        <v>0.94737883355035502</v>
      </c>
      <c r="S26" s="2852">
        <v>0.95569960607474214</v>
      </c>
      <c r="T26" s="2852">
        <v>0.9612860265103691</v>
      </c>
      <c r="U26" s="2852">
        <f>T26-S26</f>
        <v>5.5864204356269598E-3</v>
      </c>
    </row>
    <row r="27" spans="1:21" ht="12.75" x14ac:dyDescent="0.2">
      <c r="A27" s="1"/>
      <c r="B27" s="2056"/>
      <c r="C27" s="2847"/>
      <c r="D27" s="1738" t="s">
        <v>1209</v>
      </c>
      <c r="E27" s="2852">
        <v>0.66257902192528062</v>
      </c>
      <c r="F27" s="2852">
        <v>0.67520298441957427</v>
      </c>
      <c r="G27" s="2852">
        <v>0.71181585677749359</v>
      </c>
      <c r="H27" s="2852">
        <v>0.7117863720073665</v>
      </c>
      <c r="I27" s="2852">
        <v>0.72267470272031276</v>
      </c>
      <c r="J27" s="2852">
        <v>0.72522947585141972</v>
      </c>
      <c r="K27" s="2852">
        <v>0.73730112850931206</v>
      </c>
      <c r="L27" s="2852">
        <v>0.73556058890147225</v>
      </c>
      <c r="M27" s="2852">
        <v>0.73361029214687756</v>
      </c>
      <c r="N27" s="2852">
        <v>0.74261658031088085</v>
      </c>
      <c r="O27" s="2852">
        <v>0.75068551500146419</v>
      </c>
      <c r="P27" s="2852">
        <v>0.760042401249721</v>
      </c>
      <c r="Q27" s="2852">
        <v>0.76551002093927611</v>
      </c>
      <c r="R27" s="2852">
        <v>0.78405378235737622</v>
      </c>
      <c r="S27" s="2852">
        <v>0.79755125284738038</v>
      </c>
      <c r="T27" s="2852">
        <v>0.80993611570515933</v>
      </c>
      <c r="U27" s="2852">
        <f t="shared" ref="U27:U28" si="3">T27-S27</f>
        <v>1.2384862857778955E-2</v>
      </c>
    </row>
    <row r="28" spans="1:21" ht="12.75" x14ac:dyDescent="0.2">
      <c r="A28" s="1"/>
      <c r="B28" s="2056"/>
      <c r="C28" s="2847"/>
      <c r="D28" s="1738" t="s">
        <v>1210</v>
      </c>
      <c r="E28" s="2852">
        <v>0.8456117873158232</v>
      </c>
      <c r="F28" s="2852">
        <v>0.86562073669849937</v>
      </c>
      <c r="G28" s="2852">
        <v>0.85080928923293453</v>
      </c>
      <c r="H28" s="2852">
        <v>0.86681222707423577</v>
      </c>
      <c r="I28" s="2852">
        <v>0.85463258785942497</v>
      </c>
      <c r="J28" s="2852">
        <v>0.91304347826086951</v>
      </c>
      <c r="K28" s="2852">
        <v>0.86296515062020085</v>
      </c>
      <c r="L28" s="2852">
        <v>0.87692307692307692</v>
      </c>
      <c r="M28" s="2852">
        <v>0.87764489420423186</v>
      </c>
      <c r="N28" s="2852">
        <v>0.84622144112478037</v>
      </c>
      <c r="O28" s="2852">
        <v>0.8752093802345059</v>
      </c>
      <c r="P28" s="2852">
        <v>0.88791423001949321</v>
      </c>
      <c r="Q28" s="2852">
        <v>0.91002044989775055</v>
      </c>
      <c r="R28" s="2852">
        <v>0.89920948616600793</v>
      </c>
      <c r="S28" s="2852">
        <v>0.90977443609022557</v>
      </c>
      <c r="T28" s="2852">
        <v>0.91658084449021626</v>
      </c>
      <c r="U28" s="2852">
        <f t="shared" si="3"/>
        <v>6.8064083999906932E-3</v>
      </c>
    </row>
    <row r="29" spans="1:21" ht="12.75" x14ac:dyDescent="0.2">
      <c r="A29" s="1"/>
      <c r="B29" s="2056"/>
      <c r="C29" s="2847"/>
      <c r="D29" s="932"/>
      <c r="E29" s="2154"/>
      <c r="F29" s="2154"/>
      <c r="G29" s="2154"/>
      <c r="H29" s="2154"/>
      <c r="I29" s="2154"/>
      <c r="J29" s="2154"/>
      <c r="K29" s="2154"/>
      <c r="L29" s="2154"/>
      <c r="M29" s="2154"/>
      <c r="N29" s="2154"/>
      <c r="O29" s="2154"/>
      <c r="P29" s="2154"/>
      <c r="Q29" s="2154"/>
      <c r="R29" s="2154"/>
      <c r="S29" s="2154"/>
      <c r="T29" s="2154"/>
      <c r="U29" s="2154"/>
    </row>
    <row r="30" spans="1:21" ht="12.75" x14ac:dyDescent="0.2">
      <c r="A30" s="1"/>
      <c r="B30" s="2056"/>
      <c r="C30" s="2847"/>
      <c r="D30" s="932"/>
      <c r="E30" s="1844"/>
      <c r="F30" s="1844"/>
      <c r="G30" s="1844"/>
      <c r="H30" s="1844"/>
      <c r="I30" s="1844"/>
      <c r="J30" s="1844"/>
      <c r="K30" s="1844"/>
      <c r="L30" s="1844"/>
      <c r="M30" s="1844"/>
      <c r="N30" s="1844"/>
      <c r="O30" s="1844"/>
      <c r="P30" s="1844"/>
      <c r="Q30" s="1844"/>
      <c r="R30" s="1844"/>
      <c r="S30" s="2853"/>
      <c r="T30" s="2853"/>
      <c r="U30" s="2854"/>
    </row>
    <row r="31" spans="1:21" ht="15" customHeight="1" x14ac:dyDescent="0.2">
      <c r="A31" s="686">
        <v>5</v>
      </c>
      <c r="B31" s="686" t="s">
        <v>29</v>
      </c>
      <c r="C31" s="686"/>
      <c r="D31" s="4140" t="s">
        <v>1211</v>
      </c>
      <c r="E31" s="4141"/>
      <c r="F31" s="4141"/>
      <c r="G31" s="4141"/>
      <c r="H31" s="4141"/>
      <c r="I31" s="4141"/>
      <c r="J31" s="4141"/>
      <c r="K31" s="4141"/>
      <c r="L31" s="4141"/>
      <c r="M31" s="4141"/>
      <c r="N31" s="4141"/>
      <c r="O31" s="4141"/>
      <c r="P31" s="4141"/>
      <c r="Q31" s="4141"/>
      <c r="R31" s="4141"/>
      <c r="S31" s="4141"/>
      <c r="T31" s="4141"/>
      <c r="U31" s="4142"/>
    </row>
    <row r="32" spans="1:21" ht="39" customHeight="1" x14ac:dyDescent="0.2">
      <c r="A32" s="752">
        <v>6</v>
      </c>
      <c r="B32" s="752" t="s">
        <v>32</v>
      </c>
      <c r="C32" s="752"/>
      <c r="D32" s="4140" t="s">
        <v>1212</v>
      </c>
      <c r="E32" s="4141"/>
      <c r="F32" s="4141"/>
      <c r="G32" s="4141"/>
      <c r="H32" s="4141"/>
      <c r="I32" s="4141"/>
      <c r="J32" s="4141"/>
      <c r="K32" s="4141"/>
      <c r="L32" s="4141"/>
      <c r="M32" s="4141"/>
      <c r="N32" s="4141"/>
      <c r="O32" s="4141"/>
      <c r="P32" s="4141"/>
      <c r="Q32" s="4141"/>
      <c r="R32" s="4141"/>
      <c r="S32" s="4141"/>
      <c r="T32" s="4141"/>
      <c r="U32" s="4142"/>
    </row>
    <row r="33" spans="1:21" ht="38.25" customHeight="1" x14ac:dyDescent="0.2">
      <c r="A33" s="686">
        <v>7</v>
      </c>
      <c r="B33" s="686" t="s">
        <v>31</v>
      </c>
      <c r="C33" s="686"/>
      <c r="D33" s="4140" t="s">
        <v>1213</v>
      </c>
      <c r="E33" s="4141"/>
      <c r="F33" s="4141"/>
      <c r="G33" s="4141"/>
      <c r="H33" s="4141"/>
      <c r="I33" s="4141"/>
      <c r="J33" s="4141"/>
      <c r="K33" s="4141"/>
      <c r="L33" s="4141"/>
      <c r="M33" s="4141"/>
      <c r="N33" s="4141"/>
      <c r="O33" s="4141"/>
      <c r="P33" s="4141"/>
      <c r="Q33" s="4141"/>
      <c r="R33" s="4141"/>
      <c r="S33" s="4141"/>
      <c r="T33" s="4141"/>
      <c r="U33" s="4142"/>
    </row>
    <row r="34" spans="1:21" ht="39" customHeight="1" x14ac:dyDescent="0.2">
      <c r="A34" s="686">
        <v>8</v>
      </c>
      <c r="B34" s="686" t="s">
        <v>34</v>
      </c>
      <c r="C34" s="686"/>
      <c r="D34" s="4427" t="s">
        <v>1214</v>
      </c>
      <c r="E34" s="4428"/>
      <c r="F34" s="4428"/>
      <c r="G34" s="4428"/>
      <c r="H34" s="4428"/>
      <c r="I34" s="4428"/>
      <c r="J34" s="4428"/>
      <c r="K34" s="4428"/>
      <c r="L34" s="4428"/>
      <c r="M34" s="4428"/>
      <c r="N34" s="4428"/>
      <c r="O34" s="4428"/>
      <c r="P34" s="4428"/>
      <c r="Q34" s="4428"/>
      <c r="R34" s="4428"/>
      <c r="S34" s="4428"/>
      <c r="T34" s="4428"/>
      <c r="U34" s="4429"/>
    </row>
    <row r="37" spans="1:21" x14ac:dyDescent="0.2">
      <c r="E37" s="2855"/>
      <c r="F37" s="2855"/>
      <c r="G37" s="2855"/>
      <c r="H37" s="2855"/>
      <c r="I37" s="2855"/>
      <c r="J37" s="2855"/>
      <c r="K37" s="2855"/>
      <c r="L37" s="2855"/>
      <c r="M37" s="2855"/>
      <c r="N37" s="2855"/>
      <c r="O37" s="2855"/>
    </row>
    <row r="38" spans="1:21" x14ac:dyDescent="0.2">
      <c r="E38" s="2855"/>
      <c r="F38" s="2855"/>
      <c r="G38" s="2855"/>
      <c r="H38" s="2855"/>
      <c r="I38" s="2855"/>
      <c r="J38" s="2855"/>
      <c r="K38" s="2855"/>
      <c r="L38" s="2855"/>
      <c r="M38" s="2855"/>
      <c r="N38" s="2855"/>
      <c r="O38" s="2855"/>
    </row>
    <row r="39" spans="1:21" x14ac:dyDescent="0.2">
      <c r="E39" s="2855"/>
      <c r="F39" s="2855"/>
      <c r="G39" s="2855"/>
      <c r="H39" s="2855"/>
      <c r="I39" s="2855"/>
      <c r="J39" s="2855"/>
      <c r="K39" s="2855"/>
      <c r="L39" s="2855"/>
      <c r="M39" s="2855"/>
      <c r="N39" s="2855"/>
      <c r="O39" s="2855"/>
    </row>
    <row r="40" spans="1:21" x14ac:dyDescent="0.2">
      <c r="E40" s="2855"/>
      <c r="F40" s="2855"/>
      <c r="G40" s="2855"/>
      <c r="H40" s="2855"/>
      <c r="I40" s="2855"/>
      <c r="J40" s="2855"/>
      <c r="K40" s="2855"/>
      <c r="L40" s="2855"/>
      <c r="M40" s="2855"/>
      <c r="N40" s="2855"/>
      <c r="O40" s="2855"/>
    </row>
    <row r="41" spans="1:21" x14ac:dyDescent="0.2">
      <c r="E41" s="2855"/>
      <c r="F41" s="2855"/>
      <c r="G41" s="2855"/>
      <c r="H41" s="2855"/>
      <c r="I41" s="2855"/>
      <c r="J41" s="2855"/>
      <c r="K41" s="2855"/>
      <c r="L41" s="2855"/>
      <c r="M41" s="2855"/>
      <c r="N41" s="2855"/>
      <c r="O41" s="2855"/>
    </row>
    <row r="42" spans="1:21" x14ac:dyDescent="0.2">
      <c r="E42" s="2855"/>
      <c r="F42" s="2855"/>
      <c r="G42" s="2855"/>
      <c r="H42" s="2855"/>
      <c r="I42" s="2855"/>
      <c r="J42" s="2855"/>
      <c r="K42" s="2855"/>
      <c r="L42" s="2855"/>
      <c r="M42" s="2855"/>
      <c r="N42" s="2855"/>
      <c r="O42" s="2855"/>
    </row>
    <row r="43" spans="1:21" x14ac:dyDescent="0.2">
      <c r="E43" s="2855"/>
      <c r="F43" s="2855"/>
      <c r="G43" s="2855"/>
      <c r="H43" s="2855"/>
      <c r="I43" s="2855"/>
      <c r="J43" s="2855"/>
      <c r="K43" s="2855"/>
      <c r="L43" s="2855"/>
      <c r="M43" s="2855"/>
      <c r="N43" s="2855"/>
      <c r="O43" s="2855"/>
    </row>
    <row r="44" spans="1:21" x14ac:dyDescent="0.2">
      <c r="E44" s="2855"/>
      <c r="F44" s="2855"/>
      <c r="G44" s="2855"/>
      <c r="H44" s="2855"/>
      <c r="I44" s="2855"/>
      <c r="J44" s="2855"/>
      <c r="K44" s="2855"/>
      <c r="L44" s="2855"/>
      <c r="M44" s="2855"/>
      <c r="N44" s="2855"/>
      <c r="O44" s="2855"/>
    </row>
    <row r="45" spans="1:21" x14ac:dyDescent="0.2">
      <c r="E45" s="2855"/>
      <c r="F45" s="2855"/>
      <c r="G45" s="2855"/>
      <c r="H45" s="2855"/>
      <c r="I45" s="2855"/>
      <c r="J45" s="2855"/>
      <c r="K45" s="2855"/>
      <c r="L45" s="2855"/>
      <c r="M45" s="2855"/>
      <c r="N45" s="2855"/>
      <c r="O45" s="2855"/>
    </row>
    <row r="46" spans="1:21" x14ac:dyDescent="0.2">
      <c r="E46" s="2855"/>
      <c r="F46" s="2855"/>
      <c r="G46" s="2855"/>
      <c r="H46" s="2855"/>
      <c r="I46" s="2855"/>
      <c r="J46" s="2855"/>
      <c r="K46" s="2855"/>
      <c r="L46" s="2855"/>
      <c r="M46" s="2855"/>
      <c r="N46" s="2855"/>
      <c r="O46" s="2855"/>
    </row>
    <row r="47" spans="1:21" x14ac:dyDescent="0.2">
      <c r="E47" s="2855"/>
      <c r="F47" s="2855"/>
      <c r="G47" s="2855"/>
      <c r="H47" s="2855"/>
      <c r="I47" s="2855"/>
      <c r="J47" s="2855"/>
      <c r="K47" s="2855"/>
      <c r="L47" s="2855"/>
      <c r="M47" s="2855"/>
      <c r="N47" s="2855"/>
      <c r="O47" s="2855"/>
    </row>
    <row r="48" spans="1:21" x14ac:dyDescent="0.2">
      <c r="E48" s="2855"/>
      <c r="F48" s="2855"/>
      <c r="G48" s="2855"/>
      <c r="H48" s="2855"/>
      <c r="I48" s="2855"/>
      <c r="J48" s="2855"/>
      <c r="K48" s="2855"/>
      <c r="L48" s="2855"/>
      <c r="M48" s="2855"/>
      <c r="N48" s="2855"/>
      <c r="O48" s="2855"/>
    </row>
    <row r="49" spans="5:15" x14ac:dyDescent="0.2">
      <c r="E49" s="2855"/>
      <c r="F49" s="2855"/>
      <c r="G49" s="2855"/>
      <c r="H49" s="2855"/>
      <c r="I49" s="2855"/>
      <c r="J49" s="2855"/>
      <c r="K49" s="2855"/>
      <c r="L49" s="2855"/>
      <c r="M49" s="2855"/>
      <c r="N49" s="2855"/>
      <c r="O49" s="2855"/>
    </row>
    <row r="50" spans="5:15" x14ac:dyDescent="0.2">
      <c r="E50" s="2855"/>
      <c r="F50" s="2855"/>
      <c r="G50" s="2855"/>
      <c r="H50" s="2855"/>
      <c r="I50" s="2855"/>
      <c r="J50" s="2855"/>
      <c r="K50" s="2855"/>
      <c r="L50" s="2855"/>
      <c r="M50" s="2855"/>
      <c r="N50" s="2855"/>
      <c r="O50" s="2855"/>
    </row>
    <row r="51" spans="5:15" x14ac:dyDescent="0.2">
      <c r="E51" s="2855"/>
      <c r="F51" s="2855"/>
      <c r="G51" s="2855"/>
      <c r="H51" s="2855"/>
      <c r="I51" s="2855"/>
      <c r="J51" s="2855"/>
      <c r="K51" s="2855"/>
      <c r="L51" s="2855"/>
      <c r="M51" s="2855"/>
      <c r="N51" s="2855"/>
      <c r="O51" s="2855"/>
    </row>
    <row r="52" spans="5:15" x14ac:dyDescent="0.2">
      <c r="E52" s="2855"/>
      <c r="F52" s="2855"/>
      <c r="G52" s="2855"/>
      <c r="H52" s="2855"/>
      <c r="I52" s="2855"/>
      <c r="J52" s="2855"/>
      <c r="K52" s="2855"/>
      <c r="L52" s="2855"/>
      <c r="M52" s="2855"/>
      <c r="N52" s="2855"/>
      <c r="O52" s="2855"/>
    </row>
    <row r="53" spans="5:15" x14ac:dyDescent="0.2">
      <c r="E53" s="2855"/>
      <c r="F53" s="2855"/>
      <c r="G53" s="2855"/>
      <c r="H53" s="2855"/>
      <c r="I53" s="2855"/>
      <c r="J53" s="2855"/>
      <c r="K53" s="2855"/>
      <c r="L53" s="2855"/>
      <c r="M53" s="2855"/>
      <c r="N53" s="2855"/>
      <c r="O53" s="2855"/>
    </row>
    <row r="54" spans="5:15" x14ac:dyDescent="0.2">
      <c r="E54" s="2855"/>
      <c r="F54" s="2855"/>
      <c r="G54" s="2855"/>
      <c r="H54" s="2855"/>
      <c r="I54" s="2855"/>
      <c r="J54" s="2855"/>
      <c r="K54" s="2855"/>
      <c r="L54" s="2855"/>
      <c r="M54" s="2855"/>
      <c r="N54" s="2855"/>
      <c r="O54" s="2855"/>
    </row>
    <row r="55" spans="5:15" x14ac:dyDescent="0.2">
      <c r="E55" s="2855"/>
      <c r="F55" s="2855"/>
      <c r="G55" s="2855"/>
      <c r="H55" s="2855"/>
      <c r="I55" s="2855"/>
      <c r="J55" s="2855"/>
      <c r="K55" s="2855"/>
      <c r="L55" s="2855"/>
      <c r="M55" s="2855"/>
      <c r="N55" s="2855"/>
      <c r="O55" s="2855"/>
    </row>
    <row r="56" spans="5:15" x14ac:dyDescent="0.2">
      <c r="E56" s="2855"/>
      <c r="F56" s="2855"/>
      <c r="G56" s="2855"/>
      <c r="H56" s="2855"/>
      <c r="I56" s="2855"/>
      <c r="J56" s="2855"/>
      <c r="K56" s="2855"/>
      <c r="L56" s="2855"/>
      <c r="M56" s="2855"/>
      <c r="N56" s="2855"/>
      <c r="O56" s="2855"/>
    </row>
    <row r="57" spans="5:15" x14ac:dyDescent="0.2">
      <c r="E57" s="2855"/>
      <c r="F57" s="2855"/>
      <c r="G57" s="2855"/>
      <c r="H57" s="2855"/>
      <c r="I57" s="2855"/>
      <c r="J57" s="2855"/>
      <c r="K57" s="2855"/>
      <c r="L57" s="2855"/>
      <c r="M57" s="2855"/>
      <c r="N57" s="2855"/>
      <c r="O57" s="2855"/>
    </row>
    <row r="58" spans="5:15" x14ac:dyDescent="0.2">
      <c r="E58" s="2855"/>
      <c r="F58" s="2855"/>
      <c r="G58" s="2855"/>
      <c r="H58" s="2855"/>
      <c r="I58" s="2855"/>
      <c r="J58" s="2855"/>
      <c r="K58" s="2855"/>
      <c r="L58" s="2855"/>
      <c r="M58" s="2855"/>
      <c r="N58" s="2855"/>
      <c r="O58" s="2855"/>
    </row>
    <row r="59" spans="5:15" x14ac:dyDescent="0.2">
      <c r="E59" s="2855"/>
      <c r="F59" s="2855"/>
      <c r="G59" s="2855"/>
      <c r="H59" s="2855"/>
      <c r="I59" s="2855"/>
      <c r="J59" s="2855"/>
      <c r="K59" s="2855"/>
      <c r="L59" s="2855"/>
      <c r="M59" s="2855"/>
      <c r="N59" s="2855"/>
      <c r="O59" s="2855"/>
    </row>
    <row r="60" spans="5:15" x14ac:dyDescent="0.2">
      <c r="E60" s="2855"/>
      <c r="F60" s="2855"/>
      <c r="G60" s="2855"/>
      <c r="H60" s="2855"/>
      <c r="I60" s="2855"/>
      <c r="J60" s="2855"/>
      <c r="K60" s="2855"/>
      <c r="L60" s="2855"/>
      <c r="M60" s="2855"/>
      <c r="N60" s="2855"/>
      <c r="O60" s="2855"/>
    </row>
    <row r="61" spans="5:15" x14ac:dyDescent="0.2">
      <c r="E61" s="2855"/>
      <c r="F61" s="2855"/>
      <c r="G61" s="2855"/>
      <c r="H61" s="2855"/>
      <c r="I61" s="2855"/>
      <c r="J61" s="2855"/>
      <c r="K61" s="2855"/>
      <c r="L61" s="2855"/>
      <c r="M61" s="2855"/>
      <c r="N61" s="2855"/>
      <c r="O61" s="2855"/>
    </row>
    <row r="62" spans="5:15" x14ac:dyDescent="0.2">
      <c r="E62" s="2855"/>
      <c r="F62" s="2855"/>
      <c r="G62" s="2855"/>
      <c r="H62" s="2855"/>
      <c r="I62" s="2855"/>
      <c r="J62" s="2855"/>
      <c r="K62" s="2855"/>
      <c r="L62" s="2855"/>
      <c r="M62" s="2855"/>
      <c r="N62" s="2855"/>
      <c r="O62" s="2855"/>
    </row>
    <row r="63" spans="5:15" x14ac:dyDescent="0.2">
      <c r="E63" s="2855"/>
      <c r="F63" s="2855"/>
      <c r="G63" s="2855"/>
      <c r="H63" s="2855"/>
      <c r="I63" s="2855"/>
      <c r="J63" s="2855"/>
      <c r="K63" s="2855"/>
      <c r="L63" s="2855"/>
      <c r="M63" s="2855"/>
      <c r="N63" s="2855"/>
      <c r="O63" s="2855"/>
    </row>
  </sheetData>
  <mergeCells count="7">
    <mergeCell ref="D2:U2"/>
    <mergeCell ref="D3:U3"/>
    <mergeCell ref="D4:U4"/>
    <mergeCell ref="D33:U33"/>
    <mergeCell ref="D34:U34"/>
    <mergeCell ref="D31:U31"/>
    <mergeCell ref="D32:U32"/>
  </mergeCells>
  <pageMargins left="0.74803149606299213" right="0.74803149606299213" top="0.98425196850393704" bottom="0.98425196850393704" header="0.51181102362204722" footer="0.51181102362204722"/>
  <pageSetup paperSize="9" scale="65" fitToHeight="0" orientation="landscape" r:id="rId1"/>
  <headerFooter alignWithMargins="0">
    <oddHeader>&amp;C&amp;"-,Bold"DEVELOPMENT INDICATORS 2014</oddHeader>
    <oddFooter>&amp;LDepartment of Planning, Monitoring and Evaluation (DPME). &amp;CPage &amp;P of &amp;N&amp;R&amp;D</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D75"/>
  <sheetViews>
    <sheetView showGridLines="0" view="pageBreakPreview" zoomScaleNormal="100" zoomScaleSheetLayoutView="100" workbookViewId="0">
      <selection activeCell="D3" sqref="D3:AB3"/>
    </sheetView>
  </sheetViews>
  <sheetFormatPr defaultColWidth="9.140625" defaultRowHeight="15" x14ac:dyDescent="0.25"/>
  <cols>
    <col min="1" max="1" width="3.7109375" style="2358" customWidth="1"/>
    <col min="2" max="2" width="10.140625" style="2355" customWidth="1"/>
    <col min="3" max="3" width="6.7109375" style="2355" customWidth="1"/>
    <col min="4" max="4" width="18" style="2357" bestFit="1" customWidth="1"/>
    <col min="5" max="20" width="7.42578125" style="2357" customWidth="1"/>
    <col min="21" max="22" width="6.7109375" style="2357" customWidth="1"/>
    <col min="23" max="23" width="7.28515625" style="2357" customWidth="1"/>
    <col min="24" max="24" width="8.140625" style="2357" customWidth="1"/>
    <col min="25" max="25" width="7.42578125" style="2357" customWidth="1"/>
    <col min="26" max="26" width="7.28515625" style="2357" customWidth="1"/>
    <col min="27" max="27" width="6.7109375" style="2357" customWidth="1"/>
    <col min="28" max="28" width="7.140625" style="2357" customWidth="1"/>
    <col min="29" max="16384" width="9.140625" style="2357"/>
  </cols>
  <sheetData>
    <row r="1" spans="1:28" x14ac:dyDescent="0.25">
      <c r="D1" s="2356"/>
      <c r="E1" s="2356"/>
      <c r="F1" s="2356"/>
      <c r="G1" s="2356"/>
      <c r="H1" s="2356"/>
      <c r="I1" s="2356"/>
      <c r="J1" s="2356"/>
      <c r="K1" s="2356"/>
      <c r="L1" s="2356"/>
      <c r="M1" s="2356"/>
      <c r="N1" s="2356"/>
      <c r="O1" s="2356"/>
      <c r="P1" s="2356"/>
      <c r="Q1" s="2356"/>
      <c r="R1" s="2356"/>
      <c r="S1" s="2356"/>
    </row>
    <row r="2" spans="1:28" ht="14.45" customHeight="1" x14ac:dyDescent="0.25">
      <c r="A2" s="2358">
        <v>1</v>
      </c>
      <c r="B2" s="2358" t="s">
        <v>0</v>
      </c>
      <c r="C2" s="2358">
        <v>68</v>
      </c>
      <c r="D2" s="4048" t="s">
        <v>1215</v>
      </c>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50"/>
    </row>
    <row r="3" spans="1:28" x14ac:dyDescent="0.25">
      <c r="A3" s="2358">
        <v>2</v>
      </c>
      <c r="B3" s="2358" t="s">
        <v>2</v>
      </c>
      <c r="C3" s="2358"/>
      <c r="D3" s="4048" t="s">
        <v>1216</v>
      </c>
      <c r="E3" s="4049"/>
      <c r="F3" s="4049"/>
      <c r="G3" s="4049"/>
      <c r="H3" s="4049"/>
      <c r="I3" s="4049"/>
      <c r="J3" s="4049"/>
      <c r="K3" s="4049"/>
      <c r="L3" s="4049"/>
      <c r="M3" s="4049"/>
      <c r="N3" s="4049"/>
      <c r="O3" s="4049"/>
      <c r="P3" s="4049"/>
      <c r="Q3" s="4049"/>
      <c r="R3" s="4049"/>
      <c r="S3" s="4049"/>
      <c r="T3" s="4049"/>
      <c r="U3" s="4049"/>
      <c r="V3" s="4049"/>
      <c r="W3" s="4049"/>
      <c r="X3" s="4049"/>
      <c r="Y3" s="4049"/>
      <c r="Z3" s="4049"/>
      <c r="AA3" s="4049"/>
      <c r="AB3" s="4050"/>
    </row>
    <row r="4" spans="1:28" ht="15" customHeight="1" x14ac:dyDescent="0.25">
      <c r="A4" s="2358">
        <v>3</v>
      </c>
      <c r="B4" s="2358" t="s">
        <v>4</v>
      </c>
      <c r="C4" s="2358"/>
      <c r="D4" s="4048" t="s">
        <v>1217</v>
      </c>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50"/>
    </row>
    <row r="5" spans="1:28" ht="15" customHeight="1" x14ac:dyDescent="0.25">
      <c r="A5" s="2633"/>
      <c r="B5" s="2633"/>
      <c r="C5" s="2633"/>
      <c r="D5" s="2361"/>
      <c r="E5" s="2361"/>
      <c r="F5" s="2856"/>
      <c r="G5" s="2856"/>
      <c r="H5" s="2856"/>
      <c r="I5" s="2856"/>
      <c r="J5" s="2856"/>
      <c r="K5" s="2856"/>
      <c r="L5" s="2856"/>
      <c r="M5" s="2856"/>
      <c r="N5" s="2856"/>
      <c r="O5" s="2856"/>
      <c r="P5" s="2856"/>
      <c r="Q5" s="2856"/>
      <c r="R5" s="2856"/>
      <c r="S5" s="2856"/>
      <c r="T5" s="2856"/>
      <c r="U5" s="2856"/>
      <c r="W5" s="2857"/>
    </row>
    <row r="6" spans="1:28" x14ac:dyDescent="0.25">
      <c r="A6" s="2358">
        <v>4</v>
      </c>
      <c r="B6" s="1568" t="s">
        <v>5</v>
      </c>
      <c r="C6" s="1568"/>
      <c r="F6" s="2857"/>
      <c r="G6" s="2857"/>
      <c r="H6" s="2857"/>
      <c r="I6" s="2857"/>
      <c r="J6" s="2857"/>
      <c r="K6" s="2857"/>
      <c r="L6" s="2857"/>
      <c r="M6" s="2857"/>
      <c r="N6" s="2857"/>
      <c r="O6" s="2857"/>
      <c r="P6" s="2857"/>
      <c r="Q6" s="2857"/>
      <c r="R6" s="2857"/>
      <c r="S6" s="2857"/>
      <c r="T6" s="2857"/>
      <c r="U6" s="2857"/>
      <c r="V6" s="2857"/>
    </row>
    <row r="7" spans="1:28" s="2866" customFormat="1" x14ac:dyDescent="0.25">
      <c r="A7" s="2858"/>
      <c r="B7" s="2858"/>
      <c r="C7" s="2858"/>
      <c r="D7" s="304" t="s">
        <v>112</v>
      </c>
      <c r="E7" s="305"/>
      <c r="F7" s="2859" t="s">
        <v>1218</v>
      </c>
      <c r="G7" s="2860"/>
      <c r="H7" s="2860"/>
      <c r="I7" s="2861"/>
      <c r="J7" s="2861"/>
      <c r="K7" s="2861"/>
      <c r="L7" s="2861"/>
      <c r="M7" s="2862"/>
      <c r="N7" s="2863"/>
      <c r="O7" s="2863"/>
      <c r="P7" s="2863"/>
      <c r="Q7" s="2863"/>
      <c r="R7" s="2864"/>
      <c r="S7" s="2865"/>
      <c r="T7" s="2865"/>
      <c r="U7" s="2865"/>
      <c r="V7" s="2865"/>
      <c r="W7" s="2865"/>
      <c r="X7" s="2865"/>
      <c r="Y7" s="2865"/>
      <c r="Z7" s="2865"/>
    </row>
    <row r="8" spans="1:28" x14ac:dyDescent="0.25">
      <c r="D8" s="320"/>
      <c r="E8" s="2437" t="s">
        <v>131</v>
      </c>
      <c r="F8" s="2437" t="s">
        <v>132</v>
      </c>
      <c r="G8" s="2437" t="s">
        <v>133</v>
      </c>
      <c r="H8" s="2437" t="s">
        <v>134</v>
      </c>
      <c r="I8" s="2437" t="s">
        <v>135</v>
      </c>
      <c r="J8" s="2437" t="s">
        <v>136</v>
      </c>
      <c r="K8" s="2438" t="s">
        <v>137</v>
      </c>
      <c r="L8" s="2437" t="s">
        <v>138</v>
      </c>
      <c r="M8" s="2437" t="s">
        <v>139</v>
      </c>
      <c r="N8" s="2437" t="s">
        <v>140</v>
      </c>
      <c r="O8" s="2437" t="s">
        <v>141</v>
      </c>
      <c r="P8" s="2437" t="s">
        <v>142</v>
      </c>
      <c r="Q8" s="2437" t="s">
        <v>143</v>
      </c>
      <c r="R8" s="2437" t="s">
        <v>144</v>
      </c>
      <c r="S8" s="2437" t="s">
        <v>145</v>
      </c>
      <c r="T8" s="2437" t="s">
        <v>8</v>
      </c>
      <c r="U8" s="2437" t="s">
        <v>9</v>
      </c>
      <c r="V8" s="2437" t="s">
        <v>10</v>
      </c>
      <c r="W8" s="2437" t="s">
        <v>11</v>
      </c>
      <c r="X8" s="2437" t="s">
        <v>12</v>
      </c>
      <c r="Y8" s="2437" t="s">
        <v>13</v>
      </c>
      <c r="Z8" s="2437" t="s">
        <v>14</v>
      </c>
      <c r="AA8" s="2437" t="s">
        <v>15</v>
      </c>
      <c r="AB8" s="2437" t="s">
        <v>333</v>
      </c>
    </row>
    <row r="9" spans="1:28" ht="18.75" customHeight="1" x14ac:dyDescent="0.25">
      <c r="D9" s="2867" t="s">
        <v>1219</v>
      </c>
      <c r="E9" s="2868">
        <v>91853</v>
      </c>
      <c r="F9" s="2868">
        <v>86708</v>
      </c>
      <c r="G9" s="2868">
        <v>88885</v>
      </c>
      <c r="H9" s="2868">
        <v>97504</v>
      </c>
      <c r="I9" s="2868">
        <v>95835</v>
      </c>
      <c r="J9" s="2868">
        <v>99692</v>
      </c>
      <c r="K9" s="2868">
        <v>109072</v>
      </c>
      <c r="L9" s="2868">
        <v>115897</v>
      </c>
      <c r="M9" s="2868">
        <v>125322</v>
      </c>
      <c r="N9" s="2868">
        <v>130940</v>
      </c>
      <c r="O9" s="2868">
        <v>134487</v>
      </c>
      <c r="P9" s="2868">
        <v>122410</v>
      </c>
      <c r="Q9" s="2868">
        <v>113711</v>
      </c>
      <c r="R9" s="2868">
        <v>111230</v>
      </c>
      <c r="S9" s="2868">
        <v>109877</v>
      </c>
      <c r="T9" s="2868">
        <v>114972</v>
      </c>
      <c r="U9" s="2868">
        <v>113571</v>
      </c>
      <c r="V9" s="2868">
        <v>112535</v>
      </c>
      <c r="W9" s="2868">
        <v>104335</v>
      </c>
      <c r="X9" s="2868">
        <v>111008</v>
      </c>
      <c r="Y9" s="2869">
        <v>116262</v>
      </c>
      <c r="Z9" s="2869">
        <v>116727</v>
      </c>
      <c r="AA9" s="2868">
        <v>117755</v>
      </c>
      <c r="AB9" s="2868">
        <v>117878</v>
      </c>
    </row>
    <row r="10" spans="1:28" x14ac:dyDescent="0.25">
      <c r="D10" s="2870" t="s">
        <v>1220</v>
      </c>
      <c r="E10" s="2871">
        <v>22021</v>
      </c>
      <c r="F10" s="2871">
        <v>23412</v>
      </c>
      <c r="G10" s="2872">
        <v>29514</v>
      </c>
      <c r="H10" s="2872">
        <v>36698</v>
      </c>
      <c r="I10" s="2871">
        <v>45607</v>
      </c>
      <c r="J10" s="2872">
        <v>54884</v>
      </c>
      <c r="K10" s="2871">
        <v>57262</v>
      </c>
      <c r="L10" s="2872">
        <v>53662</v>
      </c>
      <c r="M10" s="2871">
        <v>53996</v>
      </c>
      <c r="N10" s="2871">
        <v>53901</v>
      </c>
      <c r="O10" s="2871">
        <v>51020</v>
      </c>
      <c r="P10" s="2871">
        <v>46971</v>
      </c>
      <c r="Q10" s="2871">
        <v>44884</v>
      </c>
      <c r="R10" s="2871">
        <v>47595</v>
      </c>
      <c r="S10" s="2872">
        <v>49150</v>
      </c>
      <c r="T10" s="2872">
        <v>47602</v>
      </c>
      <c r="U10" s="2872">
        <v>47350</v>
      </c>
      <c r="V10" s="2872">
        <v>49696</v>
      </c>
      <c r="W10" s="2872">
        <v>46090</v>
      </c>
      <c r="X10" s="2872">
        <v>44702</v>
      </c>
      <c r="Y10" s="2873">
        <v>43298</v>
      </c>
      <c r="Z10" s="2873">
        <v>45043</v>
      </c>
      <c r="AA10" s="2872">
        <v>42525</v>
      </c>
      <c r="AB10" s="2872">
        <v>42705</v>
      </c>
    </row>
    <row r="11" spans="1:28" x14ac:dyDescent="0.25">
      <c r="D11" s="2874" t="s">
        <v>468</v>
      </c>
      <c r="E11" s="2868"/>
      <c r="F11" s="2868">
        <v>634</v>
      </c>
      <c r="G11" s="2875">
        <v>807</v>
      </c>
      <c r="H11" s="2875">
        <v>1059</v>
      </c>
      <c r="I11" s="2868">
        <v>1174</v>
      </c>
      <c r="J11" s="2875">
        <v>1302</v>
      </c>
      <c r="K11" s="2868">
        <v>1370</v>
      </c>
      <c r="L11" s="2875">
        <v>1236</v>
      </c>
      <c r="M11" s="2868">
        <v>1215</v>
      </c>
      <c r="N11" s="2868">
        <v>1159</v>
      </c>
      <c r="O11" s="2868">
        <v>1052</v>
      </c>
      <c r="P11" s="2868">
        <v>969</v>
      </c>
      <c r="Q11" s="2868">
        <v>920</v>
      </c>
      <c r="R11" s="2868">
        <v>961</v>
      </c>
      <c r="S11" s="2875">
        <v>1016</v>
      </c>
      <c r="T11" s="2875">
        <v>1022</v>
      </c>
      <c r="U11" s="2875">
        <v>978</v>
      </c>
      <c r="V11" s="2875">
        <v>1030</v>
      </c>
      <c r="W11" s="2875">
        <v>988</v>
      </c>
      <c r="X11" s="2875">
        <v>1005</v>
      </c>
      <c r="Y11" s="2876">
        <v>1048</v>
      </c>
      <c r="Z11" s="2876">
        <v>1157</v>
      </c>
      <c r="AA11" s="2875">
        <v>1128</v>
      </c>
      <c r="AB11" s="2875">
        <v>1181</v>
      </c>
    </row>
    <row r="12" spans="1:28" x14ac:dyDescent="0.25">
      <c r="D12" s="2874" t="s">
        <v>467</v>
      </c>
      <c r="E12" s="2868"/>
      <c r="F12" s="2868">
        <v>22976</v>
      </c>
      <c r="G12" s="2875">
        <v>29257</v>
      </c>
      <c r="H12" s="2875">
        <v>36060</v>
      </c>
      <c r="I12" s="2868">
        <v>45264</v>
      </c>
      <c r="J12" s="2875">
        <v>54029</v>
      </c>
      <c r="K12" s="2868">
        <v>56184</v>
      </c>
      <c r="L12" s="2875">
        <v>52368</v>
      </c>
      <c r="M12" s="2868">
        <v>52686</v>
      </c>
      <c r="N12" s="2868">
        <v>52832</v>
      </c>
      <c r="O12" s="2868">
        <v>50096</v>
      </c>
      <c r="P12" s="2868">
        <v>46274</v>
      </c>
      <c r="Q12" s="2868">
        <v>44087</v>
      </c>
      <c r="R12" s="2868">
        <v>47735</v>
      </c>
      <c r="S12" s="2875">
        <v>48756</v>
      </c>
      <c r="T12" s="2875">
        <v>47185</v>
      </c>
      <c r="U12" s="2875">
        <v>47253</v>
      </c>
      <c r="V12" s="2875">
        <v>44868</v>
      </c>
      <c r="W12" s="2875">
        <v>44742</v>
      </c>
      <c r="X12" s="2875">
        <v>43853</v>
      </c>
      <c r="Y12" s="2876">
        <v>41029</v>
      </c>
      <c r="Z12" s="2876">
        <v>43886</v>
      </c>
      <c r="AA12" s="2875">
        <v>41397</v>
      </c>
      <c r="AB12" s="2875">
        <v>41524</v>
      </c>
    </row>
    <row r="13" spans="1:28" s="2881" customFormat="1" x14ac:dyDescent="0.25">
      <c r="A13" s="2358"/>
      <c r="B13" s="2877"/>
      <c r="C13" s="2877"/>
      <c r="D13" s="2878" t="s">
        <v>257</v>
      </c>
      <c r="E13" s="2879">
        <f>SUM(E9:E10)</f>
        <v>113874</v>
      </c>
      <c r="F13" s="2879">
        <f t="shared" ref="F13:U13" si="0">+F9+F10</f>
        <v>110120</v>
      </c>
      <c r="G13" s="2879">
        <f t="shared" si="0"/>
        <v>118399</v>
      </c>
      <c r="H13" s="2879">
        <f t="shared" si="0"/>
        <v>134202</v>
      </c>
      <c r="I13" s="2879">
        <f t="shared" si="0"/>
        <v>141442</v>
      </c>
      <c r="J13" s="2879">
        <f t="shared" si="0"/>
        <v>154576</v>
      </c>
      <c r="K13" s="2879">
        <f t="shared" si="0"/>
        <v>166334</v>
      </c>
      <c r="L13" s="2879">
        <f t="shared" si="0"/>
        <v>169559</v>
      </c>
      <c r="M13" s="2879">
        <f t="shared" si="0"/>
        <v>179318</v>
      </c>
      <c r="N13" s="2879">
        <f t="shared" si="0"/>
        <v>184841</v>
      </c>
      <c r="O13" s="2879">
        <f t="shared" si="0"/>
        <v>185507</v>
      </c>
      <c r="P13" s="2879">
        <f t="shared" si="0"/>
        <v>169381</v>
      </c>
      <c r="Q13" s="2879">
        <f t="shared" si="0"/>
        <v>158595</v>
      </c>
      <c r="R13" s="2879">
        <f t="shared" si="0"/>
        <v>158825</v>
      </c>
      <c r="S13" s="2879">
        <f t="shared" si="0"/>
        <v>159027</v>
      </c>
      <c r="T13" s="2879">
        <f t="shared" si="0"/>
        <v>162574</v>
      </c>
      <c r="U13" s="2879">
        <f t="shared" si="0"/>
        <v>160921</v>
      </c>
      <c r="V13" s="2879">
        <f>+V9+V10</f>
        <v>162231</v>
      </c>
      <c r="W13" s="2879">
        <f>+W9+W10</f>
        <v>150425</v>
      </c>
      <c r="X13" s="2879">
        <f>+X9+X10</f>
        <v>155710</v>
      </c>
      <c r="Y13" s="2880">
        <f t="shared" ref="Y13" si="1">+Y9+Y10</f>
        <v>159560</v>
      </c>
      <c r="Z13" s="2880">
        <v>161770</v>
      </c>
      <c r="AA13" s="2879">
        <v>160280</v>
      </c>
      <c r="AB13" s="2879">
        <v>160583</v>
      </c>
    </row>
    <row r="14" spans="1:28" x14ac:dyDescent="0.25">
      <c r="A14" s="2882"/>
      <c r="B14" s="2883"/>
      <c r="C14" s="2883"/>
      <c r="D14" s="2884"/>
      <c r="E14" s="2884"/>
      <c r="F14" s="2884"/>
      <c r="G14" s="2884"/>
      <c r="H14" s="2884"/>
      <c r="I14" s="2884"/>
      <c r="J14" s="2884"/>
      <c r="K14" s="2884"/>
      <c r="L14" s="2884"/>
      <c r="M14" s="2884"/>
      <c r="N14" s="2884"/>
      <c r="O14" s="2884"/>
      <c r="P14" s="2884"/>
      <c r="Q14" s="2884"/>
      <c r="R14" s="2884"/>
      <c r="S14" s="2884"/>
      <c r="T14" s="2884"/>
      <c r="U14" s="2884"/>
      <c r="V14" s="640"/>
      <c r="W14" s="640"/>
      <c r="Y14" s="599"/>
      <c r="Z14" s="640"/>
      <c r="AA14" s="2885"/>
      <c r="AB14" s="2885"/>
    </row>
    <row r="15" spans="1:28" s="2866" customFormat="1" x14ac:dyDescent="0.25">
      <c r="A15" s="2858"/>
      <c r="B15" s="2858"/>
      <c r="C15" s="2858"/>
      <c r="D15" s="304" t="s">
        <v>112</v>
      </c>
      <c r="E15" s="304"/>
      <c r="F15" s="2886" t="s">
        <v>1221</v>
      </c>
      <c r="G15" s="2887"/>
      <c r="H15" s="2887"/>
      <c r="I15" s="2888"/>
      <c r="J15" s="2888"/>
      <c r="K15" s="2888"/>
      <c r="L15" s="2888"/>
      <c r="M15" s="2889"/>
      <c r="N15" s="2890"/>
      <c r="O15" s="2890"/>
      <c r="P15" s="2890"/>
      <c r="Q15" s="2890"/>
      <c r="R15" s="2888"/>
      <c r="S15" s="2891"/>
      <c r="T15" s="2891"/>
      <c r="U15" s="2891"/>
      <c r="V15" s="2891"/>
      <c r="W15" s="2892"/>
      <c r="Y15" s="2893"/>
      <c r="Z15" s="2894"/>
      <c r="AA15" s="2895"/>
      <c r="AB15" s="2357"/>
    </row>
    <row r="16" spans="1:28" x14ac:dyDescent="0.25">
      <c r="D16" s="2896"/>
      <c r="E16" s="2437" t="s">
        <v>131</v>
      </c>
      <c r="F16" s="2437" t="s">
        <v>132</v>
      </c>
      <c r="G16" s="2437" t="s">
        <v>133</v>
      </c>
      <c r="H16" s="2437" t="s">
        <v>134</v>
      </c>
      <c r="I16" s="2437" t="s">
        <v>135</v>
      </c>
      <c r="J16" s="2437" t="s">
        <v>136</v>
      </c>
      <c r="K16" s="2438" t="s">
        <v>137</v>
      </c>
      <c r="L16" s="2437" t="s">
        <v>138</v>
      </c>
      <c r="M16" s="2437" t="s">
        <v>139</v>
      </c>
      <c r="N16" s="2437" t="s">
        <v>140</v>
      </c>
      <c r="O16" s="2437" t="s">
        <v>141</v>
      </c>
      <c r="P16" s="2437" t="s">
        <v>142</v>
      </c>
      <c r="Q16" s="2437" t="s">
        <v>143</v>
      </c>
      <c r="R16" s="2437" t="s">
        <v>144</v>
      </c>
      <c r="S16" s="2437" t="s">
        <v>145</v>
      </c>
      <c r="T16" s="2437" t="s">
        <v>8</v>
      </c>
      <c r="U16" s="2437" t="s">
        <v>9</v>
      </c>
      <c r="V16" s="2437" t="s">
        <v>10</v>
      </c>
      <c r="W16" s="2437" t="s">
        <v>11</v>
      </c>
      <c r="X16" s="2437" t="s">
        <v>12</v>
      </c>
      <c r="Y16" s="2897" t="s">
        <v>13</v>
      </c>
      <c r="Z16" s="2897" t="s">
        <v>14</v>
      </c>
      <c r="AA16" s="2437" t="s">
        <v>15</v>
      </c>
      <c r="AB16" s="2437" t="s">
        <v>333</v>
      </c>
    </row>
    <row r="17" spans="2:30" ht="18.75" customHeight="1" x14ac:dyDescent="0.25">
      <c r="D17" s="2874" t="s">
        <v>1222</v>
      </c>
      <c r="E17" s="2868"/>
      <c r="F17" s="2868">
        <v>35488</v>
      </c>
      <c r="G17" s="2875">
        <v>36060</v>
      </c>
      <c r="H17" s="2875">
        <v>38657</v>
      </c>
      <c r="I17" s="2868">
        <v>34768</v>
      </c>
      <c r="J17" s="2875">
        <v>35540</v>
      </c>
      <c r="K17" s="2868">
        <v>37523</v>
      </c>
      <c r="L17" s="2875">
        <v>37660</v>
      </c>
      <c r="M17" s="2868">
        <v>38981</v>
      </c>
      <c r="N17" s="2868">
        <v>38639</v>
      </c>
      <c r="O17" s="2868">
        <v>37798</v>
      </c>
      <c r="P17" s="2868">
        <v>28590</v>
      </c>
      <c r="Q17" s="2868">
        <v>23898</v>
      </c>
      <c r="R17" s="2868">
        <v>24715</v>
      </c>
      <c r="S17" s="2875">
        <v>25243</v>
      </c>
      <c r="T17" s="2875">
        <v>25694</v>
      </c>
      <c r="U17" s="2868">
        <v>25575</v>
      </c>
      <c r="V17" s="2875">
        <v>25417</v>
      </c>
      <c r="W17" s="2875">
        <v>19999</v>
      </c>
      <c r="X17" s="2875">
        <v>22893</v>
      </c>
      <c r="Y17" s="2876">
        <v>24094</v>
      </c>
      <c r="Z17" s="2869">
        <v>24227</v>
      </c>
      <c r="AA17" s="2875">
        <v>24440</v>
      </c>
      <c r="AB17" s="2875">
        <v>24466</v>
      </c>
    </row>
    <row r="18" spans="2:30" ht="18.75" customHeight="1" x14ac:dyDescent="0.25">
      <c r="D18" s="2874" t="s">
        <v>1223</v>
      </c>
      <c r="E18" s="2868"/>
      <c r="F18" s="2868">
        <v>34811</v>
      </c>
      <c r="G18" s="2875">
        <v>37927</v>
      </c>
      <c r="H18" s="2875">
        <v>41328</v>
      </c>
      <c r="I18" s="2868">
        <v>41718</v>
      </c>
      <c r="J18" s="2875">
        <v>44090</v>
      </c>
      <c r="K18" s="2868">
        <v>49315</v>
      </c>
      <c r="L18" s="2875">
        <v>54194</v>
      </c>
      <c r="M18" s="2868">
        <v>59766</v>
      </c>
      <c r="N18" s="2868">
        <v>64080</v>
      </c>
      <c r="O18" s="2868">
        <v>68661</v>
      </c>
      <c r="P18" s="2868">
        <v>67254</v>
      </c>
      <c r="Q18" s="2868">
        <v>64813</v>
      </c>
      <c r="R18" s="2868">
        <v>63812</v>
      </c>
      <c r="S18" s="2868">
        <v>63559</v>
      </c>
      <c r="T18" s="2875">
        <v>63746</v>
      </c>
      <c r="U18" s="2868">
        <v>62267</v>
      </c>
      <c r="V18" s="2875">
        <v>61174</v>
      </c>
      <c r="W18" s="2875">
        <v>58242</v>
      </c>
      <c r="X18" s="2875">
        <v>59961</v>
      </c>
      <c r="Y18" s="2876">
        <v>61110</v>
      </c>
      <c r="Z18" s="2869">
        <v>62521</v>
      </c>
      <c r="AA18" s="2875">
        <v>63072</v>
      </c>
      <c r="AB18" s="2875">
        <v>63138</v>
      </c>
    </row>
    <row r="19" spans="2:30" ht="18.75" customHeight="1" x14ac:dyDescent="0.25">
      <c r="D19" s="2874" t="s">
        <v>1224</v>
      </c>
      <c r="E19" s="2868"/>
      <c r="F19" s="2868">
        <v>8078</v>
      </c>
      <c r="G19" s="2875">
        <v>9477</v>
      </c>
      <c r="H19" s="2875">
        <v>10624</v>
      </c>
      <c r="I19" s="2868">
        <v>11495</v>
      </c>
      <c r="J19" s="2875">
        <v>11937</v>
      </c>
      <c r="K19" s="2868">
        <v>12859</v>
      </c>
      <c r="L19" s="2875">
        <v>14077</v>
      </c>
      <c r="M19" s="2868">
        <v>15571</v>
      </c>
      <c r="N19" s="2868">
        <v>16960</v>
      </c>
      <c r="O19" s="2868">
        <v>17911</v>
      </c>
      <c r="P19" s="2868">
        <v>18399</v>
      </c>
      <c r="Q19" s="2868">
        <v>18027</v>
      </c>
      <c r="R19" s="2868">
        <v>17744</v>
      </c>
      <c r="S19" s="2875">
        <v>18073</v>
      </c>
      <c r="T19" s="2875">
        <v>18405</v>
      </c>
      <c r="U19" s="2868">
        <v>18128</v>
      </c>
      <c r="V19" s="2875">
        <v>18040</v>
      </c>
      <c r="W19" s="2875">
        <v>18793</v>
      </c>
      <c r="X19" s="2875">
        <v>19812</v>
      </c>
      <c r="Y19" s="2876">
        <v>20608</v>
      </c>
      <c r="Z19" s="2869">
        <v>20690</v>
      </c>
      <c r="AA19" s="2875">
        <v>20872</v>
      </c>
      <c r="AB19" s="2875">
        <v>20894</v>
      </c>
    </row>
    <row r="20" spans="2:30" ht="18.75" customHeight="1" x14ac:dyDescent="0.25">
      <c r="D20" s="2874" t="s">
        <v>1225</v>
      </c>
      <c r="E20" s="2868"/>
      <c r="F20" s="2868">
        <v>3458</v>
      </c>
      <c r="G20" s="2875">
        <v>3571</v>
      </c>
      <c r="H20" s="2875">
        <v>4053</v>
      </c>
      <c r="I20" s="2868">
        <v>3724</v>
      </c>
      <c r="J20" s="2875">
        <v>3671</v>
      </c>
      <c r="K20" s="2868">
        <v>3620</v>
      </c>
      <c r="L20" s="2875">
        <v>3556</v>
      </c>
      <c r="M20" s="2868">
        <v>3869</v>
      </c>
      <c r="N20" s="2868">
        <v>3746</v>
      </c>
      <c r="O20" s="2868">
        <v>3499</v>
      </c>
      <c r="P20" s="2868">
        <v>2901</v>
      </c>
      <c r="Q20" s="2868">
        <v>2562</v>
      </c>
      <c r="R20" s="2868">
        <v>2424</v>
      </c>
      <c r="S20" s="2875">
        <v>2473</v>
      </c>
      <c r="T20" s="2875">
        <v>2561</v>
      </c>
      <c r="U20" s="2868">
        <v>2641</v>
      </c>
      <c r="V20" s="2875">
        <v>2691</v>
      </c>
      <c r="W20" s="2875">
        <v>2692</v>
      </c>
      <c r="X20" s="2875">
        <v>3245</v>
      </c>
      <c r="Y20" s="2876">
        <v>3613</v>
      </c>
      <c r="Z20" s="2869">
        <v>3628</v>
      </c>
      <c r="AA20" s="2875">
        <v>3660</v>
      </c>
      <c r="AB20" s="2875">
        <v>3664</v>
      </c>
    </row>
    <row r="21" spans="2:30" ht="18.75" customHeight="1" x14ac:dyDescent="0.25">
      <c r="D21" s="2898" t="s">
        <v>614</v>
      </c>
      <c r="E21" s="2899"/>
      <c r="F21" s="2899">
        <v>5472</v>
      </c>
      <c r="G21" s="2900">
        <v>3191</v>
      </c>
      <c r="H21" s="2900">
        <v>4157</v>
      </c>
      <c r="I21" s="2899">
        <v>4118</v>
      </c>
      <c r="J21" s="2900">
        <v>5269</v>
      </c>
      <c r="K21" s="2899">
        <v>6439</v>
      </c>
      <c r="L21" s="2900">
        <v>7694</v>
      </c>
      <c r="M21" s="2899">
        <v>7985</v>
      </c>
      <c r="N21" s="2899">
        <v>7562</v>
      </c>
      <c r="O21" s="2899">
        <v>7385</v>
      </c>
      <c r="P21" s="2899">
        <v>5011</v>
      </c>
      <c r="Q21" s="2899">
        <v>4480</v>
      </c>
      <c r="R21" s="2899">
        <v>4395</v>
      </c>
      <c r="S21" s="2900">
        <v>4917</v>
      </c>
      <c r="T21" s="2900">
        <v>5285</v>
      </c>
      <c r="U21" s="2899">
        <v>5081</v>
      </c>
      <c r="V21" s="2899">
        <v>5214</v>
      </c>
      <c r="W21" s="2900">
        <v>4609</v>
      </c>
      <c r="X21" s="2900">
        <v>5097</v>
      </c>
      <c r="Y21" s="2901">
        <v>5639</v>
      </c>
      <c r="Z21" s="2901">
        <v>5661</v>
      </c>
      <c r="AA21" s="2900">
        <v>5711</v>
      </c>
      <c r="AB21" s="2900">
        <v>5716</v>
      </c>
      <c r="AD21" s="2357" t="s">
        <v>325</v>
      </c>
    </row>
    <row r="22" spans="2:30" ht="18.75" customHeight="1" x14ac:dyDescent="0.25">
      <c r="D22" s="2902"/>
      <c r="E22" s="2868"/>
      <c r="F22" s="2868"/>
      <c r="G22" s="2903"/>
      <c r="H22" s="2903"/>
      <c r="I22" s="2868"/>
      <c r="J22" s="2903"/>
      <c r="K22" s="2868"/>
      <c r="L22" s="2903"/>
      <c r="M22" s="2868"/>
      <c r="N22" s="2868"/>
      <c r="O22" s="2868"/>
      <c r="P22" s="2868"/>
      <c r="Q22" s="2868"/>
      <c r="R22" s="2868"/>
      <c r="S22" s="2903"/>
      <c r="T22" s="2903"/>
      <c r="U22" s="2868"/>
      <c r="V22" s="1138"/>
      <c r="W22" s="1138"/>
      <c r="Y22" s="599"/>
      <c r="Z22" s="2869">
        <v>116727</v>
      </c>
      <c r="AA22" s="2885"/>
      <c r="AB22" s="2885"/>
    </row>
    <row r="23" spans="2:30" x14ac:dyDescent="0.25">
      <c r="B23" s="2358"/>
      <c r="C23" s="2358"/>
      <c r="D23" s="2634" t="s">
        <v>6</v>
      </c>
      <c r="E23" s="2634"/>
      <c r="F23" s="2634" t="s">
        <v>1226</v>
      </c>
      <c r="G23" s="2421"/>
      <c r="H23" s="2421"/>
      <c r="I23" s="2421"/>
      <c r="J23" s="2421"/>
      <c r="K23" s="2421"/>
      <c r="L23" s="2421"/>
      <c r="M23" s="2421"/>
      <c r="N23" s="2421"/>
      <c r="O23" s="2421"/>
      <c r="P23" s="2421"/>
      <c r="Q23" s="2421"/>
      <c r="R23" s="2421"/>
      <c r="S23" s="2421"/>
      <c r="T23" s="2421"/>
      <c r="U23" s="2904"/>
      <c r="V23" s="2904"/>
      <c r="W23" s="2904"/>
      <c r="Y23" s="599"/>
      <c r="Z23" s="642"/>
      <c r="AA23" s="2885"/>
      <c r="AB23" s="2885"/>
    </row>
    <row r="24" spans="2:30" x14ac:dyDescent="0.25">
      <c r="D24" s="2896"/>
      <c r="E24" s="2437" t="s">
        <v>131</v>
      </c>
      <c r="F24" s="2437" t="s">
        <v>132</v>
      </c>
      <c r="G24" s="2437" t="s">
        <v>133</v>
      </c>
      <c r="H24" s="2437" t="s">
        <v>134</v>
      </c>
      <c r="I24" s="2437" t="s">
        <v>135</v>
      </c>
      <c r="J24" s="2437" t="s">
        <v>136</v>
      </c>
      <c r="K24" s="2438" t="s">
        <v>137</v>
      </c>
      <c r="L24" s="2437" t="s">
        <v>138</v>
      </c>
      <c r="M24" s="2437" t="s">
        <v>139</v>
      </c>
      <c r="N24" s="2437" t="s">
        <v>140</v>
      </c>
      <c r="O24" s="2437" t="s">
        <v>141</v>
      </c>
      <c r="P24" s="2437" t="s">
        <v>142</v>
      </c>
      <c r="Q24" s="2437" t="s">
        <v>143</v>
      </c>
      <c r="R24" s="2437" t="s">
        <v>144</v>
      </c>
      <c r="S24" s="2437" t="s">
        <v>145</v>
      </c>
      <c r="T24" s="2437" t="s">
        <v>8</v>
      </c>
      <c r="U24" s="2437" t="s">
        <v>9</v>
      </c>
      <c r="V24" s="2437" t="s">
        <v>10</v>
      </c>
      <c r="W24" s="2437" t="s">
        <v>11</v>
      </c>
      <c r="X24" s="2437" t="s">
        <v>12</v>
      </c>
      <c r="Y24" s="2897" t="s">
        <v>13</v>
      </c>
      <c r="Z24" s="2897" t="s">
        <v>14</v>
      </c>
      <c r="AA24" s="2897" t="s">
        <v>15</v>
      </c>
      <c r="AB24" s="2897" t="s">
        <v>333</v>
      </c>
    </row>
    <row r="25" spans="2:30" ht="18.75" customHeight="1" x14ac:dyDescent="0.25">
      <c r="D25" s="759" t="s">
        <v>1227</v>
      </c>
      <c r="E25" s="759"/>
      <c r="F25" s="2905">
        <v>14392</v>
      </c>
      <c r="G25" s="2905">
        <v>13998</v>
      </c>
      <c r="H25" s="2905">
        <v>14371</v>
      </c>
      <c r="I25" s="2905">
        <v>14339</v>
      </c>
      <c r="J25" s="2905">
        <v>14112</v>
      </c>
      <c r="K25" s="2905">
        <v>13688</v>
      </c>
      <c r="L25" s="2905">
        <v>12994</v>
      </c>
      <c r="M25" s="2905">
        <v>12854</v>
      </c>
      <c r="N25" s="2905">
        <v>12509</v>
      </c>
      <c r="O25" s="2905">
        <v>12240</v>
      </c>
      <c r="P25" s="2905">
        <v>10762</v>
      </c>
      <c r="Q25" s="2905">
        <v>8576</v>
      </c>
      <c r="R25" s="2905">
        <v>7704</v>
      </c>
      <c r="S25" s="2905">
        <v>7878</v>
      </c>
      <c r="T25" s="2906">
        <v>8150</v>
      </c>
      <c r="U25" s="2906">
        <v>8020</v>
      </c>
      <c r="V25" s="2906">
        <v>8220</v>
      </c>
      <c r="W25" s="2906">
        <v>7746</v>
      </c>
      <c r="X25" s="2906">
        <v>7908</v>
      </c>
      <c r="Y25" s="2906">
        <v>8496</v>
      </c>
      <c r="Z25" s="2907">
        <v>8636</v>
      </c>
      <c r="AA25" s="2906">
        <v>8956</v>
      </c>
      <c r="AB25" s="2906">
        <v>8146</v>
      </c>
    </row>
    <row r="26" spans="2:30" x14ac:dyDescent="0.25">
      <c r="D26" s="759" t="s">
        <v>1228</v>
      </c>
      <c r="E26" s="759"/>
      <c r="F26" s="2905">
        <v>12395</v>
      </c>
      <c r="G26" s="2905">
        <v>13735</v>
      </c>
      <c r="H26" s="2905">
        <v>15493</v>
      </c>
      <c r="I26" s="2905">
        <v>16808</v>
      </c>
      <c r="J26" s="2905">
        <v>17820</v>
      </c>
      <c r="K26" s="2905">
        <v>19044</v>
      </c>
      <c r="L26" s="2905">
        <v>20209</v>
      </c>
      <c r="M26" s="2905">
        <v>21174</v>
      </c>
      <c r="N26" s="2905">
        <v>21411</v>
      </c>
      <c r="O26" s="2905">
        <v>21403</v>
      </c>
      <c r="P26" s="2905">
        <v>20010</v>
      </c>
      <c r="Q26" s="2905">
        <v>17526</v>
      </c>
      <c r="R26" s="2905">
        <v>15532</v>
      </c>
      <c r="S26" s="2905">
        <v>14672</v>
      </c>
      <c r="T26" s="2906">
        <v>14770</v>
      </c>
      <c r="U26" s="2906">
        <v>14777</v>
      </c>
      <c r="V26" s="2906">
        <v>14993</v>
      </c>
      <c r="W26" s="2906">
        <v>15134</v>
      </c>
      <c r="X26" s="2906">
        <v>15432</v>
      </c>
      <c r="Y26" s="2906">
        <v>16577</v>
      </c>
      <c r="Z26" s="2907">
        <v>16849</v>
      </c>
      <c r="AA26" s="2906">
        <v>16735</v>
      </c>
      <c r="AB26" s="2906">
        <v>16585</v>
      </c>
    </row>
    <row r="27" spans="2:30" x14ac:dyDescent="0.25">
      <c r="D27" s="759" t="s">
        <v>1229</v>
      </c>
      <c r="E27" s="759"/>
      <c r="F27" s="2905">
        <v>6099</v>
      </c>
      <c r="G27" s="2905">
        <v>6487</v>
      </c>
      <c r="H27" s="2905">
        <v>7086</v>
      </c>
      <c r="I27" s="2905">
        <v>7848</v>
      </c>
      <c r="J27" s="2905">
        <v>9174</v>
      </c>
      <c r="K27" s="2905">
        <v>11734</v>
      </c>
      <c r="L27" s="2905">
        <v>14516</v>
      </c>
      <c r="M27" s="2905">
        <v>17519</v>
      </c>
      <c r="N27" s="2905">
        <v>20131</v>
      </c>
      <c r="O27" s="2905">
        <v>22161</v>
      </c>
      <c r="P27" s="2905">
        <v>23539</v>
      </c>
      <c r="Q27" s="2905">
        <v>23956</v>
      </c>
      <c r="R27" s="2905">
        <v>23292</v>
      </c>
      <c r="S27" s="2905">
        <v>22672</v>
      </c>
      <c r="T27" s="2906">
        <v>22033</v>
      </c>
      <c r="U27" s="2906">
        <v>20625</v>
      </c>
      <c r="V27" s="2906">
        <v>20156</v>
      </c>
      <c r="W27" s="2906">
        <v>20631</v>
      </c>
      <c r="X27" s="2906">
        <v>21035</v>
      </c>
      <c r="Y27" s="2906">
        <v>22595</v>
      </c>
      <c r="Z27" s="2907">
        <v>22966</v>
      </c>
      <c r="AA27" s="2906">
        <v>22470</v>
      </c>
      <c r="AB27" s="2906">
        <v>21973</v>
      </c>
    </row>
    <row r="28" spans="2:30" x14ac:dyDescent="0.25">
      <c r="D28" s="759" t="s">
        <v>1230</v>
      </c>
      <c r="E28" s="759"/>
      <c r="F28" s="2905">
        <v>2732</v>
      </c>
      <c r="G28" s="2905">
        <v>2964</v>
      </c>
      <c r="H28" s="2905">
        <v>3297</v>
      </c>
      <c r="I28" s="2905">
        <v>3623</v>
      </c>
      <c r="J28" s="2905">
        <v>4176</v>
      </c>
      <c r="K28" s="2905">
        <v>5137</v>
      </c>
      <c r="L28" s="2905">
        <v>6316</v>
      </c>
      <c r="M28" s="2905">
        <v>7669</v>
      </c>
      <c r="N28" s="2905">
        <v>8948</v>
      </c>
      <c r="O28" s="2905">
        <v>10120</v>
      </c>
      <c r="P28" s="2905">
        <v>10920</v>
      </c>
      <c r="Q28" s="2905">
        <v>11375</v>
      </c>
      <c r="R28" s="2905">
        <v>11740</v>
      </c>
      <c r="S28" s="2905">
        <v>12251</v>
      </c>
      <c r="T28" s="2906">
        <v>12597</v>
      </c>
      <c r="U28" s="2906">
        <v>12435</v>
      </c>
      <c r="V28" s="2906">
        <v>11663</v>
      </c>
      <c r="W28" s="2906">
        <v>11973</v>
      </c>
      <c r="X28" s="2906">
        <v>12441</v>
      </c>
      <c r="Y28" s="2906">
        <v>13365</v>
      </c>
      <c r="Z28" s="2907">
        <v>13584</v>
      </c>
      <c r="AA28" s="2906">
        <v>14015</v>
      </c>
      <c r="AB28" s="2906">
        <v>13120</v>
      </c>
    </row>
    <row r="29" spans="2:30" ht="14.45" customHeight="1" x14ac:dyDescent="0.25">
      <c r="D29" s="759" t="s">
        <v>1231</v>
      </c>
      <c r="E29" s="759"/>
      <c r="F29" s="2905">
        <v>1983</v>
      </c>
      <c r="G29" s="2905">
        <v>2402</v>
      </c>
      <c r="H29" s="2905">
        <v>2862</v>
      </c>
      <c r="I29" s="2905">
        <v>3568</v>
      </c>
      <c r="J29" s="2905">
        <v>4410</v>
      </c>
      <c r="K29" s="2905">
        <v>5395</v>
      </c>
      <c r="L29" s="2905">
        <v>6437</v>
      </c>
      <c r="M29" s="2905">
        <v>7452</v>
      </c>
      <c r="N29" s="2905">
        <v>8312</v>
      </c>
      <c r="O29" s="2905">
        <v>8934</v>
      </c>
      <c r="P29" s="2905">
        <v>9332</v>
      </c>
      <c r="Q29" s="2905">
        <v>9583</v>
      </c>
      <c r="R29" s="2905">
        <v>9743</v>
      </c>
      <c r="S29" s="2905">
        <v>10155</v>
      </c>
      <c r="T29" s="2906">
        <v>10583</v>
      </c>
      <c r="U29" s="2906">
        <v>10761</v>
      </c>
      <c r="V29" s="2906">
        <v>10304</v>
      </c>
      <c r="W29" s="2906">
        <v>10134</v>
      </c>
      <c r="X29" s="2906">
        <v>9790</v>
      </c>
      <c r="Y29" s="2906">
        <v>10517</v>
      </c>
      <c r="Z29" s="2907">
        <v>10689</v>
      </c>
      <c r="AA29" s="2906">
        <v>11097</v>
      </c>
      <c r="AB29" s="2906">
        <v>11433</v>
      </c>
    </row>
    <row r="30" spans="2:30" ht="14.45" customHeight="1" x14ac:dyDescent="0.25">
      <c r="D30" s="760" t="s">
        <v>1232</v>
      </c>
      <c r="E30" s="760"/>
      <c r="F30" s="2908">
        <v>433</v>
      </c>
      <c r="G30" s="2908">
        <v>518</v>
      </c>
      <c r="H30" s="2908">
        <v>638</v>
      </c>
      <c r="I30" s="2908">
        <v>793</v>
      </c>
      <c r="J30" s="2908">
        <v>928</v>
      </c>
      <c r="K30" s="2908">
        <v>1436</v>
      </c>
      <c r="L30" s="2908">
        <v>2313</v>
      </c>
      <c r="M30" s="2908">
        <v>3296</v>
      </c>
      <c r="N30" s="2908">
        <v>4249</v>
      </c>
      <c r="O30" s="2908">
        <v>5284</v>
      </c>
      <c r="P30" s="2908">
        <v>6214</v>
      </c>
      <c r="Q30" s="2908">
        <v>6998</v>
      </c>
      <c r="R30" s="2908">
        <v>7574</v>
      </c>
      <c r="S30" s="2908">
        <v>8354</v>
      </c>
      <c r="T30" s="2909">
        <v>9141</v>
      </c>
      <c r="U30" s="2909">
        <v>9947</v>
      </c>
      <c r="V30" s="2909">
        <v>10981</v>
      </c>
      <c r="W30" s="2909">
        <v>11660</v>
      </c>
      <c r="X30" s="2909">
        <v>12658</v>
      </c>
      <c r="Y30" s="2909">
        <v>13597</v>
      </c>
      <c r="Z30" s="2910">
        <v>13820</v>
      </c>
      <c r="AA30" s="2909">
        <v>15678</v>
      </c>
      <c r="AB30" s="2909">
        <v>15539</v>
      </c>
    </row>
    <row r="31" spans="2:30" hidden="1" x14ac:dyDescent="0.25">
      <c r="D31" s="759"/>
      <c r="E31" s="759"/>
      <c r="F31" s="2905"/>
      <c r="G31" s="2905"/>
      <c r="H31" s="2905"/>
      <c r="I31" s="2905"/>
      <c r="J31" s="2905"/>
      <c r="K31" s="2905"/>
      <c r="L31" s="2905"/>
      <c r="M31" s="2905"/>
      <c r="N31" s="2905"/>
      <c r="O31" s="2905"/>
      <c r="P31" s="2905"/>
      <c r="Q31" s="2905"/>
      <c r="R31" s="2905"/>
      <c r="S31" s="2905"/>
      <c r="T31" s="2906"/>
      <c r="U31" s="2906"/>
      <c r="V31" s="2906"/>
      <c r="W31" s="2906"/>
      <c r="X31" s="2906"/>
      <c r="Y31" s="2906"/>
      <c r="Z31" s="2907"/>
    </row>
    <row r="32" spans="2:30" hidden="1" x14ac:dyDescent="0.25">
      <c r="D32" s="759"/>
      <c r="E32" s="759"/>
      <c r="F32" s="2905"/>
      <c r="G32" s="2905"/>
      <c r="H32" s="2905"/>
      <c r="I32" s="2905"/>
      <c r="J32" s="2905"/>
      <c r="K32" s="2905"/>
      <c r="L32" s="2905"/>
      <c r="M32" s="2905"/>
      <c r="N32" s="2905"/>
      <c r="O32" s="2905"/>
      <c r="P32" s="2905"/>
      <c r="Q32" s="2905"/>
      <c r="R32" s="2905"/>
      <c r="S32" s="2905"/>
      <c r="T32" s="2906"/>
      <c r="U32" s="2906"/>
      <c r="V32" s="2906"/>
      <c r="W32" s="2906"/>
      <c r="X32" s="2906"/>
      <c r="Y32" s="2906"/>
      <c r="Z32" s="2907"/>
    </row>
    <row r="33" spans="4:26" hidden="1" x14ac:dyDescent="0.25">
      <c r="D33" s="759"/>
      <c r="E33" s="759"/>
      <c r="F33" s="2905"/>
      <c r="G33" s="2905"/>
      <c r="H33" s="2905"/>
      <c r="I33" s="2905"/>
      <c r="J33" s="2905"/>
      <c r="K33" s="2905"/>
      <c r="L33" s="2905"/>
      <c r="M33" s="2905"/>
      <c r="N33" s="2905"/>
      <c r="O33" s="2905"/>
      <c r="P33" s="2905"/>
      <c r="Q33" s="2905"/>
      <c r="R33" s="2905"/>
      <c r="S33" s="2905"/>
      <c r="T33" s="2906"/>
      <c r="U33" s="2906"/>
      <c r="V33" s="2906"/>
      <c r="W33" s="2906"/>
      <c r="X33" s="2906"/>
      <c r="Y33" s="2906"/>
      <c r="Z33" s="2907"/>
    </row>
    <row r="34" spans="4:26" hidden="1" x14ac:dyDescent="0.25">
      <c r="D34" s="759"/>
      <c r="E34" s="759"/>
      <c r="F34" s="2905"/>
      <c r="G34" s="2905"/>
      <c r="H34" s="2905"/>
      <c r="I34" s="2905"/>
      <c r="J34" s="2905"/>
      <c r="K34" s="2905"/>
      <c r="L34" s="2905"/>
      <c r="M34" s="2905"/>
      <c r="N34" s="2905"/>
      <c r="O34" s="2905"/>
      <c r="P34" s="2905"/>
      <c r="Q34" s="2905"/>
      <c r="R34" s="2905"/>
      <c r="S34" s="2905"/>
      <c r="T34" s="2906"/>
      <c r="U34" s="2906"/>
      <c r="V34" s="2906"/>
      <c r="W34" s="2906"/>
      <c r="X34" s="2906"/>
      <c r="Y34" s="2906"/>
      <c r="Z34" s="2907"/>
    </row>
    <row r="35" spans="4:26" hidden="1" x14ac:dyDescent="0.25">
      <c r="D35" s="759"/>
      <c r="E35" s="759"/>
      <c r="F35" s="2905"/>
      <c r="G35" s="2905"/>
      <c r="H35" s="2905"/>
      <c r="I35" s="2905"/>
      <c r="J35" s="2905"/>
      <c r="K35" s="2905"/>
      <c r="L35" s="2905"/>
      <c r="M35" s="2905"/>
      <c r="N35" s="2905"/>
      <c r="O35" s="2905"/>
      <c r="P35" s="2905"/>
      <c r="Q35" s="2905"/>
      <c r="R35" s="2905"/>
      <c r="S35" s="2905"/>
      <c r="T35" s="2906"/>
      <c r="U35" s="2906"/>
      <c r="V35" s="2906"/>
      <c r="W35" s="2906"/>
      <c r="X35" s="2906"/>
      <c r="Y35" s="2906"/>
      <c r="Z35" s="2907"/>
    </row>
    <row r="36" spans="4:26" hidden="1" x14ac:dyDescent="0.25">
      <c r="D36" s="759"/>
      <c r="E36" s="759"/>
      <c r="F36" s="2905"/>
      <c r="G36" s="2905"/>
      <c r="H36" s="2905"/>
      <c r="I36" s="2905"/>
      <c r="J36" s="2905"/>
      <c r="K36" s="2905"/>
      <c r="L36" s="2905"/>
      <c r="M36" s="2905"/>
      <c r="N36" s="2905"/>
      <c r="O36" s="2905"/>
      <c r="P36" s="2905"/>
      <c r="Q36" s="2905"/>
      <c r="R36" s="2905"/>
      <c r="S36" s="2905"/>
      <c r="T36" s="2906"/>
      <c r="U36" s="2906"/>
      <c r="V36" s="2906"/>
      <c r="W36" s="2906"/>
      <c r="X36" s="2906"/>
      <c r="Y36" s="2906"/>
      <c r="Z36" s="2907"/>
    </row>
    <row r="37" spans="4:26" hidden="1" x14ac:dyDescent="0.25">
      <c r="D37" s="759"/>
      <c r="E37" s="759"/>
      <c r="F37" s="2905"/>
      <c r="G37" s="2905"/>
      <c r="H37" s="2905"/>
      <c r="I37" s="2905"/>
      <c r="J37" s="2905"/>
      <c r="K37" s="2905"/>
      <c r="L37" s="2905"/>
      <c r="M37" s="2905"/>
      <c r="N37" s="2905"/>
      <c r="O37" s="2905"/>
      <c r="P37" s="2905"/>
      <c r="Q37" s="2905"/>
      <c r="R37" s="2905"/>
      <c r="S37" s="2905"/>
      <c r="T37" s="2906"/>
      <c r="U37" s="2906"/>
      <c r="V37" s="2906"/>
      <c r="W37" s="2906"/>
      <c r="X37" s="2906"/>
      <c r="Y37" s="2906"/>
      <c r="Z37" s="2907"/>
    </row>
    <row r="38" spans="4:26" hidden="1" x14ac:dyDescent="0.25">
      <c r="D38" s="759"/>
      <c r="E38" s="759"/>
      <c r="F38" s="2905"/>
      <c r="G38" s="2905"/>
      <c r="H38" s="2905"/>
      <c r="I38" s="2905"/>
      <c r="J38" s="2905"/>
      <c r="K38" s="2905"/>
      <c r="L38" s="2905"/>
      <c r="M38" s="2905"/>
      <c r="N38" s="2905"/>
      <c r="O38" s="2905"/>
      <c r="P38" s="2905"/>
      <c r="Q38" s="2905"/>
      <c r="R38" s="2905"/>
      <c r="S38" s="2905"/>
      <c r="T38" s="2906"/>
      <c r="U38" s="2906"/>
      <c r="V38" s="2906"/>
      <c r="W38" s="2906"/>
      <c r="X38" s="2906"/>
      <c r="Y38" s="2906"/>
      <c r="Z38" s="2907"/>
    </row>
    <row r="39" spans="4:26" hidden="1" x14ac:dyDescent="0.25">
      <c r="D39" s="759"/>
      <c r="E39" s="759"/>
      <c r="F39" s="2905"/>
      <c r="G39" s="2905"/>
      <c r="H39" s="2905"/>
      <c r="I39" s="2905"/>
      <c r="J39" s="2905"/>
      <c r="K39" s="2905"/>
      <c r="L39" s="2905"/>
      <c r="M39" s="2905"/>
      <c r="N39" s="2905"/>
      <c r="O39" s="2905"/>
      <c r="P39" s="2905"/>
      <c r="Q39" s="2905"/>
      <c r="R39" s="2905"/>
      <c r="S39" s="2905"/>
      <c r="T39" s="2906"/>
      <c r="U39" s="2906"/>
      <c r="V39" s="2906"/>
      <c r="W39" s="2906"/>
      <c r="X39" s="2906"/>
      <c r="Y39" s="2906"/>
      <c r="Z39" s="2907"/>
    </row>
    <row r="40" spans="4:26" hidden="1" x14ac:dyDescent="0.25">
      <c r="D40" s="759"/>
      <c r="E40" s="759"/>
      <c r="F40" s="2905"/>
      <c r="G40" s="2905"/>
      <c r="H40" s="2905"/>
      <c r="I40" s="2905"/>
      <c r="J40" s="2905"/>
      <c r="K40" s="2905"/>
      <c r="L40" s="2905"/>
      <c r="M40" s="2905"/>
      <c r="N40" s="2905"/>
      <c r="O40" s="2905"/>
      <c r="P40" s="2905"/>
      <c r="Q40" s="2905"/>
      <c r="R40" s="2905"/>
      <c r="S40" s="2905"/>
      <c r="T40" s="2906"/>
      <c r="U40" s="2906"/>
      <c r="V40" s="2906"/>
      <c r="W40" s="2906"/>
      <c r="X40" s="2906"/>
      <c r="Y40" s="2906"/>
      <c r="Z40" s="2907"/>
    </row>
    <row r="41" spans="4:26" hidden="1" x14ac:dyDescent="0.25">
      <c r="D41" s="759"/>
      <c r="E41" s="759"/>
      <c r="F41" s="2905"/>
      <c r="G41" s="2905"/>
      <c r="H41" s="2905"/>
      <c r="I41" s="2905"/>
      <c r="J41" s="2905"/>
      <c r="K41" s="2905"/>
      <c r="L41" s="2905"/>
      <c r="M41" s="2905"/>
      <c r="N41" s="2905"/>
      <c r="O41" s="2905"/>
      <c r="P41" s="2905"/>
      <c r="Q41" s="2905"/>
      <c r="R41" s="2905"/>
      <c r="S41" s="2905"/>
      <c r="T41" s="2906"/>
      <c r="U41" s="2906"/>
      <c r="V41" s="2906"/>
      <c r="W41" s="2906"/>
      <c r="X41" s="2906"/>
      <c r="Y41" s="2906"/>
      <c r="Z41" s="2907"/>
    </row>
    <row r="42" spans="4:26" hidden="1" x14ac:dyDescent="0.25">
      <c r="D42" s="759"/>
      <c r="E42" s="759"/>
      <c r="F42" s="2905"/>
      <c r="G42" s="2905"/>
      <c r="H42" s="2905"/>
      <c r="I42" s="2905"/>
      <c r="J42" s="2905"/>
      <c r="K42" s="2905"/>
      <c r="L42" s="2905"/>
      <c r="M42" s="2905"/>
      <c r="N42" s="2905"/>
      <c r="O42" s="2905"/>
      <c r="P42" s="2905"/>
      <c r="Q42" s="2905"/>
      <c r="R42" s="2905"/>
      <c r="S42" s="2905"/>
      <c r="T42" s="2906"/>
      <c r="U42" s="2906"/>
      <c r="V42" s="2906"/>
      <c r="W42" s="2906"/>
      <c r="X42" s="2906"/>
      <c r="Y42" s="2906"/>
      <c r="Z42" s="2907"/>
    </row>
    <row r="43" spans="4:26" hidden="1" x14ac:dyDescent="0.25">
      <c r="D43" s="759"/>
      <c r="E43" s="759"/>
      <c r="F43" s="2905"/>
      <c r="G43" s="2905"/>
      <c r="H43" s="2905"/>
      <c r="I43" s="2905"/>
      <c r="J43" s="2905"/>
      <c r="K43" s="2905"/>
      <c r="L43" s="2905"/>
      <c r="M43" s="2905"/>
      <c r="N43" s="2905"/>
      <c r="O43" s="2905"/>
      <c r="P43" s="2905"/>
      <c r="Q43" s="2905"/>
      <c r="R43" s="2905"/>
      <c r="S43" s="2905"/>
      <c r="T43" s="2906"/>
      <c r="U43" s="2906"/>
      <c r="V43" s="2906"/>
      <c r="W43" s="2906"/>
      <c r="X43" s="2906"/>
      <c r="Y43" s="2906"/>
      <c r="Z43" s="2907"/>
    </row>
    <row r="44" spans="4:26" hidden="1" x14ac:dyDescent="0.25">
      <c r="D44" s="759"/>
      <c r="E44" s="759"/>
      <c r="F44" s="2905"/>
      <c r="G44" s="2905"/>
      <c r="H44" s="2905"/>
      <c r="I44" s="2905"/>
      <c r="J44" s="2905"/>
      <c r="K44" s="2905"/>
      <c r="L44" s="2905"/>
      <c r="M44" s="2905"/>
      <c r="N44" s="2905"/>
      <c r="O44" s="2905"/>
      <c r="P44" s="2905"/>
      <c r="Q44" s="2905"/>
      <c r="R44" s="2905"/>
      <c r="S44" s="2905"/>
      <c r="T44" s="2906"/>
      <c r="U44" s="2906"/>
      <c r="V44" s="2906"/>
      <c r="W44" s="2906"/>
      <c r="X44" s="2906"/>
      <c r="Y44" s="2906"/>
      <c r="Z44" s="2907"/>
    </row>
    <row r="45" spans="4:26" hidden="1" x14ac:dyDescent="0.25">
      <c r="D45" s="759"/>
      <c r="E45" s="759"/>
      <c r="F45" s="2905"/>
      <c r="G45" s="2905"/>
      <c r="H45" s="2905"/>
      <c r="I45" s="2905"/>
      <c r="J45" s="2905"/>
      <c r="K45" s="2905"/>
      <c r="L45" s="2905"/>
      <c r="M45" s="2905"/>
      <c r="N45" s="2905"/>
      <c r="O45" s="2905"/>
      <c r="P45" s="2905"/>
      <c r="Q45" s="2905"/>
      <c r="R45" s="2905"/>
      <c r="S45" s="2905"/>
      <c r="T45" s="2906"/>
      <c r="U45" s="2906"/>
      <c r="V45" s="2906"/>
      <c r="W45" s="2906"/>
      <c r="X45" s="2906"/>
      <c r="Y45" s="2906"/>
      <c r="Z45" s="2907"/>
    </row>
    <row r="46" spans="4:26" hidden="1" x14ac:dyDescent="0.25">
      <c r="D46" s="759"/>
      <c r="E46" s="759"/>
      <c r="F46" s="2905"/>
      <c r="G46" s="2905"/>
      <c r="H46" s="2905"/>
      <c r="I46" s="2905"/>
      <c r="J46" s="2905"/>
      <c r="K46" s="2905"/>
      <c r="L46" s="2905"/>
      <c r="M46" s="2905"/>
      <c r="N46" s="2905"/>
      <c r="O46" s="2905"/>
      <c r="P46" s="2905"/>
      <c r="Q46" s="2905"/>
      <c r="R46" s="2905"/>
      <c r="S46" s="2905"/>
      <c r="T46" s="2906"/>
      <c r="U46" s="2906"/>
      <c r="V46" s="2906"/>
      <c r="W46" s="2906"/>
      <c r="X46" s="2906"/>
      <c r="Y46" s="2906"/>
      <c r="Z46" s="2907"/>
    </row>
    <row r="47" spans="4:26" hidden="1" x14ac:dyDescent="0.25">
      <c r="D47" s="759"/>
      <c r="E47" s="759"/>
      <c r="F47" s="2905"/>
      <c r="G47" s="2905"/>
      <c r="H47" s="2905"/>
      <c r="I47" s="2905"/>
      <c r="J47" s="2905"/>
      <c r="K47" s="2905"/>
      <c r="L47" s="2905"/>
      <c r="M47" s="2905"/>
      <c r="N47" s="2905"/>
      <c r="O47" s="2905"/>
      <c r="P47" s="2905"/>
      <c r="Q47" s="2905"/>
      <c r="R47" s="2905"/>
      <c r="S47" s="2905"/>
      <c r="T47" s="2906"/>
      <c r="U47" s="2906"/>
      <c r="V47" s="2906"/>
      <c r="W47" s="2906"/>
      <c r="X47" s="2906"/>
      <c r="Y47" s="2906"/>
      <c r="Z47" s="2907"/>
    </row>
    <row r="48" spans="4:26" hidden="1" x14ac:dyDescent="0.25">
      <c r="D48" s="759"/>
      <c r="E48" s="759"/>
      <c r="F48" s="2905"/>
      <c r="G48" s="2905"/>
      <c r="H48" s="2905"/>
      <c r="I48" s="2905"/>
      <c r="J48" s="2905"/>
      <c r="K48" s="2905"/>
      <c r="L48" s="2905"/>
      <c r="M48" s="2905"/>
      <c r="N48" s="2905"/>
      <c r="O48" s="2905"/>
      <c r="P48" s="2905"/>
      <c r="Q48" s="2905"/>
      <c r="R48" s="2905"/>
      <c r="S48" s="2905"/>
      <c r="T48" s="2906"/>
      <c r="U48" s="2906"/>
      <c r="V48" s="2906"/>
      <c r="W48" s="2906"/>
      <c r="X48" s="2906"/>
      <c r="Y48" s="2906"/>
      <c r="Z48" s="2907"/>
    </row>
    <row r="49" spans="1:26" hidden="1" x14ac:dyDescent="0.25">
      <c r="D49" s="759"/>
      <c r="E49" s="759"/>
      <c r="F49" s="2905"/>
      <c r="G49" s="2905"/>
      <c r="H49" s="2905"/>
      <c r="I49" s="2905"/>
      <c r="J49" s="2905"/>
      <c r="K49" s="2905"/>
      <c r="L49" s="2905"/>
      <c r="M49" s="2905"/>
      <c r="N49" s="2905"/>
      <c r="O49" s="2905"/>
      <c r="P49" s="2905"/>
      <c r="Q49" s="2905"/>
      <c r="R49" s="2905"/>
      <c r="S49" s="2905"/>
      <c r="T49" s="2906"/>
      <c r="U49" s="2906"/>
      <c r="V49" s="2906"/>
      <c r="W49" s="2906"/>
      <c r="X49" s="2906"/>
      <c r="Y49" s="2906"/>
      <c r="Z49" s="2907"/>
    </row>
    <row r="50" spans="1:26" x14ac:dyDescent="0.25">
      <c r="D50" s="759"/>
      <c r="E50" s="759"/>
      <c r="F50" s="2905"/>
      <c r="G50" s="2905"/>
      <c r="H50" s="2905"/>
      <c r="I50" s="2905"/>
      <c r="J50" s="2905"/>
      <c r="K50" s="2905"/>
      <c r="L50" s="2905"/>
      <c r="M50" s="2905"/>
      <c r="N50" s="2905"/>
      <c r="O50" s="2905"/>
      <c r="P50" s="2905"/>
      <c r="Q50" s="2905"/>
      <c r="R50" s="2905"/>
      <c r="S50" s="2905"/>
      <c r="T50" s="2906"/>
      <c r="U50" s="2906"/>
      <c r="V50" s="2906"/>
      <c r="W50" s="2906"/>
      <c r="X50" s="2906"/>
      <c r="Y50" s="2906"/>
      <c r="Z50" s="2907"/>
    </row>
    <row r="51" spans="1:26" x14ac:dyDescent="0.25">
      <c r="A51" s="2358">
        <v>6</v>
      </c>
      <c r="B51" s="2358" t="s">
        <v>90</v>
      </c>
      <c r="D51" s="2356"/>
      <c r="E51" s="2356"/>
      <c r="F51" s="320"/>
      <c r="G51" s="320"/>
      <c r="H51" s="320"/>
      <c r="I51" s="320"/>
      <c r="J51" s="320"/>
      <c r="K51" s="320"/>
      <c r="L51" s="320"/>
      <c r="M51" s="320"/>
      <c r="N51" s="2911"/>
      <c r="O51" s="320"/>
      <c r="P51" s="320"/>
      <c r="Q51" s="320"/>
      <c r="R51" s="320"/>
      <c r="S51" s="320"/>
      <c r="T51" s="320"/>
      <c r="U51" s="320"/>
      <c r="V51" s="320"/>
    </row>
    <row r="52" spans="1:26" x14ac:dyDescent="0.25">
      <c r="D52" s="2356"/>
      <c r="E52" s="2356"/>
      <c r="F52" s="320"/>
      <c r="G52" s="320"/>
      <c r="H52" s="320"/>
      <c r="I52" s="320"/>
      <c r="J52" s="320"/>
      <c r="K52" s="320"/>
      <c r="L52" s="320"/>
      <c r="M52" s="320"/>
      <c r="N52" s="2911"/>
      <c r="O52" s="320"/>
      <c r="P52" s="320"/>
      <c r="Q52" s="320"/>
      <c r="R52" s="320"/>
      <c r="S52" s="320"/>
    </row>
    <row r="53" spans="1:26" x14ac:dyDescent="0.25">
      <c r="D53" s="2356"/>
      <c r="E53" s="2356"/>
      <c r="F53" s="320"/>
      <c r="G53" s="320"/>
      <c r="H53" s="320"/>
      <c r="I53" s="320"/>
      <c r="J53" s="320"/>
      <c r="K53" s="320"/>
      <c r="L53" s="320"/>
      <c r="M53" s="320"/>
      <c r="N53" s="2911"/>
      <c r="O53" s="320"/>
      <c r="P53" s="320"/>
      <c r="Q53" s="320"/>
      <c r="R53" s="320"/>
      <c r="S53" s="320"/>
    </row>
    <row r="54" spans="1:26" x14ac:dyDescent="0.25">
      <c r="D54" s="2356"/>
      <c r="E54" s="2356"/>
      <c r="F54" s="320"/>
      <c r="G54" s="320"/>
      <c r="H54" s="320"/>
      <c r="I54" s="320"/>
      <c r="J54" s="320"/>
      <c r="K54" s="320"/>
      <c r="L54" s="320"/>
      <c r="M54" s="320"/>
      <c r="N54" s="2911"/>
      <c r="O54" s="320"/>
      <c r="P54" s="320"/>
      <c r="Q54" s="320"/>
      <c r="R54" s="320"/>
      <c r="S54" s="320"/>
    </row>
    <row r="55" spans="1:26" x14ac:dyDescent="0.25">
      <c r="D55" s="2356"/>
      <c r="E55" s="2356"/>
      <c r="F55" s="320"/>
      <c r="G55" s="320"/>
      <c r="H55" s="320"/>
      <c r="I55" s="320"/>
      <c r="J55" s="320"/>
      <c r="K55" s="320"/>
      <c r="L55" s="320"/>
      <c r="M55" s="320"/>
      <c r="N55" s="2911"/>
      <c r="O55" s="320"/>
      <c r="P55" s="320"/>
      <c r="Q55" s="320"/>
      <c r="R55" s="320"/>
      <c r="S55" s="320"/>
    </row>
    <row r="56" spans="1:26" x14ac:dyDescent="0.25">
      <c r="D56" s="2356"/>
      <c r="E56" s="2356"/>
      <c r="F56" s="320"/>
      <c r="G56" s="320"/>
      <c r="H56" s="320"/>
      <c r="I56" s="320"/>
      <c r="J56" s="320"/>
      <c r="K56" s="320"/>
      <c r="L56" s="320"/>
      <c r="M56" s="320"/>
      <c r="N56" s="2911"/>
      <c r="O56" s="320"/>
      <c r="P56" s="320"/>
      <c r="Q56" s="320"/>
      <c r="R56" s="320"/>
      <c r="S56" s="320"/>
    </row>
    <row r="57" spans="1:26" x14ac:dyDescent="0.25">
      <c r="D57" s="2356"/>
      <c r="E57" s="2356"/>
      <c r="F57" s="320"/>
      <c r="G57" s="320"/>
      <c r="H57" s="320"/>
      <c r="I57" s="320"/>
      <c r="J57" s="320"/>
      <c r="K57" s="320"/>
      <c r="L57" s="320"/>
      <c r="M57" s="320"/>
      <c r="N57" s="2911"/>
      <c r="O57" s="320"/>
      <c r="P57" s="320"/>
      <c r="Q57" s="320"/>
      <c r="R57" s="320"/>
      <c r="S57" s="320"/>
    </row>
    <row r="58" spans="1:26" x14ac:dyDescent="0.25">
      <c r="D58" s="2356"/>
      <c r="E58" s="2356"/>
      <c r="F58" s="320"/>
      <c r="G58" s="320"/>
      <c r="H58" s="320"/>
      <c r="I58" s="320"/>
      <c r="J58" s="320"/>
      <c r="K58" s="320"/>
      <c r="L58" s="320"/>
      <c r="M58" s="320"/>
      <c r="N58" s="2911"/>
      <c r="O58" s="320"/>
      <c r="P58" s="320"/>
      <c r="Q58" s="320"/>
      <c r="R58" s="320"/>
      <c r="S58" s="320"/>
    </row>
    <row r="59" spans="1:26" x14ac:dyDescent="0.25">
      <c r="D59" s="2356"/>
      <c r="E59" s="2356"/>
      <c r="F59" s="320"/>
      <c r="G59" s="320"/>
      <c r="H59" s="320"/>
      <c r="I59" s="320"/>
      <c r="J59" s="320"/>
      <c r="K59" s="320"/>
      <c r="L59" s="320"/>
      <c r="M59" s="320"/>
      <c r="N59" s="2911"/>
      <c r="O59" s="320"/>
      <c r="P59" s="320"/>
      <c r="Q59" s="320"/>
      <c r="R59" s="320"/>
      <c r="S59" s="320"/>
    </row>
    <row r="60" spans="1:26" x14ac:dyDescent="0.25">
      <c r="D60" s="2356"/>
      <c r="E60" s="2356"/>
      <c r="F60" s="320"/>
      <c r="G60" s="320"/>
      <c r="H60" s="320"/>
      <c r="I60" s="320"/>
      <c r="J60" s="320"/>
      <c r="K60" s="320"/>
      <c r="L60" s="320"/>
      <c r="M60" s="320"/>
      <c r="N60" s="2911"/>
      <c r="O60" s="320"/>
      <c r="P60" s="320"/>
      <c r="Q60" s="320"/>
      <c r="R60" s="320"/>
      <c r="S60" s="320"/>
    </row>
    <row r="61" spans="1:26" x14ac:dyDescent="0.25">
      <c r="D61" s="2356"/>
      <c r="E61" s="2356"/>
      <c r="F61" s="320"/>
      <c r="G61" s="320"/>
      <c r="H61" s="320"/>
      <c r="I61" s="320"/>
      <c r="J61" s="320"/>
      <c r="K61" s="320"/>
      <c r="L61" s="320"/>
      <c r="M61" s="320"/>
      <c r="N61" s="2911"/>
      <c r="O61" s="320"/>
      <c r="P61" s="320"/>
      <c r="Q61" s="320"/>
      <c r="R61" s="320"/>
      <c r="S61" s="320"/>
    </row>
    <row r="62" spans="1:26" x14ac:dyDescent="0.25">
      <c r="D62" s="2356"/>
      <c r="E62" s="2356"/>
      <c r="F62" s="320"/>
      <c r="G62" s="320"/>
      <c r="H62" s="320"/>
      <c r="I62" s="320"/>
      <c r="J62" s="320"/>
      <c r="K62" s="320"/>
      <c r="L62" s="320"/>
      <c r="M62" s="320"/>
      <c r="N62" s="2911"/>
      <c r="O62" s="320"/>
      <c r="P62" s="320"/>
      <c r="Q62" s="320"/>
      <c r="R62" s="320"/>
      <c r="S62" s="320"/>
    </row>
    <row r="63" spans="1:26" x14ac:dyDescent="0.25">
      <c r="D63" s="2912"/>
      <c r="E63" s="2912"/>
      <c r="F63" s="2356"/>
      <c r="G63" s="2356"/>
      <c r="H63" s="2356"/>
      <c r="I63" s="2356"/>
      <c r="J63" s="2356"/>
      <c r="K63" s="2356"/>
      <c r="L63" s="2912"/>
      <c r="M63" s="2356"/>
      <c r="N63" s="2911"/>
      <c r="O63" s="2356"/>
      <c r="P63" s="2356"/>
      <c r="Q63" s="2356"/>
      <c r="R63" s="2356"/>
      <c r="S63" s="2356"/>
    </row>
    <row r="64" spans="1:26" x14ac:dyDescent="0.25">
      <c r="D64" s="2356"/>
      <c r="E64" s="2356"/>
      <c r="F64" s="2356"/>
      <c r="G64" s="2356"/>
      <c r="H64" s="2356"/>
      <c r="I64" s="2356"/>
      <c r="J64" s="2356"/>
      <c r="K64" s="2356"/>
      <c r="L64" s="2356"/>
      <c r="M64" s="2356"/>
      <c r="N64" s="2356"/>
      <c r="O64" s="2356"/>
      <c r="P64" s="2356"/>
      <c r="Q64" s="2356"/>
      <c r="R64" s="2356"/>
      <c r="S64" s="2356"/>
    </row>
    <row r="65" spans="1:25" x14ac:dyDescent="0.25">
      <c r="D65" s="2356"/>
      <c r="E65" s="2356"/>
      <c r="F65" s="2356"/>
      <c r="G65" s="2356"/>
      <c r="H65" s="2356"/>
      <c r="I65" s="2356"/>
      <c r="J65" s="2356"/>
      <c r="K65" s="2356"/>
      <c r="L65" s="2356"/>
      <c r="M65" s="2356"/>
      <c r="N65" s="2356"/>
      <c r="O65" s="2356"/>
      <c r="P65" s="2356"/>
      <c r="Q65" s="2356"/>
      <c r="R65" s="2356"/>
      <c r="S65" s="2356"/>
    </row>
    <row r="66" spans="1:25" x14ac:dyDescent="0.25">
      <c r="D66" s="2356"/>
      <c r="E66" s="2356"/>
      <c r="F66" s="2356"/>
      <c r="G66" s="2356"/>
      <c r="H66" s="2356"/>
      <c r="I66" s="2356"/>
      <c r="J66" s="2356"/>
      <c r="K66" s="2356"/>
      <c r="L66" s="2356"/>
      <c r="M66" s="2356"/>
      <c r="N66" s="2356"/>
      <c r="O66" s="2356"/>
      <c r="P66" s="2356"/>
      <c r="Q66" s="2356"/>
      <c r="R66" s="2356"/>
      <c r="S66" s="2356"/>
    </row>
    <row r="67" spans="1:25" x14ac:dyDescent="0.25">
      <c r="D67" s="2356"/>
      <c r="E67" s="2356"/>
      <c r="F67" s="2356"/>
      <c r="G67" s="2356"/>
      <c r="H67" s="2356"/>
      <c r="I67" s="2356"/>
      <c r="J67" s="2356"/>
      <c r="K67" s="2356"/>
      <c r="L67" s="2356"/>
      <c r="M67" s="2356"/>
      <c r="N67" s="2356"/>
      <c r="O67" s="2356"/>
      <c r="P67" s="2356"/>
      <c r="Q67" s="2356"/>
      <c r="R67" s="2356"/>
      <c r="S67" s="2356"/>
    </row>
    <row r="68" spans="1:25" x14ac:dyDescent="0.25">
      <c r="D68" s="2356"/>
      <c r="E68" s="2356"/>
      <c r="F68" s="2356"/>
      <c r="G68" s="2356"/>
      <c r="H68" s="2356"/>
      <c r="I68" s="2356"/>
      <c r="J68" s="2356"/>
      <c r="K68" s="2356"/>
      <c r="L68" s="2356"/>
      <c r="M68" s="2356"/>
      <c r="N68" s="2356"/>
      <c r="O68" s="2356"/>
      <c r="P68" s="2356"/>
      <c r="Q68" s="2356"/>
      <c r="R68" s="2356"/>
      <c r="S68" s="2356"/>
    </row>
    <row r="69" spans="1:25" x14ac:dyDescent="0.25">
      <c r="D69" s="2356"/>
      <c r="E69" s="2356"/>
      <c r="F69" s="2356"/>
      <c r="G69" s="2356"/>
      <c r="H69" s="2356"/>
      <c r="I69" s="2356"/>
      <c r="J69" s="2356"/>
      <c r="K69" s="2356"/>
      <c r="L69" s="2356"/>
      <c r="M69" s="2356"/>
      <c r="N69" s="2356"/>
      <c r="O69" s="2356"/>
      <c r="P69" s="2356"/>
      <c r="Q69" s="2356"/>
      <c r="R69" s="2356"/>
      <c r="S69" s="2356"/>
    </row>
    <row r="70" spans="1:25" x14ac:dyDescent="0.25">
      <c r="D70" s="2356"/>
      <c r="E70" s="2356"/>
      <c r="F70" s="2356"/>
      <c r="G70" s="2356"/>
      <c r="H70" s="2356"/>
      <c r="I70" s="2356"/>
      <c r="J70" s="2356"/>
      <c r="K70" s="2356"/>
      <c r="L70" s="2356"/>
      <c r="M70" s="2356"/>
      <c r="N70" s="2356"/>
      <c r="O70" s="2356"/>
      <c r="P70" s="2356"/>
      <c r="Q70" s="2356"/>
      <c r="R70" s="2356"/>
      <c r="S70" s="2356"/>
    </row>
    <row r="71" spans="1:25" x14ac:dyDescent="0.25">
      <c r="A71" s="2358">
        <v>7</v>
      </c>
      <c r="B71" s="2358" t="s">
        <v>29</v>
      </c>
      <c r="C71" s="2358"/>
      <c r="D71" s="4048" t="s">
        <v>673</v>
      </c>
      <c r="E71" s="4049"/>
      <c r="F71" s="4049"/>
      <c r="G71" s="4049"/>
      <c r="H71" s="4049"/>
      <c r="I71" s="4049"/>
      <c r="J71" s="4049"/>
      <c r="K71" s="4049"/>
      <c r="L71" s="4049"/>
      <c r="M71" s="4049"/>
      <c r="N71" s="4049"/>
      <c r="O71" s="4049"/>
      <c r="P71" s="4049"/>
      <c r="Q71" s="4049"/>
      <c r="R71" s="4049"/>
      <c r="S71" s="4049"/>
      <c r="T71" s="4049"/>
      <c r="U71" s="4049"/>
      <c r="V71" s="4049"/>
      <c r="W71" s="4049"/>
      <c r="X71" s="4049"/>
      <c r="Y71" s="4050"/>
    </row>
    <row r="72" spans="1:25" ht="79.150000000000006" customHeight="1" x14ac:dyDescent="0.25">
      <c r="A72" s="2433">
        <v>8</v>
      </c>
      <c r="B72" s="2433" t="s">
        <v>32</v>
      </c>
      <c r="C72" s="2433"/>
      <c r="D72" s="4430" t="s">
        <v>1233</v>
      </c>
      <c r="E72" s="4431"/>
      <c r="F72" s="4431"/>
      <c r="G72" s="4431"/>
      <c r="H72" s="4431"/>
      <c r="I72" s="4431"/>
      <c r="J72" s="4431"/>
      <c r="K72" s="4431"/>
      <c r="L72" s="4431"/>
      <c r="M72" s="4431"/>
      <c r="N72" s="4431"/>
      <c r="O72" s="4431"/>
      <c r="P72" s="4431"/>
      <c r="Q72" s="4431"/>
      <c r="R72" s="4431"/>
      <c r="S72" s="4431"/>
      <c r="T72" s="4431"/>
      <c r="U72" s="4431"/>
      <c r="V72" s="4431"/>
      <c r="W72" s="4431"/>
      <c r="X72" s="4431"/>
      <c r="Y72" s="4432"/>
    </row>
    <row r="73" spans="1:25" ht="14.45" customHeight="1" x14ac:dyDescent="0.25">
      <c r="A73" s="2358">
        <v>9</v>
      </c>
      <c r="B73" s="2358" t="s">
        <v>31</v>
      </c>
      <c r="C73" s="2358"/>
      <c r="D73" s="4072" t="s">
        <v>1234</v>
      </c>
      <c r="E73" s="4073"/>
      <c r="F73" s="4073"/>
      <c r="G73" s="4073"/>
      <c r="H73" s="4073"/>
      <c r="I73" s="4073"/>
      <c r="J73" s="4073"/>
      <c r="K73" s="4073"/>
      <c r="L73" s="4073"/>
      <c r="M73" s="4073"/>
      <c r="N73" s="4073"/>
      <c r="O73" s="4073"/>
      <c r="P73" s="4073"/>
      <c r="Q73" s="4073"/>
      <c r="R73" s="4073"/>
      <c r="S73" s="4073"/>
      <c r="T73" s="4073"/>
      <c r="U73" s="4073"/>
      <c r="V73" s="4073"/>
      <c r="W73" s="4073"/>
      <c r="X73" s="4073"/>
      <c r="Y73" s="4074"/>
    </row>
    <row r="75" spans="1:25" x14ac:dyDescent="0.25">
      <c r="A75" s="2357"/>
      <c r="B75" s="2357"/>
      <c r="C75" s="2357"/>
      <c r="D75" s="2913"/>
      <c r="E75" s="2913"/>
    </row>
  </sheetData>
  <mergeCells count="6">
    <mergeCell ref="D73:Y73"/>
    <mergeCell ref="D71:Y71"/>
    <mergeCell ref="D72:Y72"/>
    <mergeCell ref="D2:AB2"/>
    <mergeCell ref="D3:AB3"/>
    <mergeCell ref="D4:AB4"/>
  </mergeCells>
  <pageMargins left="0.74803149606299213" right="0.74803149606299213" top="0.98425196850393704" bottom="0.98425196850393704" header="0.51181102362204722" footer="0.51181102362204722"/>
  <pageSetup paperSize="9" scale="58"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46" max="2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A45"/>
  <sheetViews>
    <sheetView showGridLines="0" view="pageBreakPreview" zoomScale="120" zoomScaleNormal="100" zoomScaleSheetLayoutView="120" workbookViewId="0">
      <selection activeCell="A41" sqref="A41:XFD42"/>
    </sheetView>
  </sheetViews>
  <sheetFormatPr defaultColWidth="9.140625" defaultRowHeight="15" x14ac:dyDescent="0.25"/>
  <cols>
    <col min="1" max="1" width="3.7109375" style="2358" customWidth="1"/>
    <col min="2" max="2" width="14.42578125" style="2355" customWidth="1"/>
    <col min="3" max="3" width="3.7109375" style="2355" customWidth="1"/>
    <col min="4" max="4" width="15" style="2357" customWidth="1"/>
    <col min="5" max="11" width="7.42578125" style="2357" customWidth="1"/>
    <col min="12" max="12" width="7.28515625" style="2357" customWidth="1"/>
    <col min="13" max="13" width="6.140625" style="2357" customWidth="1"/>
    <col min="14" max="14" width="6.7109375" style="2357" customWidth="1"/>
    <col min="15" max="15" width="6" style="2357" customWidth="1"/>
    <col min="16" max="19" width="7.42578125" style="2357" customWidth="1"/>
    <col min="20" max="23" width="6.7109375" style="2357" customWidth="1"/>
    <col min="24" max="24" width="8" style="2357" customWidth="1"/>
    <col min="25" max="25" width="8.140625" style="2357" customWidth="1"/>
    <col min="26" max="26" width="5.85546875" style="2357" customWidth="1"/>
    <col min="27" max="27" width="6.5703125" style="2357" customWidth="1"/>
    <col min="28" max="16384" width="9.140625" style="2357"/>
  </cols>
  <sheetData>
    <row r="1" spans="1:27" x14ac:dyDescent="0.25">
      <c r="D1" s="2356"/>
      <c r="E1" s="2356"/>
      <c r="F1" s="2356"/>
      <c r="G1" s="2356"/>
      <c r="H1" s="2356"/>
      <c r="I1" s="2356"/>
      <c r="J1" s="2356"/>
      <c r="K1" s="2356"/>
      <c r="L1" s="2356"/>
      <c r="M1" s="2356"/>
      <c r="N1" s="2356"/>
      <c r="O1" s="2356"/>
      <c r="P1" s="2356"/>
      <c r="Q1" s="2356"/>
      <c r="R1" s="2356"/>
    </row>
    <row r="2" spans="1:27" ht="14.45" customHeight="1" x14ac:dyDescent="0.25">
      <c r="A2" s="2358">
        <v>1</v>
      </c>
      <c r="B2" s="2358" t="s">
        <v>0</v>
      </c>
      <c r="C2" s="2358">
        <v>69</v>
      </c>
      <c r="D2" s="4048" t="s">
        <v>1235</v>
      </c>
      <c r="E2" s="4049"/>
      <c r="F2" s="4049"/>
      <c r="G2" s="4049"/>
      <c r="H2" s="4049"/>
      <c r="I2" s="4049"/>
      <c r="J2" s="4049"/>
      <c r="K2" s="4049"/>
      <c r="L2" s="4049"/>
      <c r="M2" s="4049"/>
      <c r="N2" s="4049"/>
      <c r="O2" s="4049"/>
      <c r="P2" s="4049"/>
      <c r="Q2" s="4049"/>
      <c r="R2" s="4049"/>
      <c r="S2" s="4049"/>
      <c r="T2" s="4049"/>
      <c r="U2" s="4049"/>
      <c r="V2" s="4049"/>
      <c r="W2" s="4049"/>
      <c r="X2" s="4049"/>
      <c r="Y2" s="4049"/>
      <c r="Z2" s="4049"/>
      <c r="AA2" s="4050"/>
    </row>
    <row r="3" spans="1:27" ht="15" customHeight="1" x14ac:dyDescent="0.25">
      <c r="A3" s="2358">
        <v>2</v>
      </c>
      <c r="B3" s="2358" t="s">
        <v>2</v>
      </c>
      <c r="C3" s="2358"/>
      <c r="D3" s="4048" t="s">
        <v>1236</v>
      </c>
      <c r="E3" s="4049"/>
      <c r="F3" s="4049"/>
      <c r="G3" s="4049"/>
      <c r="H3" s="4049"/>
      <c r="I3" s="4049"/>
      <c r="J3" s="4049"/>
      <c r="K3" s="4049"/>
      <c r="L3" s="4049"/>
      <c r="M3" s="4049"/>
      <c r="N3" s="4049"/>
      <c r="O3" s="4049"/>
      <c r="P3" s="4049"/>
      <c r="Q3" s="4049"/>
      <c r="R3" s="4049"/>
      <c r="S3" s="4049"/>
      <c r="T3" s="4049"/>
      <c r="U3" s="4049"/>
      <c r="V3" s="4049"/>
      <c r="W3" s="4049"/>
      <c r="X3" s="4049"/>
      <c r="Y3" s="4049"/>
      <c r="Z3" s="4049"/>
      <c r="AA3" s="4050"/>
    </row>
    <row r="4" spans="1:27" ht="14.45" customHeight="1" x14ac:dyDescent="0.25">
      <c r="A4" s="2358">
        <v>3</v>
      </c>
      <c r="B4" s="2358" t="s">
        <v>4</v>
      </c>
      <c r="C4" s="2358"/>
      <c r="D4" s="4048" t="s">
        <v>1742</v>
      </c>
      <c r="E4" s="4049"/>
      <c r="F4" s="4049"/>
      <c r="G4" s="4049"/>
      <c r="H4" s="4049"/>
      <c r="I4" s="4049"/>
      <c r="J4" s="4049"/>
      <c r="K4" s="4049"/>
      <c r="L4" s="4049"/>
      <c r="M4" s="4049"/>
      <c r="N4" s="4049"/>
      <c r="O4" s="4049"/>
      <c r="P4" s="4049"/>
      <c r="Q4" s="4049"/>
      <c r="R4" s="4049"/>
      <c r="S4" s="4049"/>
      <c r="T4" s="4049"/>
      <c r="U4" s="4049"/>
      <c r="V4" s="4049"/>
      <c r="W4" s="4049"/>
      <c r="X4" s="4049"/>
      <c r="Y4" s="4049"/>
      <c r="Z4" s="4049"/>
      <c r="AA4" s="4050"/>
    </row>
    <row r="5" spans="1:27" ht="15" customHeight="1" x14ac:dyDescent="0.25">
      <c r="A5" s="2633"/>
      <c r="B5" s="2633"/>
      <c r="C5" s="2633"/>
      <c r="D5" s="2361"/>
      <c r="E5" s="48"/>
      <c r="F5" s="48"/>
      <c r="G5" s="48"/>
      <c r="H5" s="48"/>
      <c r="I5" s="48"/>
      <c r="J5" s="48"/>
      <c r="K5" s="48"/>
      <c r="L5" s="48"/>
      <c r="M5" s="48"/>
      <c r="N5" s="48"/>
      <c r="O5" s="48"/>
      <c r="P5" s="48"/>
      <c r="Q5" s="316"/>
      <c r="R5" s="316"/>
    </row>
    <row r="6" spans="1:27" x14ac:dyDescent="0.25">
      <c r="A6" s="2358">
        <v>4</v>
      </c>
      <c r="B6" s="1568" t="s">
        <v>5</v>
      </c>
      <c r="C6" s="1568"/>
      <c r="Q6" s="316"/>
      <c r="R6" s="316"/>
    </row>
    <row r="7" spans="1:27" s="2866" customFormat="1" ht="16.5" x14ac:dyDescent="0.3">
      <c r="A7" s="2858"/>
      <c r="B7" s="2858"/>
      <c r="C7" s="2858"/>
      <c r="D7" s="2914" t="s">
        <v>112</v>
      </c>
      <c r="E7" s="2915" t="s">
        <v>1237</v>
      </c>
      <c r="F7" s="2916"/>
      <c r="G7" s="2916"/>
      <c r="H7" s="2917"/>
      <c r="I7" s="2917"/>
      <c r="J7" s="2917"/>
      <c r="K7" s="2917"/>
      <c r="L7" s="2918"/>
      <c r="M7" s="2919"/>
      <c r="N7" s="2919"/>
      <c r="O7" s="2919"/>
      <c r="P7" s="2919"/>
      <c r="Q7" s="2920"/>
      <c r="R7" s="2920"/>
      <c r="S7" s="2920"/>
      <c r="T7" s="2920"/>
      <c r="U7" s="2920"/>
      <c r="V7" s="2920"/>
      <c r="W7" s="2921"/>
    </row>
    <row r="8" spans="1:27" x14ac:dyDescent="0.25">
      <c r="D8" s="2922"/>
      <c r="E8" s="2923" t="s">
        <v>132</v>
      </c>
      <c r="F8" s="2923" t="s">
        <v>133</v>
      </c>
      <c r="G8" s="2923" t="s">
        <v>134</v>
      </c>
      <c r="H8" s="2923" t="s">
        <v>135</v>
      </c>
      <c r="I8" s="2923" t="s">
        <v>136</v>
      </c>
      <c r="J8" s="2924" t="s">
        <v>137</v>
      </c>
      <c r="K8" s="2923" t="s">
        <v>138</v>
      </c>
      <c r="L8" s="2923" t="s">
        <v>139</v>
      </c>
      <c r="M8" s="2923" t="s">
        <v>140</v>
      </c>
      <c r="N8" s="2923" t="s">
        <v>141</v>
      </c>
      <c r="O8" s="2923" t="s">
        <v>142</v>
      </c>
      <c r="P8" s="2923" t="s">
        <v>143</v>
      </c>
      <c r="Q8" s="2923" t="s">
        <v>144</v>
      </c>
      <c r="R8" s="2923" t="s">
        <v>145</v>
      </c>
      <c r="S8" s="2923" t="s">
        <v>8</v>
      </c>
      <c r="T8" s="2923" t="s">
        <v>9</v>
      </c>
      <c r="U8" s="2923" t="s">
        <v>10</v>
      </c>
      <c r="V8" s="2923" t="s">
        <v>11</v>
      </c>
      <c r="W8" s="2923" t="s">
        <v>12</v>
      </c>
      <c r="X8" s="2923" t="s">
        <v>13</v>
      </c>
      <c r="Y8" s="2923" t="s">
        <v>14</v>
      </c>
      <c r="Z8" s="2923" t="s">
        <v>15</v>
      </c>
      <c r="AA8" s="3707" t="s">
        <v>333</v>
      </c>
    </row>
    <row r="9" spans="1:27" ht="15.75" customHeight="1" x14ac:dyDescent="0.25">
      <c r="D9" s="2925" t="s">
        <v>1238</v>
      </c>
      <c r="E9" s="2926"/>
      <c r="F9" s="2927"/>
      <c r="G9" s="2927"/>
      <c r="H9" s="2926"/>
      <c r="I9" s="2927"/>
      <c r="J9" s="2926"/>
      <c r="K9" s="2927"/>
      <c r="L9" s="2926"/>
      <c r="M9" s="2926"/>
      <c r="N9" s="2926"/>
      <c r="O9" s="2926"/>
      <c r="P9" s="2926"/>
      <c r="Q9" s="2926">
        <v>24657</v>
      </c>
      <c r="R9" s="2926">
        <v>60543</v>
      </c>
      <c r="S9" s="2926">
        <v>44481</v>
      </c>
      <c r="T9" s="2926">
        <v>116097</v>
      </c>
      <c r="U9" s="2926">
        <v>116716</v>
      </c>
      <c r="V9" s="2926">
        <v>77087</v>
      </c>
      <c r="W9" s="2926">
        <v>61049</v>
      </c>
      <c r="X9" s="2928">
        <v>68624</v>
      </c>
      <c r="Y9" s="2926">
        <v>75595</v>
      </c>
      <c r="Z9" s="2928">
        <v>80960</v>
      </c>
      <c r="AA9" s="3708">
        <v>86518</v>
      </c>
    </row>
    <row r="10" spans="1:27" ht="12.75" customHeight="1" x14ac:dyDescent="0.25">
      <c r="D10" s="2929" t="s">
        <v>1239</v>
      </c>
      <c r="E10" s="2930"/>
      <c r="F10" s="2930"/>
      <c r="G10" s="2930">
        <f t="shared" ref="G10:T10" si="0">SUM(G11:G14)</f>
        <v>13013</v>
      </c>
      <c r="H10" s="2930">
        <f t="shared" si="0"/>
        <v>9076</v>
      </c>
      <c r="I10" s="2930">
        <f t="shared" si="0"/>
        <v>19603</v>
      </c>
      <c r="J10" s="2930">
        <f t="shared" si="0"/>
        <v>22998</v>
      </c>
      <c r="K10" s="2930">
        <f t="shared" si="0"/>
        <v>29114</v>
      </c>
      <c r="L10" s="2930">
        <f t="shared" si="0"/>
        <v>41392</v>
      </c>
      <c r="M10" s="2930">
        <f t="shared" si="0"/>
        <v>40938</v>
      </c>
      <c r="N10" s="2930">
        <f t="shared" si="0"/>
        <v>41546</v>
      </c>
      <c r="O10" s="2930">
        <f t="shared" si="0"/>
        <v>35162</v>
      </c>
      <c r="P10" s="2930">
        <f t="shared" si="0"/>
        <v>44663</v>
      </c>
      <c r="Q10" s="2930">
        <f t="shared" si="0"/>
        <v>43593</v>
      </c>
      <c r="R10" s="2930">
        <f t="shared" si="0"/>
        <v>25238</v>
      </c>
      <c r="S10" s="2930">
        <f t="shared" si="0"/>
        <v>101620</v>
      </c>
      <c r="T10" s="2930">
        <f t="shared" si="0"/>
        <v>34875</v>
      </c>
      <c r="U10" s="2930">
        <f>SUM(U11:U14)</f>
        <v>33807</v>
      </c>
      <c r="V10" s="2930">
        <f>SUM(V11:V14)</f>
        <v>30657</v>
      </c>
      <c r="W10" s="2930">
        <f>SUM(W11:W14)</f>
        <v>29965</v>
      </c>
      <c r="X10" s="2931">
        <v>28033</v>
      </c>
      <c r="Y10" s="2930">
        <v>26499</v>
      </c>
      <c r="Z10" s="2930">
        <v>24171</v>
      </c>
      <c r="AA10" s="3709">
        <v>25573</v>
      </c>
    </row>
    <row r="11" spans="1:27" ht="10.5" customHeight="1" x14ac:dyDescent="0.25">
      <c r="D11" s="2929" t="s">
        <v>1240</v>
      </c>
      <c r="E11" s="2932"/>
      <c r="F11" s="2932"/>
      <c r="G11" s="2932"/>
      <c r="H11" s="2932">
        <v>2273</v>
      </c>
      <c r="I11" s="2933">
        <v>9451</v>
      </c>
      <c r="J11" s="2932">
        <v>10334</v>
      </c>
      <c r="K11" s="2933">
        <v>10220</v>
      </c>
      <c r="L11" s="2932">
        <v>16081</v>
      </c>
      <c r="M11" s="2932">
        <v>19851</v>
      </c>
      <c r="N11" s="2932">
        <v>15004</v>
      </c>
      <c r="O11" s="2932">
        <v>8502</v>
      </c>
      <c r="P11" s="2932">
        <v>16202</v>
      </c>
      <c r="Q11" s="2932">
        <v>17475</v>
      </c>
      <c r="R11" s="2932">
        <v>5930</v>
      </c>
      <c r="S11" s="2932">
        <v>78282</v>
      </c>
      <c r="T11" s="2932">
        <v>8302</v>
      </c>
      <c r="U11" s="2932">
        <v>7579</v>
      </c>
      <c r="V11" s="2932">
        <v>7713</v>
      </c>
      <c r="W11" s="2932">
        <v>6875</v>
      </c>
      <c r="X11" s="2934">
        <v>7825</v>
      </c>
      <c r="Y11" s="2932">
        <v>7407</v>
      </c>
      <c r="Z11" s="2932">
        <v>13430</v>
      </c>
      <c r="AA11" s="3710">
        <v>14577</v>
      </c>
    </row>
    <row r="12" spans="1:27" s="2365" customFormat="1" ht="12.75" customHeight="1" x14ac:dyDescent="0.25">
      <c r="A12" s="2679"/>
      <c r="B12" s="2882"/>
      <c r="C12" s="2882"/>
      <c r="D12" s="2935" t="s">
        <v>1241</v>
      </c>
      <c r="E12" s="2936"/>
      <c r="F12" s="2936"/>
      <c r="G12" s="2937"/>
      <c r="H12" s="2937"/>
      <c r="I12" s="2937"/>
      <c r="J12" s="2937"/>
      <c r="K12" s="2937">
        <v>2347</v>
      </c>
      <c r="L12" s="2937">
        <v>2312</v>
      </c>
      <c r="M12" s="2937">
        <v>2786</v>
      </c>
      <c r="N12" s="2937">
        <v>2600</v>
      </c>
      <c r="O12" s="2937">
        <v>1509</v>
      </c>
      <c r="P12" s="2937">
        <v>1789</v>
      </c>
      <c r="Q12" s="2937">
        <v>1757</v>
      </c>
      <c r="R12" s="2932">
        <v>1668</v>
      </c>
      <c r="S12" s="2932">
        <v>1789</v>
      </c>
      <c r="T12" s="2932">
        <v>1745</v>
      </c>
      <c r="U12" s="2932">
        <v>1693</v>
      </c>
      <c r="V12" s="2932">
        <v>1515</v>
      </c>
      <c r="W12" s="2932">
        <v>1690</v>
      </c>
      <c r="X12" s="2934">
        <v>1690</v>
      </c>
      <c r="Y12" s="2932">
        <v>1871</v>
      </c>
      <c r="Z12" s="2932">
        <v>1765</v>
      </c>
      <c r="AA12" s="3710">
        <v>1547</v>
      </c>
    </row>
    <row r="13" spans="1:27" ht="15" customHeight="1" x14ac:dyDescent="0.25">
      <c r="D13" s="2935" t="s">
        <v>1242</v>
      </c>
      <c r="E13" s="2937"/>
      <c r="F13" s="2937"/>
      <c r="G13" s="2936"/>
      <c r="H13" s="2936"/>
      <c r="I13" s="2936"/>
      <c r="J13" s="2936"/>
      <c r="K13" s="2937">
        <v>2635</v>
      </c>
      <c r="L13" s="2937">
        <v>2895</v>
      </c>
      <c r="M13" s="2937">
        <v>3175</v>
      </c>
      <c r="N13" s="2937">
        <v>3342</v>
      </c>
      <c r="O13" s="2937">
        <v>2759</v>
      </c>
      <c r="P13" s="2937">
        <v>2203</v>
      </c>
      <c r="Q13" s="2937">
        <v>2265</v>
      </c>
      <c r="R13" s="2932">
        <v>2510</v>
      </c>
      <c r="S13" s="2932">
        <v>2960</v>
      </c>
      <c r="T13" s="2932">
        <v>2905</v>
      </c>
      <c r="U13" s="2932">
        <v>2906</v>
      </c>
      <c r="V13" s="2932">
        <v>3110</v>
      </c>
      <c r="W13" s="2932">
        <v>3281</v>
      </c>
      <c r="X13" s="2934">
        <v>3276</v>
      </c>
      <c r="Y13" s="2932">
        <v>3108</v>
      </c>
      <c r="Z13" s="2932">
        <v>3268</v>
      </c>
      <c r="AA13" s="3710">
        <v>3308</v>
      </c>
    </row>
    <row r="14" spans="1:27" x14ac:dyDescent="0.25">
      <c r="D14" s="2938" t="s">
        <v>402</v>
      </c>
      <c r="E14" s="2939"/>
      <c r="F14" s="2939"/>
      <c r="G14" s="2939">
        <v>13013</v>
      </c>
      <c r="H14" s="2939">
        <v>6803</v>
      </c>
      <c r="I14" s="2939">
        <v>10152</v>
      </c>
      <c r="J14" s="2939">
        <v>12664</v>
      </c>
      <c r="K14" s="2939">
        <v>13912</v>
      </c>
      <c r="L14" s="2939">
        <v>20104</v>
      </c>
      <c r="M14" s="2939">
        <v>15126</v>
      </c>
      <c r="N14" s="2939">
        <v>20600</v>
      </c>
      <c r="O14" s="2939">
        <v>22392</v>
      </c>
      <c r="P14" s="2939">
        <v>24469</v>
      </c>
      <c r="Q14" s="2939">
        <v>22096</v>
      </c>
      <c r="R14" s="2939">
        <v>15130</v>
      </c>
      <c r="S14" s="2940">
        <v>18589</v>
      </c>
      <c r="T14" s="2940">
        <v>21923</v>
      </c>
      <c r="U14" s="2940">
        <v>21629</v>
      </c>
      <c r="V14" s="2940">
        <v>18319</v>
      </c>
      <c r="W14" s="2940">
        <v>18119</v>
      </c>
      <c r="X14" s="2940">
        <v>15242</v>
      </c>
      <c r="Y14" s="2939">
        <v>14113</v>
      </c>
      <c r="Z14" s="2939">
        <v>12841</v>
      </c>
      <c r="AA14" s="3711">
        <v>16819</v>
      </c>
    </row>
    <row r="15" spans="1:27" x14ac:dyDescent="0.25">
      <c r="D15" s="2935" t="s">
        <v>1243</v>
      </c>
      <c r="E15" s="2937"/>
      <c r="F15" s="2937"/>
      <c r="G15" s="2937"/>
      <c r="H15" s="2937"/>
      <c r="I15" s="2937"/>
      <c r="J15" s="2937"/>
      <c r="K15" s="2937"/>
      <c r="L15" s="2937"/>
      <c r="M15" s="2937"/>
      <c r="N15" s="2937"/>
      <c r="O15" s="2937"/>
      <c r="P15" s="2937"/>
      <c r="Q15" s="2937">
        <v>157444</v>
      </c>
      <c r="R15" s="2937">
        <v>9073</v>
      </c>
      <c r="S15" s="2907"/>
      <c r="T15" s="2907"/>
      <c r="U15" s="2907"/>
      <c r="V15" s="2907">
        <v>20865</v>
      </c>
      <c r="W15" s="2907">
        <v>21120</v>
      </c>
      <c r="X15" s="2937">
        <v>23565</v>
      </c>
      <c r="Y15" s="2937">
        <v>32523</v>
      </c>
      <c r="Z15" s="2937">
        <v>36014</v>
      </c>
      <c r="AA15" s="3712">
        <v>39407</v>
      </c>
    </row>
    <row r="16" spans="1:27" ht="14.45" customHeight="1" x14ac:dyDescent="0.25">
      <c r="D16" s="2935" t="s">
        <v>1244</v>
      </c>
      <c r="E16" s="2937">
        <v>10010</v>
      </c>
      <c r="F16" s="2937">
        <v>153672</v>
      </c>
      <c r="G16" s="2937">
        <v>106324</v>
      </c>
      <c r="H16" s="2937">
        <v>125164</v>
      </c>
      <c r="I16" s="2937">
        <v>48680</v>
      </c>
      <c r="J16" s="2937">
        <v>23783</v>
      </c>
      <c r="K16" s="2937">
        <v>31122</v>
      </c>
      <c r="L16" s="2937">
        <v>8851</v>
      </c>
      <c r="M16" s="2937">
        <v>103380</v>
      </c>
      <c r="N16" s="2937">
        <v>77858</v>
      </c>
      <c r="O16" s="2937">
        <v>118057</v>
      </c>
      <c r="P16" s="2937">
        <v>86571</v>
      </c>
      <c r="Q16" s="2937">
        <v>13034</v>
      </c>
      <c r="R16" s="2937">
        <v>116115</v>
      </c>
      <c r="S16" s="2907">
        <v>28187</v>
      </c>
      <c r="T16" s="2907">
        <v>134358</v>
      </c>
      <c r="U16" s="2907">
        <v>40469</v>
      </c>
      <c r="V16" s="2907">
        <v>104073</v>
      </c>
      <c r="W16" s="2907">
        <v>152406</v>
      </c>
      <c r="X16" s="2907">
        <v>152707</v>
      </c>
      <c r="Y16" s="2932">
        <v>91013</v>
      </c>
      <c r="Z16" s="2932">
        <v>109690</v>
      </c>
      <c r="AA16" s="3710">
        <v>108960</v>
      </c>
    </row>
    <row r="17" spans="1:27" x14ac:dyDescent="0.25">
      <c r="D17" s="2941" t="s">
        <v>1245</v>
      </c>
      <c r="E17" s="2942">
        <v>64059</v>
      </c>
      <c r="F17" s="2942">
        <v>76275</v>
      </c>
      <c r="G17" s="2942">
        <v>113033</v>
      </c>
      <c r="H17" s="2942">
        <v>121738</v>
      </c>
      <c r="I17" s="2942" t="s">
        <v>344</v>
      </c>
      <c r="J17" s="2942">
        <v>152786</v>
      </c>
      <c r="K17" s="2942">
        <v>124374</v>
      </c>
      <c r="L17" s="2942">
        <v>168009</v>
      </c>
      <c r="M17" s="2942">
        <v>156457</v>
      </c>
      <c r="N17" s="2942">
        <v>161618</v>
      </c>
      <c r="O17" s="2942">
        <v>165615</v>
      </c>
      <c r="P17" s="2942">
        <v>164582</v>
      </c>
      <c r="Q17" s="2942">
        <v>165965</v>
      </c>
      <c r="R17" s="2942">
        <v>168784</v>
      </c>
      <c r="S17" s="2910">
        <v>178776</v>
      </c>
      <c r="T17" s="2910">
        <v>198859</v>
      </c>
      <c r="U17" s="2910">
        <v>83198</v>
      </c>
      <c r="V17" s="2910">
        <v>106478</v>
      </c>
      <c r="W17" s="2910">
        <v>120668</v>
      </c>
      <c r="X17" s="2910">
        <v>133826</v>
      </c>
      <c r="Y17" s="2942">
        <v>134760</v>
      </c>
      <c r="Z17" s="2942">
        <v>132364</v>
      </c>
      <c r="AA17" s="3713">
        <v>143480</v>
      </c>
    </row>
    <row r="18" spans="1:27" s="2881" customFormat="1" x14ac:dyDescent="0.25">
      <c r="A18" s="2358"/>
      <c r="B18" s="2877"/>
      <c r="C18" s="2877"/>
      <c r="D18" s="2943" t="s">
        <v>257</v>
      </c>
      <c r="E18" s="2944">
        <f>SUM(E9,E11:E17)</f>
        <v>74069</v>
      </c>
      <c r="F18" s="2944">
        <f t="shared" ref="F18:U18" si="1">SUM(F9,F11:F17)</f>
        <v>229947</v>
      </c>
      <c r="G18" s="2944">
        <f t="shared" si="1"/>
        <v>232370</v>
      </c>
      <c r="H18" s="2944">
        <f t="shared" si="1"/>
        <v>255978</v>
      </c>
      <c r="I18" s="2944">
        <f t="shared" si="1"/>
        <v>68283</v>
      </c>
      <c r="J18" s="2944">
        <f t="shared" si="1"/>
        <v>199567</v>
      </c>
      <c r="K18" s="2944">
        <f t="shared" si="1"/>
        <v>184610</v>
      </c>
      <c r="L18" s="2944">
        <f t="shared" si="1"/>
        <v>218252</v>
      </c>
      <c r="M18" s="2944">
        <f>SUM(M9,M11:M17)</f>
        <v>300775</v>
      </c>
      <c r="N18" s="2944">
        <f t="shared" si="1"/>
        <v>281022</v>
      </c>
      <c r="O18" s="2944">
        <f t="shared" si="1"/>
        <v>318834</v>
      </c>
      <c r="P18" s="2944">
        <f t="shared" si="1"/>
        <v>295816</v>
      </c>
      <c r="Q18" s="2944">
        <f t="shared" si="1"/>
        <v>404693</v>
      </c>
      <c r="R18" s="2944">
        <f t="shared" si="1"/>
        <v>379753</v>
      </c>
      <c r="S18" s="2944">
        <f t="shared" si="1"/>
        <v>353064</v>
      </c>
      <c r="T18" s="2944">
        <f t="shared" si="1"/>
        <v>484189</v>
      </c>
      <c r="U18" s="2944">
        <f t="shared" si="1"/>
        <v>274190</v>
      </c>
      <c r="V18" s="2944">
        <f t="shared" ref="V18:AA18" si="2">SUM(V15:V17)</f>
        <v>231416</v>
      </c>
      <c r="W18" s="2944">
        <f t="shared" si="2"/>
        <v>294194</v>
      </c>
      <c r="X18" s="2945">
        <f t="shared" si="2"/>
        <v>310098</v>
      </c>
      <c r="Y18" s="2945">
        <f t="shared" si="2"/>
        <v>258296</v>
      </c>
      <c r="Z18" s="2946">
        <f t="shared" si="2"/>
        <v>278068</v>
      </c>
      <c r="AA18" s="3714">
        <f t="shared" si="2"/>
        <v>291847</v>
      </c>
    </row>
    <row r="19" spans="1:27" x14ac:dyDescent="0.25">
      <c r="D19" s="2935"/>
      <c r="E19" s="2937"/>
      <c r="F19" s="2937"/>
      <c r="G19" s="2937"/>
      <c r="H19" s="2937"/>
      <c r="I19" s="2937"/>
      <c r="J19" s="2937"/>
      <c r="K19" s="2937"/>
      <c r="L19" s="2937"/>
      <c r="M19" s="2937"/>
      <c r="N19" s="2937"/>
      <c r="O19" s="2937"/>
      <c r="P19" s="2937"/>
      <c r="Q19" s="2937"/>
      <c r="R19" s="2937"/>
      <c r="S19" s="2907"/>
      <c r="T19" s="2907"/>
      <c r="U19" s="2907"/>
      <c r="V19" s="2907"/>
      <c r="W19" s="2907"/>
      <c r="X19" s="2907"/>
      <c r="Y19" s="921"/>
      <c r="Z19" s="2947"/>
      <c r="AA19" s="2947"/>
    </row>
    <row r="20" spans="1:27" s="2866" customFormat="1" ht="14.25" customHeight="1" x14ac:dyDescent="0.3">
      <c r="A20" s="2858"/>
      <c r="B20" s="2858"/>
      <c r="C20" s="2858"/>
      <c r="D20" s="2914" t="s">
        <v>112</v>
      </c>
      <c r="E20" s="2915" t="s">
        <v>1246</v>
      </c>
      <c r="F20" s="2916"/>
      <c r="G20" s="2916"/>
      <c r="H20" s="2917"/>
      <c r="I20" s="2917"/>
      <c r="J20" s="2917"/>
      <c r="K20" s="2917"/>
      <c r="L20" s="2918"/>
      <c r="M20" s="2919"/>
      <c r="N20" s="2919"/>
      <c r="O20" s="2919"/>
      <c r="P20" s="2919"/>
      <c r="Q20" s="2920"/>
      <c r="R20" s="2920"/>
      <c r="S20" s="2920"/>
      <c r="T20" s="2920"/>
      <c r="U20" s="2920"/>
      <c r="V20" s="2920"/>
      <c r="W20" s="2920"/>
      <c r="X20" s="2948"/>
      <c r="Y20" s="2949"/>
      <c r="Z20" s="2950"/>
      <c r="AA20" s="2950"/>
    </row>
    <row r="21" spans="1:27" x14ac:dyDescent="0.25">
      <c r="D21" s="2922"/>
      <c r="E21" s="2923" t="s">
        <v>132</v>
      </c>
      <c r="F21" s="2923" t="s">
        <v>133</v>
      </c>
      <c r="G21" s="2923" t="s">
        <v>134</v>
      </c>
      <c r="H21" s="2923" t="s">
        <v>135</v>
      </c>
      <c r="I21" s="2923" t="s">
        <v>136</v>
      </c>
      <c r="J21" s="2924" t="s">
        <v>137</v>
      </c>
      <c r="K21" s="2923" t="s">
        <v>138</v>
      </c>
      <c r="L21" s="2923" t="s">
        <v>139</v>
      </c>
      <c r="M21" s="2923" t="s">
        <v>140</v>
      </c>
      <c r="N21" s="2923" t="s">
        <v>141</v>
      </c>
      <c r="O21" s="2923" t="s">
        <v>142</v>
      </c>
      <c r="P21" s="2923" t="s">
        <v>143</v>
      </c>
      <c r="Q21" s="2923" t="s">
        <v>144</v>
      </c>
      <c r="R21" s="2923" t="s">
        <v>145</v>
      </c>
      <c r="S21" s="2923" t="s">
        <v>8</v>
      </c>
      <c r="T21" s="2923" t="s">
        <v>9</v>
      </c>
      <c r="U21" s="2923" t="s">
        <v>10</v>
      </c>
      <c r="V21" s="2923" t="s">
        <v>11</v>
      </c>
      <c r="W21" s="2923" t="s">
        <v>12</v>
      </c>
      <c r="X21" s="2951" t="s">
        <v>13</v>
      </c>
      <c r="Y21" s="2952" t="s">
        <v>14</v>
      </c>
      <c r="Z21" s="2953" t="s">
        <v>15</v>
      </c>
      <c r="AA21" s="3715" t="s">
        <v>333</v>
      </c>
    </row>
    <row r="22" spans="1:27" x14ac:dyDescent="0.25">
      <c r="D22" s="2935" t="s">
        <v>1247</v>
      </c>
      <c r="E22" s="2937">
        <v>17433</v>
      </c>
      <c r="F22" s="2937">
        <v>21159</v>
      </c>
      <c r="G22" s="2937">
        <v>22724</v>
      </c>
      <c r="H22" s="2937">
        <v>22280</v>
      </c>
      <c r="I22" s="2937">
        <v>21659</v>
      </c>
      <c r="J22" s="2937">
        <v>24954</v>
      </c>
      <c r="K22" s="2937">
        <v>28030</v>
      </c>
      <c r="L22" s="2937">
        <v>28941</v>
      </c>
      <c r="M22" s="2937">
        <v>31491</v>
      </c>
      <c r="N22" s="2937">
        <v>31562</v>
      </c>
      <c r="O22" s="2937">
        <v>24387</v>
      </c>
      <c r="P22" s="2937">
        <v>25899</v>
      </c>
      <c r="Q22" s="2937">
        <v>30914</v>
      </c>
      <c r="R22" s="2937">
        <v>34299</v>
      </c>
      <c r="S22" s="2907">
        <v>36862</v>
      </c>
      <c r="T22" s="2907">
        <v>42059</v>
      </c>
      <c r="U22" s="2907">
        <v>44218</v>
      </c>
      <c r="V22" s="2936">
        <v>46259</v>
      </c>
      <c r="W22" s="2907">
        <v>49282</v>
      </c>
      <c r="X22" s="2907">
        <v>50855</v>
      </c>
      <c r="Y22" s="2907">
        <v>51937</v>
      </c>
      <c r="Z22" s="2954" t="s">
        <v>1248</v>
      </c>
      <c r="AA22" s="3716" t="s">
        <v>1249</v>
      </c>
    </row>
    <row r="23" spans="1:27" x14ac:dyDescent="0.25">
      <c r="D23" s="2941" t="s">
        <v>1250</v>
      </c>
      <c r="E23" s="2942">
        <v>8487</v>
      </c>
      <c r="F23" s="2942">
        <v>10715</v>
      </c>
      <c r="G23" s="2942">
        <v>12054</v>
      </c>
      <c r="H23" s="2942">
        <v>11751</v>
      </c>
      <c r="I23" s="2942">
        <v>12648</v>
      </c>
      <c r="J23" s="2942">
        <v>16509</v>
      </c>
      <c r="K23" s="2942">
        <v>17935</v>
      </c>
      <c r="L23" s="2942">
        <v>19248</v>
      </c>
      <c r="M23" s="2942">
        <v>20656</v>
      </c>
      <c r="N23" s="2942">
        <v>20680</v>
      </c>
      <c r="O23" s="2942">
        <v>15470</v>
      </c>
      <c r="P23" s="2942">
        <v>16044</v>
      </c>
      <c r="Q23" s="2942">
        <v>17708</v>
      </c>
      <c r="R23" s="2942">
        <v>18886</v>
      </c>
      <c r="S23" s="2910">
        <v>18370</v>
      </c>
      <c r="T23" s="2910">
        <v>19627</v>
      </c>
      <c r="U23" s="2910">
        <v>19437</v>
      </c>
      <c r="V23" s="2910">
        <v>15943</v>
      </c>
      <c r="W23" s="2910">
        <v>16744</v>
      </c>
      <c r="X23" s="2910">
        <v>17318</v>
      </c>
      <c r="Y23" s="2910">
        <v>16640</v>
      </c>
      <c r="Z23" s="2955">
        <v>59230</v>
      </c>
      <c r="AA23" s="3717" t="s">
        <v>1251</v>
      </c>
    </row>
    <row r="24" spans="1:27" s="2881" customFormat="1" x14ac:dyDescent="0.25">
      <c r="A24" s="2358"/>
      <c r="B24" s="2877"/>
      <c r="C24" s="2877"/>
      <c r="D24" s="2943" t="s">
        <v>257</v>
      </c>
      <c r="E24" s="2944">
        <f>SUM(E22:E23)</f>
        <v>25920</v>
      </c>
      <c r="F24" s="2944">
        <f>SUM(F22:F23)</f>
        <v>31874</v>
      </c>
      <c r="G24" s="2944">
        <f t="shared" ref="G24:T24" si="3">SUM(G22:G23)</f>
        <v>34778</v>
      </c>
      <c r="H24" s="2944">
        <f t="shared" si="3"/>
        <v>34031</v>
      </c>
      <c r="I24" s="2944">
        <f t="shared" si="3"/>
        <v>34307</v>
      </c>
      <c r="J24" s="2944">
        <f t="shared" si="3"/>
        <v>41463</v>
      </c>
      <c r="K24" s="2944">
        <f t="shared" si="3"/>
        <v>45965</v>
      </c>
      <c r="L24" s="2944">
        <f t="shared" si="3"/>
        <v>48189</v>
      </c>
      <c r="M24" s="2944">
        <f t="shared" si="3"/>
        <v>52147</v>
      </c>
      <c r="N24" s="2944">
        <f t="shared" si="3"/>
        <v>52242</v>
      </c>
      <c r="O24" s="2944">
        <f t="shared" si="3"/>
        <v>39857</v>
      </c>
      <c r="P24" s="2944">
        <f t="shared" si="3"/>
        <v>41943</v>
      </c>
      <c r="Q24" s="2944">
        <f t="shared" si="3"/>
        <v>48622</v>
      </c>
      <c r="R24" s="2944">
        <f t="shared" si="3"/>
        <v>53185</v>
      </c>
      <c r="S24" s="2944">
        <f t="shared" si="3"/>
        <v>55232</v>
      </c>
      <c r="T24" s="2944">
        <f t="shared" si="3"/>
        <v>61686</v>
      </c>
      <c r="U24" s="2944">
        <f>SUM(U22:U23)</f>
        <v>63655</v>
      </c>
      <c r="V24" s="2944">
        <v>62202</v>
      </c>
      <c r="W24" s="2944">
        <v>66025</v>
      </c>
      <c r="X24" s="2945">
        <f>SUM(X22:X23)</f>
        <v>68173</v>
      </c>
      <c r="Y24" s="2945">
        <f>SUM(Y22:Y23)</f>
        <v>68577</v>
      </c>
      <c r="Z24" s="2946">
        <f>SUM(Z22:Z23)</f>
        <v>59230</v>
      </c>
      <c r="AA24" s="3714" t="s">
        <v>1252</v>
      </c>
    </row>
    <row r="25" spans="1:27" s="2881" customFormat="1" x14ac:dyDescent="0.25">
      <c r="A25" s="2358"/>
      <c r="B25" s="2877"/>
      <c r="C25" s="2877"/>
      <c r="D25" s="2956"/>
      <c r="E25" s="2957"/>
      <c r="F25" s="2957"/>
      <c r="G25" s="2957"/>
      <c r="H25" s="2957"/>
      <c r="I25" s="2957"/>
      <c r="J25" s="2957"/>
      <c r="K25" s="2957"/>
      <c r="L25" s="2957"/>
      <c r="M25" s="2957"/>
      <c r="N25" s="2957"/>
      <c r="O25" s="2957"/>
      <c r="P25" s="2957"/>
      <c r="Q25" s="2957"/>
      <c r="R25" s="2957"/>
      <c r="S25" s="2957"/>
      <c r="T25" s="2957"/>
      <c r="U25" s="2957"/>
      <c r="V25" s="2923"/>
      <c r="W25" s="2958"/>
      <c r="AA25" s="2959"/>
    </row>
    <row r="26" spans="1:27" x14ac:dyDescent="0.25">
      <c r="D26" s="2356"/>
      <c r="E26" s="320"/>
      <c r="F26" s="320"/>
      <c r="G26" s="320"/>
      <c r="H26" s="320"/>
      <c r="I26" s="320"/>
      <c r="J26" s="320"/>
      <c r="K26" s="320"/>
      <c r="L26" s="320"/>
      <c r="M26" s="2911"/>
      <c r="N26" s="320"/>
      <c r="O26" s="320"/>
      <c r="P26" s="320"/>
      <c r="Q26" s="320"/>
      <c r="R26" s="320"/>
      <c r="V26" s="2926"/>
    </row>
    <row r="27" spans="1:27" x14ac:dyDescent="0.25">
      <c r="D27" s="2356"/>
      <c r="E27" s="320"/>
      <c r="F27" s="320"/>
      <c r="G27" s="320"/>
      <c r="H27" s="320"/>
      <c r="I27" s="320"/>
      <c r="J27" s="320"/>
      <c r="K27" s="320"/>
      <c r="L27" s="320"/>
      <c r="M27" s="2911"/>
      <c r="N27" s="320"/>
      <c r="O27" s="320"/>
      <c r="P27" s="320"/>
      <c r="Q27" s="320"/>
      <c r="R27" s="320"/>
    </row>
    <row r="28" spans="1:27" x14ac:dyDescent="0.25">
      <c r="D28" s="2356"/>
      <c r="E28" s="320"/>
      <c r="F28" s="320"/>
      <c r="G28" s="320"/>
      <c r="H28" s="320"/>
      <c r="I28" s="320"/>
      <c r="J28" s="320"/>
      <c r="K28" s="320"/>
      <c r="L28" s="320"/>
      <c r="M28" s="2911"/>
      <c r="N28" s="320"/>
      <c r="O28" s="320"/>
      <c r="P28" s="320"/>
      <c r="Q28" s="320"/>
      <c r="R28" s="320"/>
    </row>
    <row r="29" spans="1:27" x14ac:dyDescent="0.25">
      <c r="D29" s="2356"/>
      <c r="E29" s="320"/>
      <c r="F29" s="320"/>
      <c r="G29" s="320"/>
      <c r="H29" s="320"/>
      <c r="I29" s="320"/>
      <c r="J29" s="320"/>
      <c r="K29" s="320"/>
      <c r="L29" s="320"/>
      <c r="M29" s="2911"/>
      <c r="N29" s="320"/>
      <c r="O29" s="320"/>
      <c r="P29" s="320"/>
      <c r="Q29" s="320"/>
      <c r="R29" s="320"/>
    </row>
    <row r="30" spans="1:27" x14ac:dyDescent="0.25">
      <c r="D30" s="2356"/>
      <c r="E30" s="320"/>
      <c r="F30" s="320"/>
      <c r="G30" s="320"/>
      <c r="H30" s="320"/>
      <c r="I30" s="320"/>
      <c r="J30" s="320"/>
      <c r="K30" s="320"/>
      <c r="L30" s="320"/>
      <c r="M30" s="2911"/>
      <c r="N30" s="320"/>
      <c r="O30" s="320"/>
      <c r="P30" s="320"/>
      <c r="Q30" s="320"/>
      <c r="R30" s="320"/>
    </row>
    <row r="31" spans="1:27" x14ac:dyDescent="0.25">
      <c r="D31" s="2356"/>
      <c r="E31" s="320"/>
      <c r="F31" s="320"/>
      <c r="G31" s="320"/>
      <c r="H31" s="320"/>
      <c r="I31" s="320"/>
      <c r="J31" s="320"/>
      <c r="K31" s="320"/>
      <c r="L31" s="320"/>
      <c r="M31" s="2911"/>
      <c r="N31" s="320"/>
      <c r="O31" s="320"/>
      <c r="P31" s="320"/>
      <c r="Q31" s="320"/>
      <c r="R31" s="320"/>
    </row>
    <row r="32" spans="1:27" x14ac:dyDescent="0.25">
      <c r="A32" s="2357"/>
      <c r="B32" s="2357"/>
      <c r="C32" s="2357"/>
      <c r="D32" s="2356"/>
      <c r="E32" s="320"/>
      <c r="F32" s="320"/>
      <c r="G32" s="320"/>
      <c r="H32" s="320"/>
      <c r="I32" s="320"/>
      <c r="J32" s="320"/>
      <c r="K32" s="320"/>
      <c r="L32" s="320"/>
      <c r="M32" s="2911"/>
      <c r="N32" s="320"/>
      <c r="O32" s="320"/>
      <c r="P32" s="320"/>
      <c r="Q32" s="320"/>
      <c r="R32" s="320"/>
    </row>
    <row r="33" spans="1:27" x14ac:dyDescent="0.25">
      <c r="A33" s="2357"/>
      <c r="B33" s="2357"/>
      <c r="C33" s="2357"/>
      <c r="D33" s="2356"/>
      <c r="E33" s="320"/>
      <c r="F33" s="320"/>
      <c r="G33" s="320"/>
      <c r="H33" s="320"/>
      <c r="I33" s="320"/>
      <c r="J33" s="320"/>
      <c r="K33" s="320"/>
      <c r="L33" s="320"/>
      <c r="M33" s="2911"/>
      <c r="N33" s="320"/>
      <c r="O33" s="320"/>
      <c r="P33" s="320"/>
      <c r="Q33" s="320"/>
      <c r="R33" s="320"/>
    </row>
    <row r="34" spans="1:27" x14ac:dyDescent="0.25">
      <c r="A34" s="2357"/>
      <c r="B34" s="2357"/>
      <c r="C34" s="2357"/>
      <c r="D34" s="2356"/>
      <c r="E34" s="320"/>
      <c r="F34" s="320"/>
      <c r="G34" s="320"/>
      <c r="H34" s="320"/>
      <c r="I34" s="320"/>
      <c r="J34" s="320"/>
      <c r="K34" s="320"/>
      <c r="L34" s="320"/>
      <c r="M34" s="2911"/>
      <c r="N34" s="320"/>
      <c r="O34" s="320"/>
      <c r="P34" s="320"/>
      <c r="Q34" s="320"/>
      <c r="R34" s="320"/>
    </row>
    <row r="35" spans="1:27" x14ac:dyDescent="0.25">
      <c r="A35" s="2357"/>
      <c r="B35" s="2357"/>
      <c r="C35" s="2357"/>
      <c r="D35" s="2356"/>
      <c r="E35" s="320"/>
      <c r="F35" s="320"/>
      <c r="G35" s="320"/>
      <c r="H35" s="320"/>
      <c r="I35" s="320"/>
      <c r="J35" s="320"/>
      <c r="K35" s="320"/>
      <c r="L35" s="320"/>
      <c r="M35" s="2911"/>
      <c r="N35" s="320"/>
      <c r="O35" s="320"/>
      <c r="P35" s="320"/>
      <c r="Q35" s="320"/>
      <c r="R35" s="320"/>
    </row>
    <row r="36" spans="1:27" x14ac:dyDescent="0.25">
      <c r="A36" s="2357"/>
      <c r="B36" s="2357"/>
      <c r="C36" s="2357"/>
      <c r="D36" s="2356"/>
      <c r="E36" s="320"/>
      <c r="F36" s="320"/>
      <c r="G36" s="320"/>
      <c r="H36" s="320"/>
      <c r="I36" s="320"/>
      <c r="J36" s="320"/>
      <c r="K36" s="320"/>
      <c r="L36" s="320"/>
      <c r="M36" s="2911"/>
      <c r="N36" s="320"/>
      <c r="O36" s="320"/>
      <c r="P36" s="320"/>
      <c r="Q36" s="320"/>
      <c r="R36" s="320"/>
    </row>
    <row r="37" spans="1:27" x14ac:dyDescent="0.25">
      <c r="A37" s="2357"/>
      <c r="B37" s="2357"/>
      <c r="C37" s="2357"/>
      <c r="D37" s="2912"/>
      <c r="E37" s="2356"/>
      <c r="F37" s="2356"/>
      <c r="G37" s="2356"/>
      <c r="H37" s="2356"/>
      <c r="I37" s="2356"/>
      <c r="J37" s="2356"/>
      <c r="K37" s="2912"/>
      <c r="L37" s="2356"/>
      <c r="M37" s="2911"/>
      <c r="N37" s="2356"/>
      <c r="O37" s="2356"/>
      <c r="P37" s="2356"/>
      <c r="Q37" s="2356"/>
      <c r="R37" s="2356"/>
    </row>
    <row r="38" spans="1:27" x14ac:dyDescent="0.25">
      <c r="A38" s="2357"/>
      <c r="B38" s="2357"/>
      <c r="C38" s="2357"/>
      <c r="D38" s="2356"/>
      <c r="E38" s="2356"/>
      <c r="F38" s="2356"/>
      <c r="G38" s="2356"/>
      <c r="H38" s="2356"/>
      <c r="I38" s="2356"/>
      <c r="J38" s="2356"/>
      <c r="K38" s="2356"/>
      <c r="L38" s="2356"/>
      <c r="M38" s="2356"/>
      <c r="N38" s="2356"/>
      <c r="O38" s="2356"/>
      <c r="P38" s="2356"/>
      <c r="Q38" s="2356"/>
      <c r="R38" s="2356"/>
    </row>
    <row r="39" spans="1:27" x14ac:dyDescent="0.25">
      <c r="A39" s="2357"/>
      <c r="B39" s="2357"/>
      <c r="C39" s="2357"/>
      <c r="D39" s="2356"/>
      <c r="E39" s="2356"/>
      <c r="F39" s="2356"/>
      <c r="G39" s="2356"/>
      <c r="H39" s="2356"/>
      <c r="I39" s="2356"/>
      <c r="J39" s="2356"/>
      <c r="K39" s="2356"/>
      <c r="L39" s="2356"/>
      <c r="M39" s="2356"/>
      <c r="N39" s="2356"/>
      <c r="O39" s="2356"/>
      <c r="P39" s="2356"/>
      <c r="Q39" s="2356"/>
      <c r="R39" s="2356"/>
    </row>
    <row r="40" spans="1:27" x14ac:dyDescent="0.25">
      <c r="A40" s="2357"/>
      <c r="B40" s="2357"/>
      <c r="C40" s="2357"/>
      <c r="D40" s="2356"/>
      <c r="E40" s="2356"/>
      <c r="F40" s="2356"/>
      <c r="G40" s="2356"/>
      <c r="H40" s="2356"/>
      <c r="I40" s="2356"/>
      <c r="J40" s="2356"/>
      <c r="K40" s="2356"/>
      <c r="L40" s="2356"/>
      <c r="M40" s="2356"/>
      <c r="N40" s="2356"/>
      <c r="O40" s="2356"/>
      <c r="P40" s="2356"/>
      <c r="Q40" s="2356"/>
      <c r="R40" s="2356"/>
    </row>
    <row r="41" spans="1:27" x14ac:dyDescent="0.25">
      <c r="A41" s="2358">
        <v>5</v>
      </c>
      <c r="B41" s="2358" t="s">
        <v>29</v>
      </c>
      <c r="C41" s="2358"/>
      <c r="D41" s="4048" t="s">
        <v>673</v>
      </c>
      <c r="E41" s="4049"/>
      <c r="F41" s="4049"/>
      <c r="G41" s="4049"/>
      <c r="H41" s="4049"/>
      <c r="I41" s="4049"/>
      <c r="J41" s="4049"/>
      <c r="K41" s="4049"/>
      <c r="L41" s="4049"/>
      <c r="M41" s="4049"/>
      <c r="N41" s="4049"/>
      <c r="O41" s="4049"/>
      <c r="P41" s="4049"/>
      <c r="Q41" s="4049"/>
      <c r="R41" s="4049"/>
      <c r="S41" s="4049"/>
      <c r="T41" s="4049"/>
      <c r="U41" s="4049"/>
      <c r="V41" s="4049"/>
      <c r="W41" s="4049"/>
      <c r="X41" s="4049"/>
      <c r="Y41" s="4049"/>
      <c r="Z41" s="4049"/>
      <c r="AA41" s="4050"/>
    </row>
    <row r="42" spans="1:27" ht="63" customHeight="1" x14ac:dyDescent="0.25">
      <c r="A42" s="2433">
        <v>8</v>
      </c>
      <c r="B42" s="2433" t="s">
        <v>32</v>
      </c>
      <c r="C42" s="2433"/>
      <c r="D42" s="4048" t="s">
        <v>1253</v>
      </c>
      <c r="E42" s="4049"/>
      <c r="F42" s="4049"/>
      <c r="G42" s="4049"/>
      <c r="H42" s="4049"/>
      <c r="I42" s="4049"/>
      <c r="J42" s="4049"/>
      <c r="K42" s="4049"/>
      <c r="L42" s="4049"/>
      <c r="M42" s="4049"/>
      <c r="N42" s="4049"/>
      <c r="O42" s="4049"/>
      <c r="P42" s="4049"/>
      <c r="Q42" s="4049"/>
      <c r="R42" s="4049"/>
      <c r="S42" s="4049"/>
      <c r="T42" s="4049"/>
      <c r="U42" s="4049"/>
      <c r="V42" s="4049"/>
      <c r="W42" s="4049"/>
      <c r="X42" s="4049"/>
      <c r="Y42" s="4049"/>
      <c r="Z42" s="4049"/>
      <c r="AA42" s="4050"/>
    </row>
    <row r="43" spans="1:27" ht="15" customHeight="1" x14ac:dyDescent="0.25">
      <c r="A43" s="2358">
        <v>7</v>
      </c>
      <c r="B43" s="2358" t="s">
        <v>31</v>
      </c>
      <c r="C43" s="2358"/>
      <c r="D43" s="4048" t="s">
        <v>1254</v>
      </c>
      <c r="E43" s="4049"/>
      <c r="F43" s="4049"/>
      <c r="G43" s="4049"/>
      <c r="H43" s="4049"/>
      <c r="I43" s="4049"/>
      <c r="J43" s="4049"/>
      <c r="K43" s="4049"/>
      <c r="L43" s="4049"/>
      <c r="M43" s="4049"/>
      <c r="N43" s="4049"/>
      <c r="O43" s="4049"/>
      <c r="P43" s="4049"/>
      <c r="Q43" s="4049"/>
      <c r="R43" s="4049"/>
      <c r="S43" s="4049"/>
      <c r="T43" s="4049"/>
      <c r="U43" s="4049"/>
      <c r="V43" s="4049"/>
      <c r="W43" s="4049"/>
      <c r="X43" s="4049"/>
      <c r="Y43" s="4049"/>
      <c r="Z43" s="4049"/>
      <c r="AA43" s="4050"/>
    </row>
    <row r="45" spans="1:27" x14ac:dyDescent="0.25">
      <c r="A45" s="2357"/>
      <c r="B45" s="2357"/>
      <c r="C45" s="2357"/>
      <c r="D45" s="2913"/>
    </row>
  </sheetData>
  <mergeCells count="6">
    <mergeCell ref="D43:AA43"/>
    <mergeCell ref="D2:AA2"/>
    <mergeCell ref="D3:AA3"/>
    <mergeCell ref="D4:AA4"/>
    <mergeCell ref="D41:AA41"/>
    <mergeCell ref="D42:AA42"/>
  </mergeCells>
  <pageMargins left="0.74803149606299213" right="0.74803149606299213" top="0.98425196850393704" bottom="0.98425196850393704" header="0.51181102362204722" footer="0.51181102362204722"/>
  <pageSetup paperSize="9" scale="62"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D42"/>
  <sheetViews>
    <sheetView showGridLines="0" view="pageBreakPreview" topLeftCell="C1" zoomScaleNormal="100" zoomScaleSheetLayoutView="100" workbookViewId="0">
      <selection activeCell="D40" sqref="D40:AA40"/>
    </sheetView>
  </sheetViews>
  <sheetFormatPr defaultColWidth="9.140625" defaultRowHeight="14.25" x14ac:dyDescent="0.2"/>
  <cols>
    <col min="1" max="1" width="3.7109375" style="2358" customWidth="1"/>
    <col min="2" max="2" width="12.85546875" style="2960" customWidth="1"/>
    <col min="3" max="3" width="6.140625" style="2960" customWidth="1"/>
    <col min="4" max="4" width="18" style="2962" bestFit="1" customWidth="1"/>
    <col min="5" max="11" width="7.42578125" style="2962" customWidth="1"/>
    <col min="12" max="14" width="7.42578125" style="2962" hidden="1" customWidth="1"/>
    <col min="15" max="19" width="7.42578125" style="2962" customWidth="1"/>
    <col min="20" max="23" width="6.7109375" style="2962" customWidth="1"/>
    <col min="24" max="26" width="9.140625" style="2962"/>
    <col min="27" max="27" width="7.42578125" style="2962" customWidth="1"/>
    <col min="28" max="28" width="8.140625" style="2962" customWidth="1"/>
    <col min="29" max="16384" width="9.140625" style="2962"/>
  </cols>
  <sheetData>
    <row r="1" spans="1:30" x14ac:dyDescent="0.2">
      <c r="D1" s="2961"/>
      <c r="E1" s="2961"/>
      <c r="F1" s="2961"/>
      <c r="G1" s="2961"/>
      <c r="H1" s="2961"/>
      <c r="I1" s="2961"/>
      <c r="J1" s="2961"/>
      <c r="K1" s="2961"/>
      <c r="L1" s="2961"/>
      <c r="M1" s="2961"/>
      <c r="N1" s="2961"/>
      <c r="O1" s="2961"/>
      <c r="P1" s="2961"/>
      <c r="Q1" s="2961"/>
      <c r="R1" s="2961"/>
    </row>
    <row r="2" spans="1:30" ht="13.9" customHeight="1" x14ac:dyDescent="0.2">
      <c r="A2" s="2358">
        <v>1</v>
      </c>
      <c r="B2" s="2358" t="s">
        <v>0</v>
      </c>
      <c r="C2" s="2358">
        <v>70</v>
      </c>
      <c r="D2" s="4048" t="s">
        <v>1255</v>
      </c>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50"/>
    </row>
    <row r="3" spans="1:30" ht="14.25" customHeight="1" x14ac:dyDescent="0.2">
      <c r="A3" s="2358">
        <v>2</v>
      </c>
      <c r="B3" s="2358" t="s">
        <v>2</v>
      </c>
      <c r="C3" s="2358"/>
      <c r="D3" s="4048" t="s">
        <v>1236</v>
      </c>
      <c r="E3" s="4049"/>
      <c r="F3" s="4049"/>
      <c r="G3" s="4049"/>
      <c r="H3" s="4049"/>
      <c r="I3" s="4049"/>
      <c r="J3" s="4049"/>
      <c r="K3" s="4049"/>
      <c r="L3" s="4049"/>
      <c r="M3" s="4049"/>
      <c r="N3" s="4049"/>
      <c r="O3" s="4049"/>
      <c r="P3" s="4049"/>
      <c r="Q3" s="4049"/>
      <c r="R3" s="4049"/>
      <c r="S3" s="4049"/>
      <c r="T3" s="4049"/>
      <c r="U3" s="4049"/>
      <c r="V3" s="4049"/>
      <c r="W3" s="4049"/>
      <c r="X3" s="4049"/>
      <c r="Y3" s="4049"/>
      <c r="Z3" s="4049"/>
      <c r="AA3" s="4049"/>
      <c r="AB3" s="4050"/>
    </row>
    <row r="4" spans="1:30" ht="13.9" customHeight="1" x14ac:dyDescent="0.2">
      <c r="A4" s="2358">
        <v>3</v>
      </c>
      <c r="B4" s="2358" t="s">
        <v>4</v>
      </c>
      <c r="C4" s="2358"/>
      <c r="D4" s="4048" t="s">
        <v>1256</v>
      </c>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50"/>
    </row>
    <row r="5" spans="1:30" ht="15" customHeight="1" x14ac:dyDescent="0.2">
      <c r="A5" s="2633"/>
      <c r="B5" s="2633"/>
      <c r="C5" s="2633"/>
      <c r="D5" s="2361"/>
      <c r="E5" s="48"/>
      <c r="F5" s="48"/>
      <c r="G5" s="48"/>
      <c r="H5" s="48"/>
      <c r="I5" s="48"/>
      <c r="J5" s="48"/>
      <c r="K5" s="48"/>
      <c r="L5" s="48"/>
      <c r="M5" s="48"/>
      <c r="N5" s="48"/>
      <c r="O5" s="48"/>
      <c r="P5" s="48"/>
      <c r="Q5" s="316"/>
      <c r="R5" s="316"/>
    </row>
    <row r="6" spans="1:30" ht="15" x14ac:dyDescent="0.2">
      <c r="A6" s="2358">
        <v>5</v>
      </c>
      <c r="B6" s="1568" t="s">
        <v>5</v>
      </c>
      <c r="C6" s="1568"/>
      <c r="Q6" s="316"/>
      <c r="R6" s="316"/>
    </row>
    <row r="7" spans="1:30" s="2967" customFormat="1" x14ac:dyDescent="0.2">
      <c r="A7" s="2964"/>
      <c r="B7" s="2964"/>
      <c r="C7" s="2964"/>
      <c r="D7" s="2965" t="s">
        <v>40</v>
      </c>
      <c r="E7" s="2966" t="s">
        <v>1247</v>
      </c>
      <c r="G7" s="2968"/>
      <c r="H7" s="2968"/>
      <c r="I7" s="2969"/>
      <c r="J7" s="2969"/>
      <c r="K7" s="2969"/>
      <c r="L7" s="2969"/>
      <c r="M7" s="2968"/>
      <c r="N7" s="2969"/>
      <c r="O7" s="2969"/>
      <c r="P7" s="2969"/>
      <c r="Q7" s="2969"/>
      <c r="R7" s="2969"/>
      <c r="S7" s="2969"/>
      <c r="T7" s="2969"/>
      <c r="U7" s="2969"/>
      <c r="V7" s="2969"/>
      <c r="W7" s="2969"/>
      <c r="X7" s="2970"/>
    </row>
    <row r="8" spans="1:30" s="2977" customFormat="1" ht="15" x14ac:dyDescent="0.25">
      <c r="A8" s="2971"/>
      <c r="B8" s="2972"/>
      <c r="C8" s="2972"/>
      <c r="D8" s="2973"/>
      <c r="E8" s="2974" t="s">
        <v>131</v>
      </c>
      <c r="F8" s="2974" t="s">
        <v>132</v>
      </c>
      <c r="G8" s="2974" t="s">
        <v>133</v>
      </c>
      <c r="H8" s="2974" t="s">
        <v>134</v>
      </c>
      <c r="I8" s="2974" t="s">
        <v>135</v>
      </c>
      <c r="J8" s="2974" t="s">
        <v>136</v>
      </c>
      <c r="K8" s="2975" t="s">
        <v>137</v>
      </c>
      <c r="L8" s="2974" t="s">
        <v>138</v>
      </c>
      <c r="M8" s="2974" t="s">
        <v>139</v>
      </c>
      <c r="N8" s="2974" t="s">
        <v>140</v>
      </c>
      <c r="O8" s="2974" t="s">
        <v>141</v>
      </c>
      <c r="P8" s="2974" t="s">
        <v>142</v>
      </c>
      <c r="Q8" s="2974" t="s">
        <v>143</v>
      </c>
      <c r="R8" s="2974" t="s">
        <v>144</v>
      </c>
      <c r="S8" s="2974" t="s">
        <v>145</v>
      </c>
      <c r="T8" s="2974" t="s">
        <v>8</v>
      </c>
      <c r="U8" s="2974" t="s">
        <v>9</v>
      </c>
      <c r="V8" s="2975" t="s">
        <v>10</v>
      </c>
      <c r="W8" s="2975" t="s">
        <v>11</v>
      </c>
      <c r="X8" s="2976" t="s">
        <v>12</v>
      </c>
      <c r="Y8" s="2976" t="s">
        <v>13</v>
      </c>
      <c r="Z8" s="2976" t="s">
        <v>14</v>
      </c>
      <c r="AA8" s="2976" t="s">
        <v>15</v>
      </c>
      <c r="AB8" s="3718" t="s">
        <v>333</v>
      </c>
      <c r="AD8" s="2978"/>
    </row>
    <row r="9" spans="1:30" s="2977" customFormat="1" ht="15" x14ac:dyDescent="0.25">
      <c r="A9" s="2971"/>
      <c r="B9" s="2972"/>
      <c r="C9" s="2972"/>
      <c r="D9" s="2979" t="s">
        <v>1257</v>
      </c>
      <c r="E9" s="2980"/>
      <c r="F9" s="2981">
        <v>17433</v>
      </c>
      <c r="G9" s="2981">
        <v>21159</v>
      </c>
      <c r="H9" s="2981">
        <v>22724</v>
      </c>
      <c r="I9" s="2981">
        <v>22280</v>
      </c>
      <c r="J9" s="2981">
        <v>21659</v>
      </c>
      <c r="K9" s="2981">
        <v>24954</v>
      </c>
      <c r="L9" s="2981">
        <v>28030</v>
      </c>
      <c r="M9" s="2981">
        <v>28941</v>
      </c>
      <c r="N9" s="2981">
        <v>31491</v>
      </c>
      <c r="O9" s="2981">
        <v>31562</v>
      </c>
      <c r="P9" s="2981">
        <v>24387</v>
      </c>
      <c r="Q9" s="2981">
        <v>25899</v>
      </c>
      <c r="R9" s="2981">
        <v>30914</v>
      </c>
      <c r="S9" s="2981">
        <v>34299</v>
      </c>
      <c r="T9" s="2981">
        <v>36862</v>
      </c>
      <c r="U9" s="2981">
        <v>42059</v>
      </c>
      <c r="V9" s="2981">
        <v>47095</v>
      </c>
      <c r="W9" s="2981">
        <v>46259</v>
      </c>
      <c r="X9" s="2981">
        <v>49282</v>
      </c>
      <c r="Y9" s="2963">
        <v>50855</v>
      </c>
      <c r="Z9" s="2963">
        <v>51937</v>
      </c>
      <c r="AA9" s="2963">
        <v>61698</v>
      </c>
      <c r="AB9" s="3719">
        <v>53615</v>
      </c>
    </row>
    <row r="10" spans="1:30" s="2983" customFormat="1" ht="22.5" x14ac:dyDescent="0.2">
      <c r="A10" s="2971"/>
      <c r="B10" s="2971"/>
      <c r="C10" s="2982"/>
      <c r="D10" s="2979" t="s">
        <v>1258</v>
      </c>
      <c r="E10" s="2980"/>
      <c r="F10" s="2981">
        <v>5563.4944444444445</v>
      </c>
      <c r="G10" s="2981">
        <v>8364.9544770031989</v>
      </c>
      <c r="H10" s="2981">
        <v>10483.174880671688</v>
      </c>
      <c r="I10" s="2981">
        <v>10822.799212482736</v>
      </c>
      <c r="J10" s="2981">
        <v>10149.243128224562</v>
      </c>
      <c r="K10" s="2981">
        <v>11879.074162506331</v>
      </c>
      <c r="L10" s="2981">
        <v>15092.232568258456</v>
      </c>
      <c r="M10" s="2981">
        <v>15724.796177550894</v>
      </c>
      <c r="N10" s="2981">
        <v>19354.038755824877</v>
      </c>
      <c r="O10" s="2981">
        <v>21471.488074729146</v>
      </c>
      <c r="P10" s="2981">
        <v>17046.486689916452</v>
      </c>
      <c r="Q10" s="2981">
        <v>17411.108003719331</v>
      </c>
      <c r="R10" s="2981">
        <v>21238.989963391057</v>
      </c>
      <c r="S10" s="2981">
        <v>23309.261182664286</v>
      </c>
      <c r="T10" s="2981">
        <v>25721.7098783314</v>
      </c>
      <c r="U10" s="2981">
        <v>28106.833916934149</v>
      </c>
      <c r="V10" s="2981">
        <v>35819</v>
      </c>
      <c r="W10" s="2981">
        <v>39269</v>
      </c>
      <c r="X10" s="2981">
        <v>46380</v>
      </c>
      <c r="Y10" s="2963">
        <v>49928</v>
      </c>
      <c r="Z10" s="2963">
        <v>51307</v>
      </c>
      <c r="AA10" s="2963">
        <v>59230</v>
      </c>
      <c r="AB10" s="3719">
        <v>54225</v>
      </c>
    </row>
    <row r="11" spans="1:30" s="2983" customFormat="1" ht="22.5" x14ac:dyDescent="0.2">
      <c r="A11" s="2971"/>
      <c r="B11" s="2982"/>
      <c r="C11" s="2982"/>
      <c r="D11" s="2984" t="s">
        <v>1259</v>
      </c>
      <c r="E11" s="2985"/>
      <c r="F11" s="2986">
        <f t="shared" ref="F11:X11" si="0">F10/F9</f>
        <v>0.31913580246913581</v>
      </c>
      <c r="G11" s="2986">
        <f t="shared" si="0"/>
        <v>0.39533789295350436</v>
      </c>
      <c r="H11" s="2986">
        <f t="shared" si="0"/>
        <v>0.46132612571165676</v>
      </c>
      <c r="I11" s="2986">
        <f t="shared" si="0"/>
        <v>0.48576298081161295</v>
      </c>
      <c r="J11" s="2986">
        <f t="shared" si="0"/>
        <v>0.46859241554201769</v>
      </c>
      <c r="K11" s="2986">
        <f t="shared" si="0"/>
        <v>0.47603887803583916</v>
      </c>
      <c r="L11" s="2986">
        <f t="shared" si="0"/>
        <v>0.53843141520722282</v>
      </c>
      <c r="M11" s="2986">
        <f t="shared" si="0"/>
        <v>0.54333976633671588</v>
      </c>
      <c r="N11" s="2986">
        <f t="shared" si="0"/>
        <v>0.6145895257637064</v>
      </c>
      <c r="O11" s="2986">
        <f t="shared" si="0"/>
        <v>0.6802955476436584</v>
      </c>
      <c r="P11" s="2986">
        <f t="shared" si="0"/>
        <v>0.69899892114308659</v>
      </c>
      <c r="Q11" s="2986">
        <f t="shared" si="0"/>
        <v>0.67226950861883983</v>
      </c>
      <c r="R11" s="2986">
        <f t="shared" si="0"/>
        <v>0.68703467566122334</v>
      </c>
      <c r="S11" s="2986">
        <f t="shared" si="0"/>
        <v>0.67959010999341918</v>
      </c>
      <c r="T11" s="2986">
        <f t="shared" si="0"/>
        <v>0.69778389339513314</v>
      </c>
      <c r="U11" s="2986">
        <f t="shared" si="0"/>
        <v>0.66827156891352979</v>
      </c>
      <c r="V11" s="2986">
        <f t="shared" si="0"/>
        <v>0.76056906253317758</v>
      </c>
      <c r="W11" s="2986">
        <f t="shared" si="0"/>
        <v>0.84889426922328626</v>
      </c>
      <c r="X11" s="2986">
        <f t="shared" si="0"/>
        <v>0.94111440282456071</v>
      </c>
      <c r="Y11" s="2987">
        <v>0.98177716999999998</v>
      </c>
      <c r="Z11" s="2987">
        <v>0.98780000000000001</v>
      </c>
      <c r="AA11" s="2987">
        <v>0.96</v>
      </c>
      <c r="AB11" s="3720">
        <v>0.99</v>
      </c>
    </row>
    <row r="12" spans="1:30" s="2983" customFormat="1" x14ac:dyDescent="0.2">
      <c r="A12" s="2971"/>
      <c r="B12" s="2982"/>
      <c r="C12" s="2982"/>
      <c r="D12" s="2979"/>
      <c r="E12" s="2980"/>
      <c r="F12" s="2988"/>
      <c r="G12" s="2988"/>
      <c r="H12" s="2988"/>
      <c r="I12" s="2988"/>
      <c r="J12" s="2988"/>
      <c r="K12" s="2988"/>
      <c r="L12" s="2988"/>
      <c r="M12" s="2988"/>
      <c r="N12" s="2988"/>
      <c r="O12" s="2988"/>
      <c r="P12" s="2988"/>
      <c r="Q12" s="2988"/>
      <c r="R12" s="2988"/>
      <c r="S12" s="2988"/>
      <c r="T12" s="2988"/>
      <c r="U12" s="2988"/>
      <c r="V12" s="2988"/>
      <c r="W12" s="2988"/>
      <c r="X12" s="2988"/>
      <c r="Y12" s="2989"/>
      <c r="Z12" s="2990"/>
    </row>
    <row r="13" spans="1:30" s="2983" customFormat="1" x14ac:dyDescent="0.2">
      <c r="A13" s="2971"/>
      <c r="B13" s="2982"/>
      <c r="C13" s="2982"/>
      <c r="D13" s="2979"/>
      <c r="E13" s="2980"/>
      <c r="F13" s="2988"/>
      <c r="G13" s="2988"/>
      <c r="H13" s="2988"/>
      <c r="I13" s="2988"/>
      <c r="J13" s="2988"/>
      <c r="K13" s="2988"/>
      <c r="L13" s="2988"/>
      <c r="M13" s="2988"/>
      <c r="N13" s="2988"/>
      <c r="O13" s="2988"/>
      <c r="P13" s="2988"/>
      <c r="Q13" s="2988"/>
      <c r="R13" s="2988"/>
      <c r="S13" s="2988"/>
      <c r="T13" s="2988"/>
      <c r="U13" s="2988"/>
      <c r="V13" s="2988"/>
      <c r="W13" s="2988"/>
      <c r="X13" s="2988"/>
      <c r="Y13" s="2989"/>
      <c r="Z13" s="2990"/>
    </row>
    <row r="14" spans="1:30" s="2983" customFormat="1" x14ac:dyDescent="0.2">
      <c r="A14" s="2971"/>
      <c r="B14" s="2982"/>
      <c r="C14" s="2982"/>
      <c r="D14" s="2991" t="s">
        <v>67</v>
      </c>
      <c r="E14" s="2992" t="s">
        <v>1260</v>
      </c>
      <c r="F14" s="2988"/>
      <c r="G14" s="2988"/>
      <c r="H14" s="2988"/>
      <c r="I14" s="2988"/>
      <c r="J14" s="2988"/>
      <c r="K14" s="2988"/>
      <c r="L14" s="2988"/>
      <c r="M14" s="2988"/>
      <c r="N14" s="2988"/>
      <c r="O14" s="2988"/>
      <c r="P14" s="2988"/>
      <c r="Q14" s="2988"/>
      <c r="R14" s="2988"/>
      <c r="S14" s="2988"/>
      <c r="T14" s="2988"/>
      <c r="U14" s="2988"/>
      <c r="V14" s="2988"/>
      <c r="W14" s="2988"/>
      <c r="X14" s="2988"/>
      <c r="Y14" s="2989"/>
      <c r="Z14" s="2990"/>
      <c r="AA14" s="2990"/>
      <c r="AB14" s="2990"/>
    </row>
    <row r="15" spans="1:30" s="2983" customFormat="1" x14ac:dyDescent="0.2">
      <c r="A15" s="2971"/>
      <c r="B15" s="2982"/>
      <c r="C15" s="2982"/>
      <c r="D15" s="2993"/>
      <c r="E15" s="2974" t="s">
        <v>131</v>
      </c>
      <c r="F15" s="2974" t="s">
        <v>132</v>
      </c>
      <c r="G15" s="2974" t="s">
        <v>133</v>
      </c>
      <c r="H15" s="2974" t="s">
        <v>134</v>
      </c>
      <c r="I15" s="2974" t="s">
        <v>135</v>
      </c>
      <c r="J15" s="2974" t="s">
        <v>136</v>
      </c>
      <c r="K15" s="2975" t="s">
        <v>137</v>
      </c>
      <c r="L15" s="2974" t="s">
        <v>138</v>
      </c>
      <c r="M15" s="2974" t="s">
        <v>139</v>
      </c>
      <c r="N15" s="2974" t="s">
        <v>140</v>
      </c>
      <c r="O15" s="2974" t="s">
        <v>141</v>
      </c>
      <c r="P15" s="2974" t="s">
        <v>142</v>
      </c>
      <c r="Q15" s="2974" t="s">
        <v>143</v>
      </c>
      <c r="R15" s="2974" t="s">
        <v>144</v>
      </c>
      <c r="S15" s="2974" t="s">
        <v>145</v>
      </c>
      <c r="T15" s="2974" t="s">
        <v>8</v>
      </c>
      <c r="U15" s="2974" t="s">
        <v>9</v>
      </c>
      <c r="V15" s="2975" t="s">
        <v>10</v>
      </c>
      <c r="W15" s="2975" t="s">
        <v>11</v>
      </c>
      <c r="X15" s="2976" t="s">
        <v>12</v>
      </c>
      <c r="Y15" s="2994" t="s">
        <v>13</v>
      </c>
      <c r="Z15" s="2994" t="s">
        <v>14</v>
      </c>
      <c r="AA15" s="2994" t="s">
        <v>15</v>
      </c>
      <c r="AB15" s="3721" t="s">
        <v>333</v>
      </c>
    </row>
    <row r="16" spans="1:30" s="2983" customFormat="1" x14ac:dyDescent="0.2">
      <c r="A16" s="2971"/>
      <c r="B16" s="2982"/>
      <c r="C16" s="2982"/>
      <c r="D16" s="2979" t="s">
        <v>1261</v>
      </c>
      <c r="E16" s="2980"/>
      <c r="F16" s="2981">
        <v>8487</v>
      </c>
      <c r="G16" s="2981">
        <v>10715</v>
      </c>
      <c r="H16" s="2981">
        <v>12054</v>
      </c>
      <c r="I16" s="2981">
        <v>11751</v>
      </c>
      <c r="J16" s="2981">
        <v>12648</v>
      </c>
      <c r="K16" s="2981">
        <v>16509</v>
      </c>
      <c r="L16" s="2981">
        <v>17935</v>
      </c>
      <c r="M16" s="2981">
        <v>19248</v>
      </c>
      <c r="N16" s="2981">
        <v>20656</v>
      </c>
      <c r="O16" s="2981">
        <v>20680</v>
      </c>
      <c r="P16" s="2981">
        <v>15470</v>
      </c>
      <c r="Q16" s="2981">
        <v>16044</v>
      </c>
      <c r="R16" s="2981">
        <v>17708</v>
      </c>
      <c r="S16" s="2981">
        <v>18886</v>
      </c>
      <c r="T16" s="2981">
        <v>18370</v>
      </c>
      <c r="U16" s="2981">
        <v>19627</v>
      </c>
      <c r="V16" s="2981">
        <v>19437</v>
      </c>
      <c r="W16" s="2995">
        <v>15943</v>
      </c>
      <c r="X16" s="2995">
        <v>16744</v>
      </c>
      <c r="Y16" s="2996">
        <v>17318</v>
      </c>
      <c r="Z16" s="2996">
        <v>16640</v>
      </c>
      <c r="AA16" s="2996" t="s">
        <v>1262</v>
      </c>
      <c r="AB16" s="3722" t="s">
        <v>1263</v>
      </c>
      <c r="AC16" s="2978"/>
    </row>
    <row r="17" spans="1:29" s="2983" customFormat="1" ht="22.5" x14ac:dyDescent="0.2">
      <c r="A17" s="2971"/>
      <c r="B17" s="2982"/>
      <c r="C17" s="2982"/>
      <c r="D17" s="2979" t="s">
        <v>1264</v>
      </c>
      <c r="E17" s="2980"/>
      <c r="F17" s="2981">
        <v>5123.3059027777781</v>
      </c>
      <c r="G17" s="2981">
        <v>7094.8131706092736</v>
      </c>
      <c r="H17" s="2981">
        <v>8346.4366553568361</v>
      </c>
      <c r="I17" s="2981">
        <v>8012.7517557521078</v>
      </c>
      <c r="J17" s="2981">
        <v>8721.2839362229279</v>
      </c>
      <c r="K17" s="2981">
        <v>11412.523623471528</v>
      </c>
      <c r="L17" s="2981">
        <v>12981.170782116827</v>
      </c>
      <c r="M17" s="2981">
        <v>13955.588868828985</v>
      </c>
      <c r="N17" s="2981">
        <v>15757.691449172531</v>
      </c>
      <c r="O17" s="2981">
        <v>16584.535048428468</v>
      </c>
      <c r="P17" s="2981">
        <v>12652.897358055046</v>
      </c>
      <c r="Q17" s="2981">
        <v>13188.112152206566</v>
      </c>
      <c r="R17" s="2981">
        <v>14673.508288429106</v>
      </c>
      <c r="S17" s="2981">
        <v>15548.413951302058</v>
      </c>
      <c r="T17" s="2981">
        <v>15304.120437427579</v>
      </c>
      <c r="U17" s="2981">
        <v>16443.013536296727</v>
      </c>
      <c r="V17" s="2981">
        <v>16636.337616840781</v>
      </c>
      <c r="W17" s="2981">
        <v>14029</v>
      </c>
      <c r="X17" s="2981">
        <v>15543</v>
      </c>
      <c r="Y17" s="2963">
        <v>16416</v>
      </c>
      <c r="Z17" s="2963">
        <v>16416</v>
      </c>
      <c r="AA17" s="2963">
        <v>16016</v>
      </c>
      <c r="AB17" s="3719" t="s">
        <v>1265</v>
      </c>
      <c r="AC17" s="2997"/>
    </row>
    <row r="18" spans="1:29" s="2983" customFormat="1" ht="33.75" x14ac:dyDescent="0.2">
      <c r="A18" s="2971"/>
      <c r="B18" s="2982"/>
      <c r="C18" s="2982"/>
      <c r="D18" s="2984" t="s">
        <v>1266</v>
      </c>
      <c r="E18" s="2998"/>
      <c r="F18" s="2986">
        <f t="shared" ref="F18:Z18" si="1">F17/F16</f>
        <v>0.60366512345679013</v>
      </c>
      <c r="G18" s="2986">
        <f t="shared" si="1"/>
        <v>0.66213842002886358</v>
      </c>
      <c r="H18" s="2986">
        <f t="shared" si="1"/>
        <v>0.69242049571568243</v>
      </c>
      <c r="I18" s="2986">
        <f t="shared" si="1"/>
        <v>0.68187828744380119</v>
      </c>
      <c r="J18" s="2986">
        <f t="shared" si="1"/>
        <v>0.68953857813274255</v>
      </c>
      <c r="K18" s="2986">
        <f t="shared" si="1"/>
        <v>0.69129103055736441</v>
      </c>
      <c r="L18" s="2986">
        <f t="shared" si="1"/>
        <v>0.723789840095725</v>
      </c>
      <c r="M18" s="2986">
        <f t="shared" si="1"/>
        <v>0.72504098445703369</v>
      </c>
      <c r="N18" s="2986">
        <f t="shared" si="1"/>
        <v>0.76286267666404584</v>
      </c>
      <c r="O18" s="2986">
        <f t="shared" si="1"/>
        <v>0.80196010872478085</v>
      </c>
      <c r="P18" s="2986">
        <f t="shared" si="1"/>
        <v>0.8178989888852648</v>
      </c>
      <c r="Q18" s="2986">
        <f t="shared" si="1"/>
        <v>0.82199651908542548</v>
      </c>
      <c r="R18" s="2986">
        <f t="shared" si="1"/>
        <v>0.82863724240055936</v>
      </c>
      <c r="S18" s="2986">
        <f t="shared" si="1"/>
        <v>0.8232772398232584</v>
      </c>
      <c r="T18" s="2986">
        <f t="shared" si="1"/>
        <v>0.83310399768250287</v>
      </c>
      <c r="U18" s="2986">
        <f t="shared" si="1"/>
        <v>0.83777518399636863</v>
      </c>
      <c r="V18" s="2986">
        <f t="shared" si="1"/>
        <v>0.85591076898908169</v>
      </c>
      <c r="W18" s="2986">
        <f t="shared" si="1"/>
        <v>0.87994731230006895</v>
      </c>
      <c r="X18" s="2986">
        <f t="shared" si="1"/>
        <v>0.92827281414237939</v>
      </c>
      <c r="Y18" s="2986">
        <f t="shared" si="1"/>
        <v>0.94791546367940871</v>
      </c>
      <c r="Z18" s="2986">
        <f t="shared" si="1"/>
        <v>0.98653846153846159</v>
      </c>
      <c r="AA18" s="2986">
        <v>0.99</v>
      </c>
      <c r="AB18" s="3723">
        <v>0.99</v>
      </c>
    </row>
    <row r="19" spans="1:29" x14ac:dyDescent="0.2">
      <c r="D19" s="2961"/>
      <c r="E19" s="2961"/>
      <c r="F19" s="320"/>
      <c r="G19" s="320"/>
      <c r="H19" s="320"/>
      <c r="I19" s="320"/>
      <c r="J19" s="320"/>
      <c r="K19" s="320"/>
      <c r="L19" s="320"/>
      <c r="M19" s="320"/>
      <c r="N19" s="2911"/>
      <c r="O19" s="320"/>
      <c r="P19" s="320"/>
      <c r="Q19" s="320"/>
      <c r="R19" s="320"/>
      <c r="S19" s="320"/>
    </row>
    <row r="20" spans="1:29" x14ac:dyDescent="0.2">
      <c r="D20" s="2961"/>
      <c r="E20" s="320"/>
      <c r="F20" s="320"/>
      <c r="G20" s="320"/>
      <c r="H20" s="320"/>
      <c r="I20" s="320"/>
      <c r="J20" s="320"/>
      <c r="K20" s="320"/>
      <c r="L20" s="320"/>
      <c r="M20" s="2911"/>
      <c r="N20" s="320"/>
      <c r="O20" s="320"/>
      <c r="P20" s="320"/>
      <c r="Q20" s="320"/>
      <c r="R20" s="320"/>
    </row>
    <row r="21" spans="1:29" x14ac:dyDescent="0.2">
      <c r="D21" s="2961"/>
      <c r="E21" s="320"/>
      <c r="F21" s="320"/>
      <c r="G21" s="320"/>
      <c r="H21" s="320"/>
      <c r="I21" s="320"/>
      <c r="J21" s="320"/>
      <c r="K21" s="320"/>
      <c r="L21" s="320"/>
      <c r="M21" s="2911"/>
      <c r="N21" s="320"/>
      <c r="O21" s="320"/>
      <c r="P21" s="320"/>
      <c r="Q21" s="320"/>
      <c r="R21" s="320"/>
    </row>
    <row r="22" spans="1:29" x14ac:dyDescent="0.2">
      <c r="A22" s="2962"/>
      <c r="B22" s="2962"/>
      <c r="C22" s="2962"/>
      <c r="D22" s="2961"/>
      <c r="E22" s="320"/>
      <c r="F22" s="320"/>
      <c r="G22" s="320"/>
      <c r="H22" s="320"/>
      <c r="I22" s="320"/>
      <c r="J22" s="320"/>
      <c r="K22" s="320"/>
      <c r="L22" s="320"/>
      <c r="M22" s="2911"/>
      <c r="N22" s="320"/>
      <c r="O22" s="320"/>
      <c r="P22" s="320"/>
      <c r="Q22" s="320"/>
      <c r="R22" s="320"/>
    </row>
    <row r="23" spans="1:29" x14ac:dyDescent="0.2">
      <c r="A23" s="2962"/>
      <c r="B23" s="2962"/>
      <c r="C23" s="2962"/>
      <c r="D23" s="2961"/>
      <c r="E23" s="320"/>
      <c r="F23" s="320"/>
      <c r="G23" s="320"/>
      <c r="H23" s="320"/>
      <c r="I23" s="320"/>
      <c r="J23" s="320"/>
      <c r="K23" s="320"/>
      <c r="L23" s="320"/>
      <c r="M23" s="2911"/>
      <c r="N23" s="320"/>
      <c r="O23" s="320"/>
      <c r="P23" s="320"/>
      <c r="Q23" s="320"/>
      <c r="R23" s="320"/>
    </row>
    <row r="24" spans="1:29" x14ac:dyDescent="0.2">
      <c r="A24" s="2962"/>
      <c r="B24" s="2962"/>
      <c r="C24" s="2962"/>
      <c r="D24" s="2961"/>
      <c r="E24" s="320"/>
      <c r="F24" s="320"/>
      <c r="G24" s="320"/>
      <c r="H24" s="320"/>
      <c r="I24" s="320"/>
      <c r="J24" s="320"/>
      <c r="K24" s="320"/>
      <c r="L24" s="320"/>
      <c r="M24" s="2911"/>
      <c r="N24" s="320"/>
      <c r="O24" s="320"/>
      <c r="P24" s="320"/>
      <c r="Q24" s="320"/>
      <c r="R24" s="320"/>
    </row>
    <row r="25" spans="1:29" x14ac:dyDescent="0.2">
      <c r="A25" s="2962"/>
      <c r="B25" s="2962"/>
      <c r="C25" s="2962"/>
      <c r="D25" s="2961"/>
      <c r="E25" s="320"/>
      <c r="F25" s="320"/>
      <c r="G25" s="320"/>
      <c r="H25" s="320"/>
      <c r="I25" s="320"/>
      <c r="J25" s="320"/>
      <c r="K25" s="320"/>
      <c r="L25" s="320"/>
      <c r="M25" s="2911"/>
      <c r="N25" s="320"/>
      <c r="O25" s="320"/>
      <c r="P25" s="320"/>
      <c r="Q25" s="320"/>
      <c r="R25" s="320"/>
    </row>
    <row r="26" spans="1:29" x14ac:dyDescent="0.2">
      <c r="A26" s="2962"/>
      <c r="B26" s="2962"/>
      <c r="C26" s="2962"/>
      <c r="D26" s="2961"/>
      <c r="E26" s="320"/>
      <c r="F26" s="320"/>
      <c r="G26" s="320"/>
      <c r="H26" s="320"/>
      <c r="I26" s="320"/>
      <c r="J26" s="320"/>
      <c r="K26" s="320"/>
      <c r="L26" s="320"/>
      <c r="M26" s="2911"/>
      <c r="N26" s="320"/>
      <c r="O26" s="320"/>
      <c r="P26" s="320"/>
      <c r="Q26" s="320"/>
      <c r="R26" s="320"/>
    </row>
    <row r="27" spans="1:29" x14ac:dyDescent="0.2">
      <c r="A27" s="2962"/>
      <c r="B27" s="2962"/>
      <c r="C27" s="2962"/>
      <c r="D27" s="2999"/>
      <c r="E27" s="2961"/>
      <c r="F27" s="2961"/>
      <c r="G27" s="2961"/>
      <c r="H27" s="2961"/>
      <c r="I27" s="2961"/>
      <c r="J27" s="2961"/>
      <c r="K27" s="2999"/>
      <c r="L27" s="2961"/>
      <c r="M27" s="2911"/>
      <c r="N27" s="2961"/>
      <c r="O27" s="2961"/>
      <c r="P27" s="2961"/>
      <c r="Q27" s="2961"/>
      <c r="R27" s="2961"/>
    </row>
    <row r="28" spans="1:29" x14ac:dyDescent="0.2">
      <c r="A28" s="2962"/>
      <c r="B28" s="2962"/>
      <c r="C28" s="2962"/>
      <c r="D28" s="2961"/>
      <c r="E28" s="2961"/>
      <c r="F28" s="2961"/>
      <c r="G28" s="2961"/>
      <c r="H28" s="2961"/>
      <c r="I28" s="2961"/>
      <c r="J28" s="2961"/>
      <c r="K28" s="2961"/>
      <c r="L28" s="2961"/>
      <c r="M28" s="2961"/>
      <c r="N28" s="2961"/>
      <c r="O28" s="2961"/>
      <c r="P28" s="2961"/>
      <c r="Q28" s="2961"/>
      <c r="R28" s="2961"/>
    </row>
    <row r="29" spans="1:29" x14ac:dyDescent="0.2">
      <c r="A29" s="2962"/>
      <c r="B29" s="2962"/>
      <c r="C29" s="2962"/>
      <c r="D29" s="2961"/>
      <c r="E29" s="2961"/>
      <c r="F29" s="2961"/>
      <c r="G29" s="2961"/>
      <c r="H29" s="2961"/>
      <c r="I29" s="2961"/>
      <c r="J29" s="2961"/>
      <c r="K29" s="2961"/>
      <c r="L29" s="2961"/>
      <c r="M29" s="2961"/>
      <c r="N29" s="2961"/>
      <c r="O29" s="2961"/>
      <c r="P29" s="2961"/>
      <c r="Q29" s="2961"/>
      <c r="R29" s="2961"/>
    </row>
    <row r="30" spans="1:29" x14ac:dyDescent="0.2">
      <c r="A30" s="2962"/>
      <c r="B30" s="2962"/>
      <c r="C30" s="2962"/>
      <c r="D30" s="2961"/>
      <c r="E30" s="2961"/>
      <c r="F30" s="2961"/>
      <c r="G30" s="2961"/>
      <c r="H30" s="2961"/>
      <c r="I30" s="2961"/>
      <c r="J30" s="2961"/>
      <c r="K30" s="2961"/>
      <c r="L30" s="2961"/>
      <c r="M30" s="2961"/>
      <c r="N30" s="2961"/>
      <c r="O30" s="2961"/>
      <c r="P30" s="2961"/>
      <c r="Q30" s="2961"/>
      <c r="R30" s="2961"/>
    </row>
    <row r="31" spans="1:29" x14ac:dyDescent="0.2">
      <c r="A31" s="2962"/>
      <c r="B31" s="2962"/>
      <c r="C31" s="2962"/>
      <c r="D31" s="2961"/>
      <c r="E31" s="2961"/>
      <c r="F31" s="2961"/>
      <c r="G31" s="2961"/>
      <c r="H31" s="2961"/>
      <c r="I31" s="2961"/>
      <c r="J31" s="2961"/>
      <c r="K31" s="2961"/>
      <c r="L31" s="2961"/>
      <c r="M31" s="2961"/>
      <c r="N31" s="2961"/>
      <c r="O31" s="2961"/>
      <c r="P31" s="2961"/>
      <c r="Q31" s="2961"/>
      <c r="R31" s="2961"/>
    </row>
    <row r="32" spans="1:29" x14ac:dyDescent="0.2">
      <c r="A32" s="2962"/>
      <c r="B32" s="2962"/>
      <c r="C32" s="2962"/>
      <c r="D32" s="2961"/>
      <c r="E32" s="2961"/>
      <c r="F32" s="2961"/>
      <c r="G32" s="2961"/>
      <c r="H32" s="2961"/>
      <c r="I32" s="2961"/>
      <c r="J32" s="2961"/>
      <c r="K32" s="2961"/>
      <c r="L32" s="2961"/>
      <c r="M32" s="2961"/>
      <c r="N32" s="2961"/>
      <c r="O32" s="2961"/>
      <c r="P32" s="2961"/>
      <c r="Q32" s="2961"/>
      <c r="R32" s="2961"/>
    </row>
    <row r="33" spans="1:27" x14ac:dyDescent="0.2">
      <c r="A33" s="2962"/>
      <c r="B33" s="2962"/>
      <c r="C33" s="2962"/>
      <c r="D33" s="2961"/>
      <c r="E33" s="2961"/>
      <c r="F33" s="2961"/>
      <c r="G33" s="2961"/>
      <c r="H33" s="2961"/>
      <c r="I33" s="2961"/>
      <c r="J33" s="2961"/>
      <c r="K33" s="2961"/>
      <c r="L33" s="2961"/>
      <c r="M33" s="2961"/>
      <c r="N33" s="2961"/>
      <c r="O33" s="2961"/>
      <c r="P33" s="2961"/>
      <c r="Q33" s="2961"/>
      <c r="R33" s="2961"/>
    </row>
    <row r="34" spans="1:27" x14ac:dyDescent="0.2">
      <c r="A34" s="2962"/>
      <c r="B34" s="2962"/>
      <c r="C34" s="2962"/>
      <c r="D34" s="2961"/>
      <c r="E34" s="2961"/>
      <c r="F34" s="2961"/>
      <c r="G34" s="2961"/>
      <c r="H34" s="2961"/>
      <c r="I34" s="2961"/>
      <c r="J34" s="2961"/>
      <c r="K34" s="2961"/>
      <c r="L34" s="2961"/>
      <c r="M34" s="2961"/>
      <c r="N34" s="2961"/>
      <c r="O34" s="2961"/>
      <c r="P34" s="2961"/>
      <c r="Q34" s="2961"/>
      <c r="R34" s="2961"/>
    </row>
    <row r="35" spans="1:27" x14ac:dyDescent="0.2">
      <c r="A35" s="2962"/>
      <c r="B35" s="2962"/>
      <c r="C35" s="2962"/>
      <c r="D35" s="2961"/>
      <c r="E35" s="2961"/>
      <c r="F35" s="2961"/>
      <c r="G35" s="2961"/>
      <c r="H35" s="2961"/>
      <c r="I35" s="2961"/>
      <c r="J35" s="2961"/>
      <c r="K35" s="2961"/>
      <c r="L35" s="2961"/>
      <c r="M35" s="2961"/>
      <c r="N35" s="2961"/>
      <c r="O35" s="2961"/>
      <c r="P35" s="2961"/>
      <c r="Q35" s="2961"/>
      <c r="R35" s="2961"/>
    </row>
    <row r="36" spans="1:27" x14ac:dyDescent="0.2">
      <c r="A36" s="2962"/>
      <c r="B36" s="2962"/>
      <c r="C36" s="2962"/>
      <c r="D36" s="2961"/>
      <c r="E36" s="2961"/>
      <c r="F36" s="2961"/>
      <c r="G36" s="2961"/>
      <c r="H36" s="2961"/>
      <c r="I36" s="2961"/>
      <c r="J36" s="2961"/>
      <c r="K36" s="2961"/>
      <c r="L36" s="2961"/>
      <c r="M36" s="2961"/>
      <c r="N36" s="2961"/>
      <c r="O36" s="2961"/>
      <c r="P36" s="2961"/>
      <c r="Q36" s="2961"/>
      <c r="R36" s="2961"/>
    </row>
    <row r="37" spans="1:27" x14ac:dyDescent="0.2">
      <c r="A37" s="2962"/>
      <c r="B37" s="2962"/>
      <c r="C37" s="2962"/>
      <c r="D37" s="2961"/>
      <c r="E37" s="2961"/>
      <c r="F37" s="2961"/>
      <c r="G37" s="2961"/>
      <c r="H37" s="2961"/>
      <c r="I37" s="2961"/>
      <c r="J37" s="2961"/>
      <c r="K37" s="2961"/>
      <c r="L37" s="2961"/>
      <c r="M37" s="2961"/>
      <c r="N37" s="2961"/>
      <c r="O37" s="2961"/>
      <c r="P37" s="2961"/>
      <c r="Q37" s="2961"/>
      <c r="R37" s="2961"/>
      <c r="S37" s="316"/>
      <c r="T37" s="316"/>
      <c r="U37" s="316"/>
    </row>
    <row r="38" spans="1:27" ht="16.5" customHeight="1" x14ac:dyDescent="0.2">
      <c r="A38" s="2358">
        <v>7</v>
      </c>
      <c r="B38" s="2358" t="s">
        <v>29</v>
      </c>
      <c r="C38" s="2358"/>
      <c r="D38" s="4048" t="s">
        <v>1267</v>
      </c>
      <c r="E38" s="4049"/>
      <c r="F38" s="4049"/>
      <c r="G38" s="4049"/>
      <c r="H38" s="4049"/>
      <c r="I38" s="4049"/>
      <c r="J38" s="4049"/>
      <c r="K38" s="4049"/>
      <c r="L38" s="4049"/>
      <c r="M38" s="4049"/>
      <c r="N38" s="4049"/>
      <c r="O38" s="4049"/>
      <c r="P38" s="4049"/>
      <c r="Q38" s="4049"/>
      <c r="R38" s="4049"/>
      <c r="S38" s="4049"/>
      <c r="T38" s="4049"/>
      <c r="U38" s="4049"/>
      <c r="V38" s="4049"/>
      <c r="W38" s="4049"/>
      <c r="X38" s="4049"/>
      <c r="Y38" s="4049"/>
      <c r="Z38" s="4049"/>
      <c r="AA38" s="4049"/>
    </row>
    <row r="39" spans="1:27" ht="60" customHeight="1" x14ac:dyDescent="0.2">
      <c r="A39" s="2433">
        <v>8</v>
      </c>
      <c r="B39" s="2433" t="s">
        <v>32</v>
      </c>
      <c r="C39" s="2433"/>
      <c r="D39" s="4048" t="s">
        <v>1268</v>
      </c>
      <c r="E39" s="4049"/>
      <c r="F39" s="4049"/>
      <c r="G39" s="4049"/>
      <c r="H39" s="4049"/>
      <c r="I39" s="4049"/>
      <c r="J39" s="4049"/>
      <c r="K39" s="4049"/>
      <c r="L39" s="4049"/>
      <c r="M39" s="4049"/>
      <c r="N39" s="4049"/>
      <c r="O39" s="4049"/>
      <c r="P39" s="4049"/>
      <c r="Q39" s="4049"/>
      <c r="R39" s="4049"/>
      <c r="S39" s="4049"/>
      <c r="T39" s="4049"/>
      <c r="U39" s="4049"/>
      <c r="V39" s="4049"/>
      <c r="W39" s="4049"/>
      <c r="X39" s="4049"/>
      <c r="Y39" s="4049"/>
      <c r="Z39" s="4049"/>
      <c r="AA39" s="4049"/>
    </row>
    <row r="40" spans="1:27" ht="13.9" customHeight="1" x14ac:dyDescent="0.2">
      <c r="A40" s="2358">
        <v>9</v>
      </c>
      <c r="B40" s="2358" t="s">
        <v>31</v>
      </c>
      <c r="C40" s="2358"/>
      <c r="D40" s="4048" t="s">
        <v>1269</v>
      </c>
      <c r="E40" s="4049"/>
      <c r="F40" s="4049"/>
      <c r="G40" s="4049"/>
      <c r="H40" s="4049"/>
      <c r="I40" s="4049"/>
      <c r="J40" s="4049"/>
      <c r="K40" s="4049"/>
      <c r="L40" s="4049"/>
      <c r="M40" s="4049"/>
      <c r="N40" s="4049"/>
      <c r="O40" s="4049"/>
      <c r="P40" s="4049"/>
      <c r="Q40" s="4049"/>
      <c r="R40" s="4049"/>
      <c r="S40" s="4049"/>
      <c r="T40" s="4049"/>
      <c r="U40" s="4049"/>
      <c r="V40" s="4049"/>
      <c r="W40" s="4049"/>
      <c r="X40" s="4049"/>
      <c r="Y40" s="4049"/>
      <c r="Z40" s="4049"/>
      <c r="AA40" s="4049"/>
    </row>
    <row r="42" spans="1:27" x14ac:dyDescent="0.2">
      <c r="A42" s="2962"/>
      <c r="B42" s="2962"/>
      <c r="C42" s="2962"/>
      <c r="D42" s="3000"/>
    </row>
  </sheetData>
  <mergeCells count="6">
    <mergeCell ref="D40:AA40"/>
    <mergeCell ref="D2:AB2"/>
    <mergeCell ref="D3:AB3"/>
    <mergeCell ref="D4:AB4"/>
    <mergeCell ref="D38:AA38"/>
    <mergeCell ref="D39:AA39"/>
  </mergeCells>
  <pageMargins left="0.74803149606299213" right="0.74803149606299213" top="0.98425196850393704" bottom="0.98425196850393704" header="0.51181102362204722" footer="0.51181102362204722"/>
  <pageSetup paperSize="9" scale="62"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pageSetUpPr fitToPage="1"/>
  </sheetPr>
  <dimension ref="A1:AB36"/>
  <sheetViews>
    <sheetView showGridLines="0" view="pageBreakPreview" zoomScaleNormal="100" zoomScaleSheetLayoutView="100" workbookViewId="0">
      <selection activeCell="D36" sqref="D36:V36"/>
    </sheetView>
  </sheetViews>
  <sheetFormatPr defaultColWidth="9.140625" defaultRowHeight="11.25" x14ac:dyDescent="0.2"/>
  <cols>
    <col min="1" max="1" width="3.7109375" style="2754" customWidth="1"/>
    <col min="2" max="2" width="14.42578125" style="2639" customWidth="1"/>
    <col min="3" max="3" width="3.7109375" style="2639" customWidth="1"/>
    <col min="4" max="4" width="38.42578125" style="316" customWidth="1"/>
    <col min="5" max="5" width="9.42578125" style="316" customWidth="1"/>
    <col min="6" max="6" width="9" style="316" customWidth="1"/>
    <col min="7" max="7" width="9.42578125" style="316" customWidth="1"/>
    <col min="8" max="8" width="8.42578125" style="316" customWidth="1"/>
    <col min="9" max="9" width="9.42578125" style="316" customWidth="1"/>
    <col min="10" max="12" width="8.5703125" style="316" customWidth="1"/>
    <col min="13" max="13" width="9.140625" style="316" customWidth="1"/>
    <col min="14" max="14" width="8.5703125" style="316" customWidth="1"/>
    <col min="15" max="15" width="8.42578125" style="316" customWidth="1"/>
    <col min="16" max="16" width="8.5703125" style="316" customWidth="1"/>
    <col min="17" max="17" width="8.85546875" style="316" customWidth="1"/>
    <col min="18" max="19" width="8.42578125" style="316" customWidth="1"/>
    <col min="20" max="20" width="8.7109375" style="316" customWidth="1"/>
    <col min="21" max="21" width="9.42578125" style="316" customWidth="1"/>
    <col min="22" max="22" width="8.42578125" style="316" customWidth="1"/>
    <col min="23" max="23" width="9.140625" style="316"/>
    <col min="24" max="24" width="8.5703125" style="316" customWidth="1"/>
    <col min="25" max="25" width="9.5703125" style="316" customWidth="1"/>
    <col min="26" max="26" width="9.7109375" style="316" customWidth="1"/>
    <col min="27" max="28" width="9.5703125" style="316" customWidth="1"/>
    <col min="29" max="255" width="9.140625" style="316"/>
    <col min="256" max="256" width="3.7109375" style="316" customWidth="1"/>
    <col min="257" max="257" width="14.42578125" style="316" customWidth="1"/>
    <col min="258" max="258" width="3.7109375" style="316" customWidth="1"/>
    <col min="259" max="259" width="39.28515625" style="316" customWidth="1"/>
    <col min="260" max="276" width="9.42578125" style="316" customWidth="1"/>
    <col min="277" max="511" width="9.140625" style="316"/>
    <col min="512" max="512" width="3.7109375" style="316" customWidth="1"/>
    <col min="513" max="513" width="14.42578125" style="316" customWidth="1"/>
    <col min="514" max="514" width="3.7109375" style="316" customWidth="1"/>
    <col min="515" max="515" width="39.28515625" style="316" customWidth="1"/>
    <col min="516" max="532" width="9.42578125" style="316" customWidth="1"/>
    <col min="533" max="767" width="9.140625" style="316"/>
    <col min="768" max="768" width="3.7109375" style="316" customWidth="1"/>
    <col min="769" max="769" width="14.42578125" style="316" customWidth="1"/>
    <col min="770" max="770" width="3.7109375" style="316" customWidth="1"/>
    <col min="771" max="771" width="39.28515625" style="316" customWidth="1"/>
    <col min="772" max="788" width="9.42578125" style="316" customWidth="1"/>
    <col min="789" max="1023" width="9.140625" style="316"/>
    <col min="1024" max="1024" width="3.7109375" style="316" customWidth="1"/>
    <col min="1025" max="1025" width="14.42578125" style="316" customWidth="1"/>
    <col min="1026" max="1026" width="3.7109375" style="316" customWidth="1"/>
    <col min="1027" max="1027" width="39.28515625" style="316" customWidth="1"/>
    <col min="1028" max="1044" width="9.42578125" style="316" customWidth="1"/>
    <col min="1045" max="1279" width="9.140625" style="316"/>
    <col min="1280" max="1280" width="3.7109375" style="316" customWidth="1"/>
    <col min="1281" max="1281" width="14.42578125" style="316" customWidth="1"/>
    <col min="1282" max="1282" width="3.7109375" style="316" customWidth="1"/>
    <col min="1283" max="1283" width="39.28515625" style="316" customWidth="1"/>
    <col min="1284" max="1300" width="9.42578125" style="316" customWidth="1"/>
    <col min="1301" max="1535" width="9.140625" style="316"/>
    <col min="1536" max="1536" width="3.7109375" style="316" customWidth="1"/>
    <col min="1537" max="1537" width="14.42578125" style="316" customWidth="1"/>
    <col min="1538" max="1538" width="3.7109375" style="316" customWidth="1"/>
    <col min="1539" max="1539" width="39.28515625" style="316" customWidth="1"/>
    <col min="1540" max="1556" width="9.42578125" style="316" customWidth="1"/>
    <col min="1557" max="1791" width="9.140625" style="316"/>
    <col min="1792" max="1792" width="3.7109375" style="316" customWidth="1"/>
    <col min="1793" max="1793" width="14.42578125" style="316" customWidth="1"/>
    <col min="1794" max="1794" width="3.7109375" style="316" customWidth="1"/>
    <col min="1795" max="1795" width="39.28515625" style="316" customWidth="1"/>
    <col min="1796" max="1812" width="9.42578125" style="316" customWidth="1"/>
    <col min="1813" max="2047" width="9.140625" style="316"/>
    <col min="2048" max="2048" width="3.7109375" style="316" customWidth="1"/>
    <col min="2049" max="2049" width="14.42578125" style="316" customWidth="1"/>
    <col min="2050" max="2050" width="3.7109375" style="316" customWidth="1"/>
    <col min="2051" max="2051" width="39.28515625" style="316" customWidth="1"/>
    <col min="2052" max="2068" width="9.42578125" style="316" customWidth="1"/>
    <col min="2069" max="2303" width="9.140625" style="316"/>
    <col min="2304" max="2304" width="3.7109375" style="316" customWidth="1"/>
    <col min="2305" max="2305" width="14.42578125" style="316" customWidth="1"/>
    <col min="2306" max="2306" width="3.7109375" style="316" customWidth="1"/>
    <col min="2307" max="2307" width="39.28515625" style="316" customWidth="1"/>
    <col min="2308" max="2324" width="9.42578125" style="316" customWidth="1"/>
    <col min="2325" max="2559" width="9.140625" style="316"/>
    <col min="2560" max="2560" width="3.7109375" style="316" customWidth="1"/>
    <col min="2561" max="2561" width="14.42578125" style="316" customWidth="1"/>
    <col min="2562" max="2562" width="3.7109375" style="316" customWidth="1"/>
    <col min="2563" max="2563" width="39.28515625" style="316" customWidth="1"/>
    <col min="2564" max="2580" width="9.42578125" style="316" customWidth="1"/>
    <col min="2581" max="2815" width="9.140625" style="316"/>
    <col min="2816" max="2816" width="3.7109375" style="316" customWidth="1"/>
    <col min="2817" max="2817" width="14.42578125" style="316" customWidth="1"/>
    <col min="2818" max="2818" width="3.7109375" style="316" customWidth="1"/>
    <col min="2819" max="2819" width="39.28515625" style="316" customWidth="1"/>
    <col min="2820" max="2836" width="9.42578125" style="316" customWidth="1"/>
    <col min="2837" max="3071" width="9.140625" style="316"/>
    <col min="3072" max="3072" width="3.7109375" style="316" customWidth="1"/>
    <col min="3073" max="3073" width="14.42578125" style="316" customWidth="1"/>
    <col min="3074" max="3074" width="3.7109375" style="316" customWidth="1"/>
    <col min="3075" max="3075" width="39.28515625" style="316" customWidth="1"/>
    <col min="3076" max="3092" width="9.42578125" style="316" customWidth="1"/>
    <col min="3093" max="3327" width="9.140625" style="316"/>
    <col min="3328" max="3328" width="3.7109375" style="316" customWidth="1"/>
    <col min="3329" max="3329" width="14.42578125" style="316" customWidth="1"/>
    <col min="3330" max="3330" width="3.7109375" style="316" customWidth="1"/>
    <col min="3331" max="3331" width="39.28515625" style="316" customWidth="1"/>
    <col min="3332" max="3348" width="9.42578125" style="316" customWidth="1"/>
    <col min="3349" max="3583" width="9.140625" style="316"/>
    <col min="3584" max="3584" width="3.7109375" style="316" customWidth="1"/>
    <col min="3585" max="3585" width="14.42578125" style="316" customWidth="1"/>
    <col min="3586" max="3586" width="3.7109375" style="316" customWidth="1"/>
    <col min="3587" max="3587" width="39.28515625" style="316" customWidth="1"/>
    <col min="3588" max="3604" width="9.42578125" style="316" customWidth="1"/>
    <col min="3605" max="3839" width="9.140625" style="316"/>
    <col min="3840" max="3840" width="3.7109375" style="316" customWidth="1"/>
    <col min="3841" max="3841" width="14.42578125" style="316" customWidth="1"/>
    <col min="3842" max="3842" width="3.7109375" style="316" customWidth="1"/>
    <col min="3843" max="3843" width="39.28515625" style="316" customWidth="1"/>
    <col min="3844" max="3860" width="9.42578125" style="316" customWidth="1"/>
    <col min="3861" max="4095" width="9.140625" style="316"/>
    <col min="4096" max="4096" width="3.7109375" style="316" customWidth="1"/>
    <col min="4097" max="4097" width="14.42578125" style="316" customWidth="1"/>
    <col min="4098" max="4098" width="3.7109375" style="316" customWidth="1"/>
    <col min="4099" max="4099" width="39.28515625" style="316" customWidth="1"/>
    <col min="4100" max="4116" width="9.42578125" style="316" customWidth="1"/>
    <col min="4117" max="4351" width="9.140625" style="316"/>
    <col min="4352" max="4352" width="3.7109375" style="316" customWidth="1"/>
    <col min="4353" max="4353" width="14.42578125" style="316" customWidth="1"/>
    <col min="4354" max="4354" width="3.7109375" style="316" customWidth="1"/>
    <col min="4355" max="4355" width="39.28515625" style="316" customWidth="1"/>
    <col min="4356" max="4372" width="9.42578125" style="316" customWidth="1"/>
    <col min="4373" max="4607" width="9.140625" style="316"/>
    <col min="4608" max="4608" width="3.7109375" style="316" customWidth="1"/>
    <col min="4609" max="4609" width="14.42578125" style="316" customWidth="1"/>
    <col min="4610" max="4610" width="3.7109375" style="316" customWidth="1"/>
    <col min="4611" max="4611" width="39.28515625" style="316" customWidth="1"/>
    <col min="4612" max="4628" width="9.42578125" style="316" customWidth="1"/>
    <col min="4629" max="4863" width="9.140625" style="316"/>
    <col min="4864" max="4864" width="3.7109375" style="316" customWidth="1"/>
    <col min="4865" max="4865" width="14.42578125" style="316" customWidth="1"/>
    <col min="4866" max="4866" width="3.7109375" style="316" customWidth="1"/>
    <col min="4867" max="4867" width="39.28515625" style="316" customWidth="1"/>
    <col min="4868" max="4884" width="9.42578125" style="316" customWidth="1"/>
    <col min="4885" max="5119" width="9.140625" style="316"/>
    <col min="5120" max="5120" width="3.7109375" style="316" customWidth="1"/>
    <col min="5121" max="5121" width="14.42578125" style="316" customWidth="1"/>
    <col min="5122" max="5122" width="3.7109375" style="316" customWidth="1"/>
    <col min="5123" max="5123" width="39.28515625" style="316" customWidth="1"/>
    <col min="5124" max="5140" width="9.42578125" style="316" customWidth="1"/>
    <col min="5141" max="5375" width="9.140625" style="316"/>
    <col min="5376" max="5376" width="3.7109375" style="316" customWidth="1"/>
    <col min="5377" max="5377" width="14.42578125" style="316" customWidth="1"/>
    <col min="5378" max="5378" width="3.7109375" style="316" customWidth="1"/>
    <col min="5379" max="5379" width="39.28515625" style="316" customWidth="1"/>
    <col min="5380" max="5396" width="9.42578125" style="316" customWidth="1"/>
    <col min="5397" max="5631" width="9.140625" style="316"/>
    <col min="5632" max="5632" width="3.7109375" style="316" customWidth="1"/>
    <col min="5633" max="5633" width="14.42578125" style="316" customWidth="1"/>
    <col min="5634" max="5634" width="3.7109375" style="316" customWidth="1"/>
    <col min="5635" max="5635" width="39.28515625" style="316" customWidth="1"/>
    <col min="5636" max="5652" width="9.42578125" style="316" customWidth="1"/>
    <col min="5653" max="5887" width="9.140625" style="316"/>
    <col min="5888" max="5888" width="3.7109375" style="316" customWidth="1"/>
    <col min="5889" max="5889" width="14.42578125" style="316" customWidth="1"/>
    <col min="5890" max="5890" width="3.7109375" style="316" customWidth="1"/>
    <col min="5891" max="5891" width="39.28515625" style="316" customWidth="1"/>
    <col min="5892" max="5908" width="9.42578125" style="316" customWidth="1"/>
    <col min="5909" max="6143" width="9.140625" style="316"/>
    <col min="6144" max="6144" width="3.7109375" style="316" customWidth="1"/>
    <col min="6145" max="6145" width="14.42578125" style="316" customWidth="1"/>
    <col min="6146" max="6146" width="3.7109375" style="316" customWidth="1"/>
    <col min="6147" max="6147" width="39.28515625" style="316" customWidth="1"/>
    <col min="6148" max="6164" width="9.42578125" style="316" customWidth="1"/>
    <col min="6165" max="6399" width="9.140625" style="316"/>
    <col min="6400" max="6400" width="3.7109375" style="316" customWidth="1"/>
    <col min="6401" max="6401" width="14.42578125" style="316" customWidth="1"/>
    <col min="6402" max="6402" width="3.7109375" style="316" customWidth="1"/>
    <col min="6403" max="6403" width="39.28515625" style="316" customWidth="1"/>
    <col min="6404" max="6420" width="9.42578125" style="316" customWidth="1"/>
    <col min="6421" max="6655" width="9.140625" style="316"/>
    <col min="6656" max="6656" width="3.7109375" style="316" customWidth="1"/>
    <col min="6657" max="6657" width="14.42578125" style="316" customWidth="1"/>
    <col min="6658" max="6658" width="3.7109375" style="316" customWidth="1"/>
    <col min="6659" max="6659" width="39.28515625" style="316" customWidth="1"/>
    <col min="6660" max="6676" width="9.42578125" style="316" customWidth="1"/>
    <col min="6677" max="6911" width="9.140625" style="316"/>
    <col min="6912" max="6912" width="3.7109375" style="316" customWidth="1"/>
    <col min="6913" max="6913" width="14.42578125" style="316" customWidth="1"/>
    <col min="6914" max="6914" width="3.7109375" style="316" customWidth="1"/>
    <col min="6915" max="6915" width="39.28515625" style="316" customWidth="1"/>
    <col min="6916" max="6932" width="9.42578125" style="316" customWidth="1"/>
    <col min="6933" max="7167" width="9.140625" style="316"/>
    <col min="7168" max="7168" width="3.7109375" style="316" customWidth="1"/>
    <col min="7169" max="7169" width="14.42578125" style="316" customWidth="1"/>
    <col min="7170" max="7170" width="3.7109375" style="316" customWidth="1"/>
    <col min="7171" max="7171" width="39.28515625" style="316" customWidth="1"/>
    <col min="7172" max="7188" width="9.42578125" style="316" customWidth="1"/>
    <col min="7189" max="7423" width="9.140625" style="316"/>
    <col min="7424" max="7424" width="3.7109375" style="316" customWidth="1"/>
    <col min="7425" max="7425" width="14.42578125" style="316" customWidth="1"/>
    <col min="7426" max="7426" width="3.7109375" style="316" customWidth="1"/>
    <col min="7427" max="7427" width="39.28515625" style="316" customWidth="1"/>
    <col min="7428" max="7444" width="9.42578125" style="316" customWidth="1"/>
    <col min="7445" max="7679" width="9.140625" style="316"/>
    <col min="7680" max="7680" width="3.7109375" style="316" customWidth="1"/>
    <col min="7681" max="7681" width="14.42578125" style="316" customWidth="1"/>
    <col min="7682" max="7682" width="3.7109375" style="316" customWidth="1"/>
    <col min="7683" max="7683" width="39.28515625" style="316" customWidth="1"/>
    <col min="7684" max="7700" width="9.42578125" style="316" customWidth="1"/>
    <col min="7701" max="7935" width="9.140625" style="316"/>
    <col min="7936" max="7936" width="3.7109375" style="316" customWidth="1"/>
    <col min="7937" max="7937" width="14.42578125" style="316" customWidth="1"/>
    <col min="7938" max="7938" width="3.7109375" style="316" customWidth="1"/>
    <col min="7939" max="7939" width="39.28515625" style="316" customWidth="1"/>
    <col min="7940" max="7956" width="9.42578125" style="316" customWidth="1"/>
    <col min="7957" max="8191" width="9.140625" style="316"/>
    <col min="8192" max="8192" width="3.7109375" style="316" customWidth="1"/>
    <col min="8193" max="8193" width="14.42578125" style="316" customWidth="1"/>
    <col min="8194" max="8194" width="3.7109375" style="316" customWidth="1"/>
    <col min="8195" max="8195" width="39.28515625" style="316" customWidth="1"/>
    <col min="8196" max="8212" width="9.42578125" style="316" customWidth="1"/>
    <col min="8213" max="8447" width="9.140625" style="316"/>
    <col min="8448" max="8448" width="3.7109375" style="316" customWidth="1"/>
    <col min="8449" max="8449" width="14.42578125" style="316" customWidth="1"/>
    <col min="8450" max="8450" width="3.7109375" style="316" customWidth="1"/>
    <col min="8451" max="8451" width="39.28515625" style="316" customWidth="1"/>
    <col min="8452" max="8468" width="9.42578125" style="316" customWidth="1"/>
    <col min="8469" max="8703" width="9.140625" style="316"/>
    <col min="8704" max="8704" width="3.7109375" style="316" customWidth="1"/>
    <col min="8705" max="8705" width="14.42578125" style="316" customWidth="1"/>
    <col min="8706" max="8706" width="3.7109375" style="316" customWidth="1"/>
    <col min="8707" max="8707" width="39.28515625" style="316" customWidth="1"/>
    <col min="8708" max="8724" width="9.42578125" style="316" customWidth="1"/>
    <col min="8725" max="8959" width="9.140625" style="316"/>
    <col min="8960" max="8960" width="3.7109375" style="316" customWidth="1"/>
    <col min="8961" max="8961" width="14.42578125" style="316" customWidth="1"/>
    <col min="8962" max="8962" width="3.7109375" style="316" customWidth="1"/>
    <col min="8963" max="8963" width="39.28515625" style="316" customWidth="1"/>
    <col min="8964" max="8980" width="9.42578125" style="316" customWidth="1"/>
    <col min="8981" max="9215" width="9.140625" style="316"/>
    <col min="9216" max="9216" width="3.7109375" style="316" customWidth="1"/>
    <col min="9217" max="9217" width="14.42578125" style="316" customWidth="1"/>
    <col min="9218" max="9218" width="3.7109375" style="316" customWidth="1"/>
    <col min="9219" max="9219" width="39.28515625" style="316" customWidth="1"/>
    <col min="9220" max="9236" width="9.42578125" style="316" customWidth="1"/>
    <col min="9237" max="9471" width="9.140625" style="316"/>
    <col min="9472" max="9472" width="3.7109375" style="316" customWidth="1"/>
    <col min="9473" max="9473" width="14.42578125" style="316" customWidth="1"/>
    <col min="9474" max="9474" width="3.7109375" style="316" customWidth="1"/>
    <col min="9475" max="9475" width="39.28515625" style="316" customWidth="1"/>
    <col min="9476" max="9492" width="9.42578125" style="316" customWidth="1"/>
    <col min="9493" max="9727" width="9.140625" style="316"/>
    <col min="9728" max="9728" width="3.7109375" style="316" customWidth="1"/>
    <col min="9729" max="9729" width="14.42578125" style="316" customWidth="1"/>
    <col min="9730" max="9730" width="3.7109375" style="316" customWidth="1"/>
    <col min="9731" max="9731" width="39.28515625" style="316" customWidth="1"/>
    <col min="9732" max="9748" width="9.42578125" style="316" customWidth="1"/>
    <col min="9749" max="9983" width="9.140625" style="316"/>
    <col min="9984" max="9984" width="3.7109375" style="316" customWidth="1"/>
    <col min="9985" max="9985" width="14.42578125" style="316" customWidth="1"/>
    <col min="9986" max="9986" width="3.7109375" style="316" customWidth="1"/>
    <col min="9987" max="9987" width="39.28515625" style="316" customWidth="1"/>
    <col min="9988" max="10004" width="9.42578125" style="316" customWidth="1"/>
    <col min="10005" max="10239" width="9.140625" style="316"/>
    <col min="10240" max="10240" width="3.7109375" style="316" customWidth="1"/>
    <col min="10241" max="10241" width="14.42578125" style="316" customWidth="1"/>
    <col min="10242" max="10242" width="3.7109375" style="316" customWidth="1"/>
    <col min="10243" max="10243" width="39.28515625" style="316" customWidth="1"/>
    <col min="10244" max="10260" width="9.42578125" style="316" customWidth="1"/>
    <col min="10261" max="10495" width="9.140625" style="316"/>
    <col min="10496" max="10496" width="3.7109375" style="316" customWidth="1"/>
    <col min="10497" max="10497" width="14.42578125" style="316" customWidth="1"/>
    <col min="10498" max="10498" width="3.7109375" style="316" customWidth="1"/>
    <col min="10499" max="10499" width="39.28515625" style="316" customWidth="1"/>
    <col min="10500" max="10516" width="9.42578125" style="316" customWidth="1"/>
    <col min="10517" max="10751" width="9.140625" style="316"/>
    <col min="10752" max="10752" width="3.7109375" style="316" customWidth="1"/>
    <col min="10753" max="10753" width="14.42578125" style="316" customWidth="1"/>
    <col min="10754" max="10754" width="3.7109375" style="316" customWidth="1"/>
    <col min="10755" max="10755" width="39.28515625" style="316" customWidth="1"/>
    <col min="10756" max="10772" width="9.42578125" style="316" customWidth="1"/>
    <col min="10773" max="11007" width="9.140625" style="316"/>
    <col min="11008" max="11008" width="3.7109375" style="316" customWidth="1"/>
    <col min="11009" max="11009" width="14.42578125" style="316" customWidth="1"/>
    <col min="11010" max="11010" width="3.7109375" style="316" customWidth="1"/>
    <col min="11011" max="11011" width="39.28515625" style="316" customWidth="1"/>
    <col min="11012" max="11028" width="9.42578125" style="316" customWidth="1"/>
    <col min="11029" max="11263" width="9.140625" style="316"/>
    <col min="11264" max="11264" width="3.7109375" style="316" customWidth="1"/>
    <col min="11265" max="11265" width="14.42578125" style="316" customWidth="1"/>
    <col min="11266" max="11266" width="3.7109375" style="316" customWidth="1"/>
    <col min="11267" max="11267" width="39.28515625" style="316" customWidth="1"/>
    <col min="11268" max="11284" width="9.42578125" style="316" customWidth="1"/>
    <col min="11285" max="11519" width="9.140625" style="316"/>
    <col min="11520" max="11520" width="3.7109375" style="316" customWidth="1"/>
    <col min="11521" max="11521" width="14.42578125" style="316" customWidth="1"/>
    <col min="11522" max="11522" width="3.7109375" style="316" customWidth="1"/>
    <col min="11523" max="11523" width="39.28515625" style="316" customWidth="1"/>
    <col min="11524" max="11540" width="9.42578125" style="316" customWidth="1"/>
    <col min="11541" max="11775" width="9.140625" style="316"/>
    <col min="11776" max="11776" width="3.7109375" style="316" customWidth="1"/>
    <col min="11777" max="11777" width="14.42578125" style="316" customWidth="1"/>
    <col min="11778" max="11778" width="3.7109375" style="316" customWidth="1"/>
    <col min="11779" max="11779" width="39.28515625" style="316" customWidth="1"/>
    <col min="11780" max="11796" width="9.42578125" style="316" customWidth="1"/>
    <col min="11797" max="12031" width="9.140625" style="316"/>
    <col min="12032" max="12032" width="3.7109375" style="316" customWidth="1"/>
    <col min="12033" max="12033" width="14.42578125" style="316" customWidth="1"/>
    <col min="12034" max="12034" width="3.7109375" style="316" customWidth="1"/>
    <col min="12035" max="12035" width="39.28515625" style="316" customWidth="1"/>
    <col min="12036" max="12052" width="9.42578125" style="316" customWidth="1"/>
    <col min="12053" max="12287" width="9.140625" style="316"/>
    <col min="12288" max="12288" width="3.7109375" style="316" customWidth="1"/>
    <col min="12289" max="12289" width="14.42578125" style="316" customWidth="1"/>
    <col min="12290" max="12290" width="3.7109375" style="316" customWidth="1"/>
    <col min="12291" max="12291" width="39.28515625" style="316" customWidth="1"/>
    <col min="12292" max="12308" width="9.42578125" style="316" customWidth="1"/>
    <col min="12309" max="12543" width="9.140625" style="316"/>
    <col min="12544" max="12544" width="3.7109375" style="316" customWidth="1"/>
    <col min="12545" max="12545" width="14.42578125" style="316" customWidth="1"/>
    <col min="12546" max="12546" width="3.7109375" style="316" customWidth="1"/>
    <col min="12547" max="12547" width="39.28515625" style="316" customWidth="1"/>
    <col min="12548" max="12564" width="9.42578125" style="316" customWidth="1"/>
    <col min="12565" max="12799" width="9.140625" style="316"/>
    <col min="12800" max="12800" width="3.7109375" style="316" customWidth="1"/>
    <col min="12801" max="12801" width="14.42578125" style="316" customWidth="1"/>
    <col min="12802" max="12802" width="3.7109375" style="316" customWidth="1"/>
    <col min="12803" max="12803" width="39.28515625" style="316" customWidth="1"/>
    <col min="12804" max="12820" width="9.42578125" style="316" customWidth="1"/>
    <col min="12821" max="13055" width="9.140625" style="316"/>
    <col min="13056" max="13056" width="3.7109375" style="316" customWidth="1"/>
    <col min="13057" max="13057" width="14.42578125" style="316" customWidth="1"/>
    <col min="13058" max="13058" width="3.7109375" style="316" customWidth="1"/>
    <col min="13059" max="13059" width="39.28515625" style="316" customWidth="1"/>
    <col min="13060" max="13076" width="9.42578125" style="316" customWidth="1"/>
    <col min="13077" max="13311" width="9.140625" style="316"/>
    <col min="13312" max="13312" width="3.7109375" style="316" customWidth="1"/>
    <col min="13313" max="13313" width="14.42578125" style="316" customWidth="1"/>
    <col min="13314" max="13314" width="3.7109375" style="316" customWidth="1"/>
    <col min="13315" max="13315" width="39.28515625" style="316" customWidth="1"/>
    <col min="13316" max="13332" width="9.42578125" style="316" customWidth="1"/>
    <col min="13333" max="13567" width="9.140625" style="316"/>
    <col min="13568" max="13568" width="3.7109375" style="316" customWidth="1"/>
    <col min="13569" max="13569" width="14.42578125" style="316" customWidth="1"/>
    <col min="13570" max="13570" width="3.7109375" style="316" customWidth="1"/>
    <col min="13571" max="13571" width="39.28515625" style="316" customWidth="1"/>
    <col min="13572" max="13588" width="9.42578125" style="316" customWidth="1"/>
    <col min="13589" max="13823" width="9.140625" style="316"/>
    <col min="13824" max="13824" width="3.7109375" style="316" customWidth="1"/>
    <col min="13825" max="13825" width="14.42578125" style="316" customWidth="1"/>
    <col min="13826" max="13826" width="3.7109375" style="316" customWidth="1"/>
    <col min="13827" max="13827" width="39.28515625" style="316" customWidth="1"/>
    <col min="13828" max="13844" width="9.42578125" style="316" customWidth="1"/>
    <col min="13845" max="14079" width="9.140625" style="316"/>
    <col min="14080" max="14080" width="3.7109375" style="316" customWidth="1"/>
    <col min="14081" max="14081" width="14.42578125" style="316" customWidth="1"/>
    <col min="14082" max="14082" width="3.7109375" style="316" customWidth="1"/>
    <col min="14083" max="14083" width="39.28515625" style="316" customWidth="1"/>
    <col min="14084" max="14100" width="9.42578125" style="316" customWidth="1"/>
    <col min="14101" max="14335" width="9.140625" style="316"/>
    <col min="14336" max="14336" width="3.7109375" style="316" customWidth="1"/>
    <col min="14337" max="14337" width="14.42578125" style="316" customWidth="1"/>
    <col min="14338" max="14338" width="3.7109375" style="316" customWidth="1"/>
    <col min="14339" max="14339" width="39.28515625" style="316" customWidth="1"/>
    <col min="14340" max="14356" width="9.42578125" style="316" customWidth="1"/>
    <col min="14357" max="14591" width="9.140625" style="316"/>
    <col min="14592" max="14592" width="3.7109375" style="316" customWidth="1"/>
    <col min="14593" max="14593" width="14.42578125" style="316" customWidth="1"/>
    <col min="14594" max="14594" width="3.7109375" style="316" customWidth="1"/>
    <col min="14595" max="14595" width="39.28515625" style="316" customWidth="1"/>
    <col min="14596" max="14612" width="9.42578125" style="316" customWidth="1"/>
    <col min="14613" max="14847" width="9.140625" style="316"/>
    <col min="14848" max="14848" width="3.7109375" style="316" customWidth="1"/>
    <col min="14849" max="14849" width="14.42578125" style="316" customWidth="1"/>
    <col min="14850" max="14850" width="3.7109375" style="316" customWidth="1"/>
    <col min="14851" max="14851" width="39.28515625" style="316" customWidth="1"/>
    <col min="14852" max="14868" width="9.42578125" style="316" customWidth="1"/>
    <col min="14869" max="15103" width="9.140625" style="316"/>
    <col min="15104" max="15104" width="3.7109375" style="316" customWidth="1"/>
    <col min="15105" max="15105" width="14.42578125" style="316" customWidth="1"/>
    <col min="15106" max="15106" width="3.7109375" style="316" customWidth="1"/>
    <col min="15107" max="15107" width="39.28515625" style="316" customWidth="1"/>
    <col min="15108" max="15124" width="9.42578125" style="316" customWidth="1"/>
    <col min="15125" max="15359" width="9.140625" style="316"/>
    <col min="15360" max="15360" width="3.7109375" style="316" customWidth="1"/>
    <col min="15361" max="15361" width="14.42578125" style="316" customWidth="1"/>
    <col min="15362" max="15362" width="3.7109375" style="316" customWidth="1"/>
    <col min="15363" max="15363" width="39.28515625" style="316" customWidth="1"/>
    <col min="15364" max="15380" width="9.42578125" style="316" customWidth="1"/>
    <col min="15381" max="15615" width="9.140625" style="316"/>
    <col min="15616" max="15616" width="3.7109375" style="316" customWidth="1"/>
    <col min="15617" max="15617" width="14.42578125" style="316" customWidth="1"/>
    <col min="15618" max="15618" width="3.7109375" style="316" customWidth="1"/>
    <col min="15619" max="15619" width="39.28515625" style="316" customWidth="1"/>
    <col min="15620" max="15636" width="9.42578125" style="316" customWidth="1"/>
    <col min="15637" max="15871" width="9.140625" style="316"/>
    <col min="15872" max="15872" width="3.7109375" style="316" customWidth="1"/>
    <col min="15873" max="15873" width="14.42578125" style="316" customWidth="1"/>
    <col min="15874" max="15874" width="3.7109375" style="316" customWidth="1"/>
    <col min="15875" max="15875" width="39.28515625" style="316" customWidth="1"/>
    <col min="15876" max="15892" width="9.42578125" style="316" customWidth="1"/>
    <col min="15893" max="16127" width="9.140625" style="316"/>
    <col min="16128" max="16128" width="3.7109375" style="316" customWidth="1"/>
    <col min="16129" max="16129" width="14.42578125" style="316" customWidth="1"/>
    <col min="16130" max="16130" width="3.7109375" style="316" customWidth="1"/>
    <col min="16131" max="16131" width="39.28515625" style="316" customWidth="1"/>
    <col min="16132" max="16148" width="9.42578125" style="316" customWidth="1"/>
    <col min="16149" max="16384" width="9.140625" style="316"/>
  </cols>
  <sheetData>
    <row r="1" spans="1:28" x14ac:dyDescent="0.2">
      <c r="D1" s="320"/>
      <c r="E1" s="320"/>
      <c r="F1" s="320"/>
      <c r="G1" s="320"/>
      <c r="H1" s="320"/>
      <c r="I1" s="320"/>
      <c r="J1" s="320"/>
      <c r="K1" s="320"/>
      <c r="L1" s="320"/>
      <c r="M1" s="320"/>
      <c r="N1" s="320"/>
      <c r="O1" s="320"/>
      <c r="P1" s="320"/>
      <c r="Q1" s="320"/>
      <c r="R1" s="320"/>
      <c r="S1" s="320"/>
    </row>
    <row r="2" spans="1:28" ht="15" customHeight="1" x14ac:dyDescent="0.2">
      <c r="A2" s="2358">
        <v>1</v>
      </c>
      <c r="B2" s="2358" t="s">
        <v>0</v>
      </c>
      <c r="C2" s="2358">
        <v>71</v>
      </c>
      <c r="D2" s="4048" t="s">
        <v>1270</v>
      </c>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50"/>
    </row>
    <row r="3" spans="1:28" ht="12.75" x14ac:dyDescent="0.2">
      <c r="A3" s="2358">
        <v>2</v>
      </c>
      <c r="B3" s="2358" t="s">
        <v>2</v>
      </c>
      <c r="C3" s="2358"/>
      <c r="D3" s="4048" t="s">
        <v>1032</v>
      </c>
      <c r="E3" s="4049"/>
      <c r="F3" s="4049"/>
      <c r="G3" s="4049"/>
      <c r="H3" s="4049"/>
      <c r="I3" s="4049"/>
      <c r="J3" s="4049"/>
      <c r="K3" s="4049"/>
      <c r="L3" s="4049"/>
      <c r="M3" s="4049"/>
      <c r="N3" s="4049"/>
      <c r="O3" s="4049"/>
      <c r="P3" s="4049"/>
      <c r="Q3" s="4049"/>
      <c r="R3" s="4049"/>
      <c r="S3" s="4049"/>
      <c r="T3" s="4049"/>
      <c r="U3" s="4049"/>
      <c r="V3" s="4049"/>
      <c r="W3" s="4049"/>
      <c r="X3" s="4049"/>
      <c r="Y3" s="4049"/>
      <c r="Z3" s="4049"/>
      <c r="AA3" s="4049"/>
      <c r="AB3" s="4050"/>
    </row>
    <row r="4" spans="1:28" ht="12.75" customHeight="1" x14ac:dyDescent="0.2">
      <c r="A4" s="2358">
        <v>3</v>
      </c>
      <c r="B4" s="2358" t="s">
        <v>4</v>
      </c>
      <c r="C4" s="2358"/>
      <c r="D4" s="4048" t="s">
        <v>1271</v>
      </c>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50"/>
    </row>
    <row r="5" spans="1:28" s="74" customFormat="1" ht="14.25" customHeight="1" x14ac:dyDescent="0.2">
      <c r="A5" s="2358"/>
      <c r="B5" s="1076"/>
      <c r="C5" s="1076"/>
      <c r="D5" s="3001"/>
      <c r="E5" s="1062"/>
      <c r="F5" s="1062"/>
      <c r="G5" s="1062"/>
      <c r="H5" s="1062"/>
      <c r="I5" s="1062"/>
      <c r="J5" s="1062"/>
      <c r="K5" s="1062"/>
      <c r="L5" s="1062"/>
      <c r="M5" s="1062"/>
      <c r="N5" s="1062"/>
      <c r="O5" s="1062"/>
      <c r="P5" s="1062"/>
    </row>
    <row r="6" spans="1:28" ht="15" x14ac:dyDescent="0.2">
      <c r="C6" s="1568"/>
      <c r="D6" s="1079"/>
      <c r="E6" s="1079"/>
      <c r="F6" s="1079"/>
      <c r="G6" s="1079"/>
      <c r="H6" s="1079"/>
      <c r="I6" s="1079"/>
      <c r="J6" s="1079"/>
      <c r="K6" s="1079"/>
      <c r="L6" s="1079"/>
      <c r="M6" s="1079"/>
      <c r="N6" s="1079"/>
      <c r="O6" s="1079"/>
      <c r="P6" s="1079"/>
    </row>
    <row r="7" spans="1:28" ht="12.75" x14ac:dyDescent="0.2">
      <c r="A7" s="2358">
        <v>4</v>
      </c>
      <c r="B7" s="902" t="s">
        <v>5</v>
      </c>
      <c r="D7" s="304" t="s">
        <v>112</v>
      </c>
      <c r="E7" s="123" t="s">
        <v>1272</v>
      </c>
      <c r="F7" s="123"/>
      <c r="G7" s="123"/>
      <c r="H7" s="123"/>
      <c r="I7" s="123"/>
      <c r="J7" s="123"/>
      <c r="K7" s="123"/>
      <c r="L7" s="123"/>
      <c r="M7" s="148"/>
      <c r="N7" s="148"/>
      <c r="O7" s="148"/>
      <c r="P7" s="148"/>
      <c r="Q7" s="139"/>
      <c r="R7" s="320"/>
      <c r="S7" s="320"/>
    </row>
    <row r="8" spans="1:28" ht="12.75" x14ac:dyDescent="0.2">
      <c r="A8" s="2358"/>
      <c r="D8" s="3002"/>
      <c r="E8" s="1228">
        <v>1994</v>
      </c>
      <c r="F8" s="1228">
        <v>1995</v>
      </c>
      <c r="G8" s="1228">
        <v>1996</v>
      </c>
      <c r="H8" s="1228">
        <v>1997</v>
      </c>
      <c r="I8" s="1228">
        <v>1998</v>
      </c>
      <c r="J8" s="1228">
        <v>1999</v>
      </c>
      <c r="K8" s="1228">
        <v>2000</v>
      </c>
      <c r="L8" s="1228">
        <v>2001</v>
      </c>
      <c r="M8" s="1228">
        <v>2002</v>
      </c>
      <c r="N8" s="1228">
        <v>2003</v>
      </c>
      <c r="O8" s="1228">
        <v>2004</v>
      </c>
      <c r="P8" s="1228">
        <v>2005</v>
      </c>
      <c r="Q8" s="1228">
        <v>2006</v>
      </c>
      <c r="R8" s="1228">
        <v>2007</v>
      </c>
      <c r="S8" s="1228">
        <v>2008</v>
      </c>
      <c r="T8" s="1228">
        <v>2009</v>
      </c>
      <c r="U8" s="1228">
        <v>2010</v>
      </c>
      <c r="V8" s="1228">
        <v>2011</v>
      </c>
      <c r="W8" s="1228">
        <v>2012</v>
      </c>
      <c r="X8" s="1228">
        <v>2013</v>
      </c>
      <c r="Y8" s="1228">
        <v>2014</v>
      </c>
      <c r="Z8" s="1228">
        <v>2015</v>
      </c>
      <c r="AA8" s="1228">
        <v>2016</v>
      </c>
      <c r="AB8" s="1228">
        <v>2017</v>
      </c>
    </row>
    <row r="9" spans="1:28" ht="16.5" customHeight="1" x14ac:dyDescent="0.2">
      <c r="A9" s="2358"/>
      <c r="D9" s="349" t="s">
        <v>1273</v>
      </c>
      <c r="E9" s="3003">
        <v>4904223.2199425697</v>
      </c>
      <c r="F9" s="3003">
        <v>5733497.3496370073</v>
      </c>
      <c r="G9" s="3003">
        <v>5776424.1447586864</v>
      </c>
      <c r="H9" s="3003">
        <v>5819350.9398803646</v>
      </c>
      <c r="I9" s="3003">
        <v>5850566</v>
      </c>
      <c r="J9" s="3003">
        <v>5992057</v>
      </c>
      <c r="K9" s="3003">
        <v>6074201</v>
      </c>
      <c r="L9" s="3004">
        <v>6159679</v>
      </c>
      <c r="M9" s="3003">
        <v>6245392</v>
      </c>
      <c r="N9" s="3003">
        <v>6417484</v>
      </c>
      <c r="O9" s="3003">
        <v>6677239</v>
      </c>
      <c r="P9" s="3003">
        <v>7128791</v>
      </c>
      <c r="Q9" s="3003">
        <v>7653044</v>
      </c>
      <c r="R9" s="3003">
        <v>8133723</v>
      </c>
      <c r="S9" s="3003">
        <v>8357564</v>
      </c>
      <c r="T9" s="1386">
        <v>8600031</v>
      </c>
      <c r="U9" s="1386">
        <v>8816366</v>
      </c>
      <c r="V9" s="1386">
        <v>9150805</v>
      </c>
      <c r="W9" s="3004">
        <v>9541627</v>
      </c>
      <c r="X9" s="3004">
        <v>9909923</v>
      </c>
      <c r="Y9" s="3004">
        <v>10249504</v>
      </c>
      <c r="Z9" s="3004">
        <v>10565967</v>
      </c>
      <c r="AA9" s="3004">
        <v>10801558</v>
      </c>
      <c r="AB9" s="3004">
        <v>11012345</v>
      </c>
    </row>
    <row r="10" spans="1:28" s="3005" customFormat="1" ht="14.25" customHeight="1" x14ac:dyDescent="0.2">
      <c r="A10" s="2358"/>
      <c r="B10" s="2640"/>
      <c r="C10" s="2640"/>
      <c r="D10" s="349" t="s">
        <v>1274</v>
      </c>
      <c r="E10" s="1006">
        <f>E13/(((C9+E9)/2)/10000)</f>
        <v>33.195878878022697</v>
      </c>
      <c r="F10" s="1006">
        <f t="shared" ref="F10:AB10" si="0">F13/(((E9+F9)/2)/10000)</f>
        <v>15.670650390715078</v>
      </c>
      <c r="G10" s="1006">
        <f t="shared" si="0"/>
        <v>13.640405807845433</v>
      </c>
      <c r="H10" s="1006">
        <f t="shared" si="0"/>
        <v>13.435928074043851</v>
      </c>
      <c r="I10" s="1006">
        <f t="shared" si="0"/>
        <v>12.442247939554619</v>
      </c>
      <c r="J10" s="1006">
        <f t="shared" si="0"/>
        <v>12.399280125695126</v>
      </c>
      <c r="K10" s="1006">
        <f t="shared" si="0"/>
        <v>11.070540676322352</v>
      </c>
      <c r="L10" s="669">
        <f t="shared" si="0"/>
        <v>14.389547715033988</v>
      </c>
      <c r="M10" s="1006">
        <f t="shared" si="0"/>
        <v>16.078908375453878</v>
      </c>
      <c r="N10" s="1006">
        <f t="shared" si="0"/>
        <v>16.105346052508132</v>
      </c>
      <c r="O10" s="1006">
        <f t="shared" si="0"/>
        <v>16.200419054301495</v>
      </c>
      <c r="P10" s="1006">
        <f t="shared" si="0"/>
        <v>17.001266837751331</v>
      </c>
      <c r="Q10" s="1006">
        <f t="shared" si="0"/>
        <v>16.853117356539293</v>
      </c>
      <c r="R10" s="1006">
        <f t="shared" si="0"/>
        <v>15.216541803651122</v>
      </c>
      <c r="S10" s="1006">
        <f t="shared" si="0"/>
        <v>13.103889344718821</v>
      </c>
      <c r="T10" s="1006">
        <f t="shared" si="0"/>
        <v>12.804881824338889</v>
      </c>
      <c r="U10" s="1006">
        <f t="shared" si="0"/>
        <v>12.444594596689546</v>
      </c>
      <c r="V10" s="1006">
        <f t="shared" si="0"/>
        <v>12.498350463743012</v>
      </c>
      <c r="W10" s="669">
        <f t="shared" si="0"/>
        <v>11.744860165868198</v>
      </c>
      <c r="X10" s="669">
        <f t="shared" si="0"/>
        <v>10.456750233271899</v>
      </c>
      <c r="Y10" s="669">
        <f t="shared" si="0"/>
        <v>10.285014549272654</v>
      </c>
      <c r="Z10" s="669">
        <f t="shared" si="0"/>
        <v>10.197223017437368</v>
      </c>
      <c r="AA10" s="669">
        <f t="shared" si="0"/>
        <v>10.928734142115196</v>
      </c>
      <c r="AB10" s="669">
        <f t="shared" si="0"/>
        <v>10.485973097065665</v>
      </c>
    </row>
    <row r="11" spans="1:28" ht="15" customHeight="1" x14ac:dyDescent="0.2">
      <c r="A11" s="2358"/>
      <c r="D11" s="349" t="s">
        <v>1275</v>
      </c>
      <c r="E11" s="1006">
        <f>E14/(((C9+E9)/2)/10000)</f>
        <v>40.703693744661493</v>
      </c>
      <c r="F11" s="1006">
        <f>F14/(((F9+E9)/2)/10000)</f>
        <v>19.282326383584142</v>
      </c>
      <c r="G11" s="1006">
        <f t="shared" ref="G11:Z11" si="1">G14/(((G9+F9)/2)/10000)</f>
        <v>17.112193171421886</v>
      </c>
      <c r="H11" s="1006">
        <f>H14/(((H9+G9)/2)/10000)</f>
        <v>16.714708467979325</v>
      </c>
      <c r="I11" s="1006">
        <f t="shared" si="1"/>
        <v>15.540813266650316</v>
      </c>
      <c r="J11" s="1006">
        <f>J14/(((J9+I9)/2)/10000)</f>
        <v>17.771400812134271</v>
      </c>
      <c r="K11" s="1006">
        <f t="shared" si="1"/>
        <v>14.07892985546969</v>
      </c>
      <c r="L11" s="669">
        <f t="shared" si="1"/>
        <v>18.311820447907127</v>
      </c>
      <c r="M11" s="1006">
        <f t="shared" si="1"/>
        <v>19.666189665470291</v>
      </c>
      <c r="N11" s="1006">
        <f t="shared" si="1"/>
        <v>19.509829668850344</v>
      </c>
      <c r="O11" s="1006">
        <f t="shared" si="1"/>
        <v>19.507857967925364</v>
      </c>
      <c r="P11" s="1006">
        <f t="shared" si="1"/>
        <v>20.475962882567707</v>
      </c>
      <c r="Q11" s="1006">
        <f t="shared" si="1"/>
        <v>20.862387140232475</v>
      </c>
      <c r="R11" s="1006">
        <f t="shared" si="1"/>
        <v>18.902132835348745</v>
      </c>
      <c r="S11" s="1006">
        <f t="shared" si="1"/>
        <v>16.697302035917513</v>
      </c>
      <c r="T11" s="1006">
        <f t="shared" si="1"/>
        <v>16.238151695449741</v>
      </c>
      <c r="U11" s="1006">
        <f t="shared" si="1"/>
        <v>16.038908621570812</v>
      </c>
      <c r="V11" s="1006">
        <f t="shared" si="1"/>
        <v>15.532773634758637</v>
      </c>
      <c r="W11" s="669">
        <f t="shared" si="1"/>
        <v>14.474307035061035</v>
      </c>
      <c r="X11" s="669">
        <f t="shared" si="1"/>
        <v>12.17794982919099</v>
      </c>
      <c r="Y11" s="669">
        <f t="shared" si="1"/>
        <v>12.601548645207028</v>
      </c>
      <c r="Z11" s="669">
        <f t="shared" si="1"/>
        <v>12.436903301395391</v>
      </c>
      <c r="AA11" s="669">
        <f>AA14/(((AA9+Z9)/2)/10000)</f>
        <v>13.170453761022861</v>
      </c>
      <c r="AB11" s="669">
        <f>AB14/(((AB9+AA9)/2)/10000)</f>
        <v>12.881692927670944</v>
      </c>
    </row>
    <row r="12" spans="1:28" ht="22.5" x14ac:dyDescent="0.2">
      <c r="A12" s="2358"/>
      <c r="D12" s="3006" t="s">
        <v>1276</v>
      </c>
      <c r="E12" s="3007">
        <f>E13/E9*100</f>
        <v>0.16597939439011347</v>
      </c>
      <c r="F12" s="3007">
        <f t="shared" ref="F12:R12" si="2">F13/F9*100</f>
        <v>0.14537374819799465</v>
      </c>
      <c r="G12" s="3007">
        <f t="shared" si="2"/>
        <v>0.13589722297526921</v>
      </c>
      <c r="H12" s="3007">
        <f t="shared" si="2"/>
        <v>0.13386372604914851</v>
      </c>
      <c r="I12" s="3007">
        <f t="shared" si="2"/>
        <v>0.1240905580759195</v>
      </c>
      <c r="J12" s="3007">
        <f t="shared" si="2"/>
        <v>0.12252887447499249</v>
      </c>
      <c r="K12" s="3007">
        <f t="shared" si="2"/>
        <v>0.10995684864560787</v>
      </c>
      <c r="L12" s="3008">
        <f t="shared" si="2"/>
        <v>0.142897056810915</v>
      </c>
      <c r="M12" s="3007">
        <f t="shared" si="2"/>
        <v>0.15968573309729797</v>
      </c>
      <c r="N12" s="3007">
        <f t="shared" si="2"/>
        <v>0.1588940463271899</v>
      </c>
      <c r="O12" s="3007">
        <f t="shared" si="2"/>
        <v>0.15885308283858043</v>
      </c>
      <c r="P12" s="3007">
        <f t="shared" si="2"/>
        <v>0.16462819572070497</v>
      </c>
      <c r="Q12" s="3007">
        <f t="shared" si="2"/>
        <v>0.16275876631573005</v>
      </c>
      <c r="R12" s="3007">
        <f t="shared" si="2"/>
        <v>0.14766915470320296</v>
      </c>
      <c r="S12" s="3007">
        <f>S13/S9*100</f>
        <v>0.12928408325679588</v>
      </c>
      <c r="T12" s="3007">
        <f>T13/T9*100</f>
        <v>0.12624373098189995</v>
      </c>
      <c r="U12" s="3007">
        <f>U13/U9*100</f>
        <v>0.12291912563521069</v>
      </c>
      <c r="V12" s="3007">
        <f>V13/V9*100</f>
        <v>0.12269958763190779</v>
      </c>
      <c r="W12" s="3008">
        <f t="shared" ref="W12:AA12" si="3">W13/W9*100</f>
        <v>0.11504327301832278</v>
      </c>
      <c r="X12" s="3008">
        <f t="shared" si="3"/>
        <v>0.10262440989702948</v>
      </c>
      <c r="Y12" s="3008">
        <f t="shared" si="3"/>
        <v>0.10114635791156333</v>
      </c>
      <c r="Z12" s="3008">
        <f t="shared" si="3"/>
        <v>0.10044513673003143</v>
      </c>
      <c r="AA12" s="3008">
        <f t="shared" si="3"/>
        <v>0.10809551733185158</v>
      </c>
      <c r="AB12" s="3008">
        <f>AB13/AB9*100</f>
        <v>0.10385617232297026</v>
      </c>
    </row>
    <row r="13" spans="1:28" ht="15" x14ac:dyDescent="0.2">
      <c r="A13" s="2358"/>
      <c r="C13" s="2633"/>
      <c r="D13" s="139" t="s">
        <v>1277</v>
      </c>
      <c r="E13" s="3009">
        <v>8140</v>
      </c>
      <c r="F13" s="3009">
        <v>8335</v>
      </c>
      <c r="G13" s="3009">
        <v>7850</v>
      </c>
      <c r="H13" s="3009">
        <v>7790</v>
      </c>
      <c r="I13" s="3009">
        <v>7260</v>
      </c>
      <c r="J13" s="3009">
        <v>7342</v>
      </c>
      <c r="K13" s="3009">
        <v>6679</v>
      </c>
      <c r="L13" s="3010">
        <v>8802</v>
      </c>
      <c r="M13" s="3009">
        <v>9973</v>
      </c>
      <c r="N13" s="3009">
        <v>10197</v>
      </c>
      <c r="O13" s="3009">
        <v>10607</v>
      </c>
      <c r="P13" s="3009">
        <v>11736</v>
      </c>
      <c r="Q13" s="3011">
        <v>12456</v>
      </c>
      <c r="R13" s="3011">
        <v>12011</v>
      </c>
      <c r="S13" s="3011">
        <v>10805</v>
      </c>
      <c r="T13" s="3009">
        <v>10857</v>
      </c>
      <c r="U13" s="3009">
        <v>10837</v>
      </c>
      <c r="V13" s="3009">
        <v>11228</v>
      </c>
      <c r="W13" s="3010">
        <v>10977</v>
      </c>
      <c r="X13" s="3010">
        <v>10170</v>
      </c>
      <c r="Y13" s="3010">
        <v>10367</v>
      </c>
      <c r="Z13" s="3010">
        <v>10613</v>
      </c>
      <c r="AA13" s="3010">
        <v>11676</v>
      </c>
      <c r="AB13" s="3010">
        <v>11437</v>
      </c>
    </row>
    <row r="14" spans="1:28" ht="14.25" x14ac:dyDescent="0.2">
      <c r="A14" s="2358"/>
      <c r="B14" s="3012"/>
      <c r="C14" s="3012"/>
      <c r="D14" s="148" t="s">
        <v>1278</v>
      </c>
      <c r="E14" s="3013">
        <v>9981</v>
      </c>
      <c r="F14" s="3013">
        <v>10256</v>
      </c>
      <c r="G14" s="3013">
        <v>9848</v>
      </c>
      <c r="H14" s="3013">
        <v>9691</v>
      </c>
      <c r="I14" s="3013">
        <v>9068</v>
      </c>
      <c r="J14" s="3013">
        <v>10523</v>
      </c>
      <c r="K14" s="3013">
        <v>8494</v>
      </c>
      <c r="L14" s="3013">
        <v>11201.230697062101</v>
      </c>
      <c r="M14" s="3013">
        <v>12198.023954981261</v>
      </c>
      <c r="N14" s="3013">
        <v>12352.527693888649</v>
      </c>
      <c r="O14" s="3013">
        <v>12772.499820666277</v>
      </c>
      <c r="P14" s="3013">
        <v>14134.587891780813</v>
      </c>
      <c r="Q14" s="3014">
        <v>15419.218220651916</v>
      </c>
      <c r="R14" s="3014">
        <v>14920.178343735</v>
      </c>
      <c r="S14" s="3014">
        <v>13768</v>
      </c>
      <c r="T14" s="3013">
        <v>13768</v>
      </c>
      <c r="U14" s="3013">
        <v>13967</v>
      </c>
      <c r="V14" s="3013">
        <v>13954</v>
      </c>
      <c r="W14" s="3015">
        <v>13528</v>
      </c>
      <c r="X14" s="3015">
        <v>11844</v>
      </c>
      <c r="Y14" s="3015">
        <v>12702</v>
      </c>
      <c r="Z14" s="3015">
        <v>12944</v>
      </c>
      <c r="AA14" s="3015">
        <v>14071</v>
      </c>
      <c r="AB14" s="3015">
        <v>14050</v>
      </c>
    </row>
    <row r="15" spans="1:28" ht="14.25" x14ac:dyDescent="0.2">
      <c r="A15" s="2358"/>
      <c r="C15" s="3012"/>
      <c r="D15" s="1078"/>
      <c r="E15" s="3016"/>
      <c r="F15" s="3016"/>
      <c r="G15" s="3016"/>
      <c r="H15" s="3016"/>
      <c r="I15" s="3016"/>
      <c r="J15" s="3016"/>
      <c r="K15" s="3016"/>
      <c r="L15" s="3016"/>
      <c r="M15" s="3016"/>
      <c r="N15" s="3016"/>
      <c r="O15" s="3016"/>
      <c r="P15" s="3016"/>
      <c r="Q15" s="3017"/>
      <c r="R15" s="3017"/>
      <c r="S15" s="3017"/>
    </row>
    <row r="16" spans="1:28" ht="14.25" x14ac:dyDescent="0.2">
      <c r="A16" s="2358">
        <v>5</v>
      </c>
      <c r="B16" s="2358" t="s">
        <v>90</v>
      </c>
      <c r="C16" s="3012"/>
      <c r="D16" s="1078"/>
      <c r="E16" s="1078"/>
      <c r="F16" s="1078"/>
      <c r="G16" s="1078"/>
      <c r="H16" s="1078"/>
      <c r="I16" s="3018"/>
      <c r="J16" s="1078"/>
      <c r="K16" s="1078"/>
      <c r="L16" s="1078"/>
      <c r="M16" s="1078"/>
      <c r="N16" s="1078"/>
      <c r="O16" s="1078"/>
      <c r="P16" s="1078"/>
      <c r="Q16" s="320"/>
      <c r="R16" s="640"/>
      <c r="S16" s="320"/>
    </row>
    <row r="17" spans="1:19" ht="14.25" x14ac:dyDescent="0.2">
      <c r="A17" s="2358"/>
      <c r="B17" s="3012"/>
      <c r="C17" s="3012"/>
      <c r="D17" s="1078"/>
      <c r="E17" s="1078"/>
      <c r="F17" s="1078"/>
      <c r="G17" s="1078"/>
      <c r="H17" s="1078"/>
      <c r="I17" s="3018"/>
      <c r="J17" s="1078"/>
      <c r="K17" s="1078"/>
      <c r="L17" s="1078"/>
      <c r="M17" s="3019"/>
      <c r="N17" s="1078"/>
      <c r="O17" s="1078"/>
      <c r="P17" s="1078"/>
      <c r="Q17" s="320"/>
      <c r="R17" s="640"/>
      <c r="S17" s="320"/>
    </row>
    <row r="18" spans="1:19" ht="14.25" x14ac:dyDescent="0.2">
      <c r="A18" s="2358"/>
      <c r="B18" s="3012"/>
      <c r="C18" s="3012"/>
      <c r="D18" s="1078"/>
      <c r="E18" s="1078"/>
      <c r="F18" s="1078"/>
      <c r="G18" s="1078"/>
      <c r="H18" s="1078"/>
      <c r="I18" s="3018"/>
      <c r="J18" s="1078"/>
      <c r="K18" s="1078"/>
      <c r="L18" s="1078"/>
      <c r="M18" s="3019"/>
      <c r="N18" s="1078"/>
      <c r="O18" s="1078"/>
      <c r="P18" s="1078"/>
      <c r="Q18" s="320"/>
      <c r="R18" s="640"/>
      <c r="S18" s="320"/>
    </row>
    <row r="19" spans="1:19" ht="14.25" x14ac:dyDescent="0.2">
      <c r="A19" s="2358"/>
      <c r="B19" s="3012"/>
      <c r="C19" s="3012"/>
      <c r="D19" s="1078"/>
      <c r="E19" s="1078"/>
      <c r="F19" s="1078"/>
      <c r="G19" s="1078"/>
      <c r="H19" s="1078"/>
      <c r="I19" s="3018"/>
      <c r="J19" s="1078"/>
      <c r="K19" s="1078"/>
      <c r="L19" s="1078"/>
      <c r="M19" s="3019"/>
      <c r="N19" s="1078"/>
      <c r="O19" s="1078"/>
      <c r="P19" s="1078"/>
      <c r="Q19" s="320"/>
      <c r="R19" s="640"/>
      <c r="S19" s="320"/>
    </row>
    <row r="20" spans="1:19" ht="14.25" x14ac:dyDescent="0.2">
      <c r="A20" s="2358"/>
      <c r="B20" s="3012"/>
      <c r="C20" s="3012"/>
      <c r="D20" s="3018"/>
      <c r="E20" s="1078"/>
      <c r="F20" s="1078"/>
      <c r="G20" s="1078"/>
      <c r="H20" s="1078"/>
      <c r="I20" s="3018"/>
      <c r="J20" s="1078"/>
      <c r="K20" s="1078"/>
      <c r="L20" s="1078"/>
      <c r="M20" s="3019"/>
      <c r="N20" s="1078"/>
      <c r="O20" s="1078"/>
      <c r="P20" s="1078"/>
      <c r="Q20" s="320"/>
      <c r="R20" s="640"/>
      <c r="S20" s="320"/>
    </row>
    <row r="21" spans="1:19" ht="14.25" x14ac:dyDescent="0.2">
      <c r="A21" s="2358"/>
      <c r="B21" s="3012"/>
      <c r="C21" s="3012"/>
      <c r="D21" s="1078"/>
      <c r="E21" s="1078"/>
      <c r="F21" s="1078"/>
      <c r="G21" s="1078"/>
      <c r="H21" s="1078"/>
      <c r="I21" s="3018"/>
      <c r="J21" s="1078"/>
      <c r="K21" s="1078"/>
      <c r="L21" s="1078"/>
      <c r="M21" s="3019"/>
      <c r="N21" s="1078"/>
      <c r="O21" s="1078"/>
      <c r="P21" s="1078"/>
      <c r="Q21" s="320"/>
      <c r="R21" s="3020"/>
      <c r="S21" s="3020"/>
    </row>
    <row r="22" spans="1:19" ht="14.25" x14ac:dyDescent="0.2">
      <c r="A22" s="2358"/>
      <c r="B22" s="3012"/>
      <c r="C22" s="3012"/>
      <c r="D22" s="1078"/>
      <c r="E22" s="1078"/>
      <c r="F22" s="1078"/>
      <c r="G22" s="1078"/>
      <c r="H22" s="1078"/>
      <c r="I22" s="3018"/>
      <c r="J22" s="1078"/>
      <c r="K22" s="1078"/>
      <c r="L22" s="1078"/>
      <c r="M22" s="3019"/>
      <c r="N22" s="1078"/>
      <c r="O22" s="1078"/>
      <c r="P22" s="1078"/>
      <c r="Q22" s="320"/>
      <c r="R22" s="320"/>
      <c r="S22" s="320"/>
    </row>
    <row r="23" spans="1:19" ht="14.25" x14ac:dyDescent="0.2">
      <c r="A23" s="2358"/>
      <c r="B23" s="3021"/>
      <c r="C23" s="3021"/>
      <c r="D23" s="1078"/>
      <c r="E23" s="1078"/>
      <c r="F23" s="1078"/>
      <c r="G23" s="1078"/>
      <c r="H23" s="1078"/>
      <c r="I23" s="1078"/>
      <c r="J23" s="3022"/>
      <c r="K23" s="1078"/>
      <c r="L23" s="1078"/>
      <c r="M23" s="3019"/>
      <c r="N23" s="1078"/>
      <c r="O23" s="1078"/>
      <c r="P23" s="1078"/>
      <c r="Q23" s="320"/>
      <c r="R23" s="320"/>
      <c r="S23" s="320"/>
    </row>
    <row r="24" spans="1:19" ht="14.25" x14ac:dyDescent="0.2">
      <c r="A24" s="2358"/>
      <c r="B24" s="3012"/>
      <c r="C24" s="3012"/>
      <c r="D24" s="1078"/>
      <c r="E24" s="1078"/>
      <c r="F24" s="1078"/>
      <c r="G24" s="1078"/>
      <c r="H24" s="1078"/>
      <c r="I24" s="1078"/>
      <c r="J24" s="1078"/>
      <c r="K24" s="1078"/>
      <c r="L24" s="1078"/>
      <c r="M24" s="1078"/>
      <c r="N24" s="1078"/>
      <c r="O24" s="1078"/>
      <c r="P24" s="1078"/>
      <c r="Q24" s="320"/>
      <c r="R24" s="320"/>
      <c r="S24" s="320"/>
    </row>
    <row r="25" spans="1:19" ht="14.25" x14ac:dyDescent="0.2">
      <c r="A25" s="2358"/>
      <c r="B25" s="3012"/>
      <c r="C25" s="3012"/>
      <c r="D25" s="1078"/>
      <c r="E25" s="1078"/>
      <c r="F25" s="1078"/>
      <c r="G25" s="1078"/>
      <c r="H25" s="1078"/>
      <c r="I25" s="1078"/>
      <c r="J25" s="1078"/>
      <c r="K25" s="1078"/>
      <c r="L25" s="1078"/>
      <c r="M25" s="1078"/>
      <c r="N25" s="1078"/>
      <c r="O25" s="1078"/>
      <c r="P25" s="1078"/>
      <c r="Q25" s="320"/>
      <c r="R25" s="320"/>
      <c r="S25" s="320"/>
    </row>
    <row r="26" spans="1:19" ht="14.25" x14ac:dyDescent="0.2">
      <c r="A26" s="2358"/>
      <c r="B26" s="3012"/>
      <c r="C26" s="3012"/>
      <c r="D26" s="1078"/>
      <c r="E26" s="1078"/>
      <c r="F26" s="1078"/>
      <c r="G26" s="1078"/>
      <c r="H26" s="1078"/>
      <c r="I26" s="1078"/>
      <c r="J26" s="1078"/>
      <c r="K26" s="1078"/>
      <c r="L26" s="1078"/>
      <c r="M26" s="1078"/>
      <c r="N26" s="1078"/>
      <c r="O26" s="1078"/>
      <c r="P26" s="1078"/>
      <c r="Q26" s="320"/>
      <c r="R26" s="320"/>
      <c r="S26" s="320"/>
    </row>
    <row r="27" spans="1:19" ht="14.25" x14ac:dyDescent="0.2">
      <c r="A27" s="2358"/>
      <c r="B27" s="3012"/>
      <c r="C27" s="3012"/>
      <c r="D27" s="1078"/>
      <c r="E27" s="1078"/>
      <c r="F27" s="1078"/>
      <c r="G27" s="1078"/>
      <c r="H27" s="1078"/>
      <c r="I27" s="1078"/>
      <c r="J27" s="1078"/>
      <c r="K27" s="1078"/>
      <c r="L27" s="1078"/>
      <c r="M27" s="1078"/>
      <c r="N27" s="1078"/>
      <c r="O27" s="1078"/>
      <c r="P27" s="1078"/>
      <c r="Q27" s="320"/>
      <c r="R27" s="320"/>
      <c r="S27" s="320"/>
    </row>
    <row r="28" spans="1:19" ht="14.25" x14ac:dyDescent="0.2">
      <c r="A28" s="2358"/>
      <c r="B28" s="3012"/>
      <c r="C28" s="3012"/>
      <c r="D28" s="1078"/>
      <c r="E28" s="1078"/>
      <c r="F28" s="1078"/>
      <c r="G28" s="1078"/>
      <c r="H28" s="1078"/>
      <c r="I28" s="1078"/>
      <c r="J28" s="1078"/>
      <c r="K28" s="1078"/>
      <c r="L28" s="1078"/>
      <c r="M28" s="1078"/>
      <c r="N28" s="1078"/>
      <c r="O28" s="1078"/>
      <c r="P28" s="1078"/>
      <c r="Q28" s="320"/>
      <c r="R28" s="320"/>
      <c r="S28" s="320"/>
    </row>
    <row r="29" spans="1:19" ht="14.25" x14ac:dyDescent="0.2">
      <c r="A29" s="2358"/>
      <c r="B29" s="3012"/>
      <c r="C29" s="3012"/>
      <c r="D29" s="1078"/>
      <c r="E29" s="1078"/>
      <c r="F29" s="1078"/>
      <c r="G29" s="1078"/>
      <c r="H29" s="1078"/>
      <c r="I29" s="1078"/>
      <c r="J29" s="1078"/>
      <c r="K29" s="1078"/>
      <c r="L29" s="1078"/>
      <c r="M29" s="1078"/>
      <c r="N29" s="1078"/>
      <c r="O29" s="1078"/>
      <c r="P29" s="1078"/>
      <c r="Q29" s="320"/>
      <c r="R29" s="320"/>
      <c r="S29" s="320"/>
    </row>
    <row r="30" spans="1:19" ht="14.25" x14ac:dyDescent="0.2">
      <c r="A30" s="2358"/>
      <c r="B30" s="3012"/>
      <c r="C30" s="3012"/>
      <c r="D30" s="1078"/>
      <c r="E30" s="1078"/>
      <c r="F30" s="1078"/>
      <c r="G30" s="1078"/>
      <c r="H30" s="1078"/>
      <c r="I30" s="1078"/>
      <c r="J30" s="1078"/>
      <c r="K30" s="1078"/>
      <c r="L30" s="1078"/>
      <c r="M30" s="1078"/>
      <c r="N30" s="1078"/>
      <c r="O30" s="1078"/>
      <c r="P30" s="1078"/>
      <c r="Q30" s="320"/>
      <c r="R30" s="320"/>
      <c r="S30" s="320"/>
    </row>
    <row r="31" spans="1:19" ht="14.25" x14ac:dyDescent="0.2">
      <c r="A31" s="2358"/>
      <c r="B31" s="3012"/>
      <c r="C31" s="3012"/>
      <c r="D31" s="1078"/>
      <c r="E31" s="1078"/>
      <c r="F31" s="1078"/>
      <c r="G31" s="1078"/>
      <c r="H31" s="1078"/>
      <c r="I31" s="1078"/>
      <c r="J31" s="1078"/>
      <c r="K31" s="1078"/>
      <c r="L31" s="1078"/>
      <c r="M31" s="1078"/>
      <c r="N31" s="1078"/>
      <c r="O31" s="1078"/>
      <c r="P31" s="1078"/>
      <c r="Q31" s="320"/>
      <c r="R31" s="320"/>
      <c r="S31" s="320"/>
    </row>
    <row r="32" spans="1:19" ht="14.25" x14ac:dyDescent="0.2">
      <c r="A32" s="2358"/>
      <c r="B32" s="3012"/>
      <c r="C32" s="3012"/>
      <c r="D32" s="1078"/>
      <c r="E32" s="1078"/>
      <c r="F32" s="1078"/>
      <c r="G32" s="1078"/>
      <c r="H32" s="1078"/>
      <c r="I32" s="1078"/>
      <c r="J32" s="1078"/>
      <c r="K32" s="1078"/>
      <c r="L32" s="1078"/>
      <c r="M32" s="1078"/>
      <c r="N32" s="1078"/>
      <c r="O32" s="1078"/>
      <c r="P32" s="1078"/>
      <c r="Q32" s="320"/>
      <c r="R32" s="320"/>
      <c r="S32" s="320"/>
    </row>
    <row r="33" spans="1:22" ht="12.75" x14ac:dyDescent="0.2">
      <c r="A33" s="2358">
        <v>6</v>
      </c>
      <c r="B33" s="2358" t="s">
        <v>29</v>
      </c>
      <c r="C33" s="2636"/>
      <c r="D33" s="4048" t="s">
        <v>1279</v>
      </c>
      <c r="E33" s="4049"/>
      <c r="F33" s="4049"/>
      <c r="G33" s="4049"/>
      <c r="H33" s="4049"/>
      <c r="I33" s="4049"/>
      <c r="J33" s="4049"/>
      <c r="K33" s="4049"/>
      <c r="L33" s="4049"/>
      <c r="M33" s="4049"/>
      <c r="N33" s="4049"/>
      <c r="O33" s="4049"/>
      <c r="P33" s="4049"/>
      <c r="Q33" s="4049"/>
      <c r="R33" s="4049"/>
      <c r="S33" s="4049"/>
      <c r="T33" s="4049"/>
      <c r="U33" s="4049"/>
      <c r="V33" s="4050"/>
    </row>
    <row r="34" spans="1:22" ht="12.75" customHeight="1" x14ac:dyDescent="0.2">
      <c r="A34" s="2358">
        <v>7</v>
      </c>
      <c r="B34" s="2358" t="s">
        <v>1280</v>
      </c>
      <c r="C34" s="2636"/>
      <c r="D34" s="4066" t="s">
        <v>1281</v>
      </c>
      <c r="E34" s="4067"/>
      <c r="F34" s="4067"/>
      <c r="G34" s="4067"/>
      <c r="H34" s="4067"/>
      <c r="I34" s="4067"/>
      <c r="J34" s="4067"/>
      <c r="K34" s="4067"/>
      <c r="L34" s="4067"/>
      <c r="M34" s="4067"/>
      <c r="N34" s="4067"/>
      <c r="O34" s="4067"/>
      <c r="P34" s="4067"/>
      <c r="Q34" s="4067"/>
      <c r="R34" s="4067"/>
      <c r="S34" s="4067"/>
      <c r="T34" s="4067"/>
      <c r="U34" s="4067"/>
      <c r="V34" s="4068"/>
    </row>
    <row r="35" spans="1:22" ht="16.5" customHeight="1" x14ac:dyDescent="0.2">
      <c r="A35" s="2358"/>
      <c r="B35" s="2358"/>
      <c r="C35" s="2636"/>
      <c r="D35" s="4048" t="s">
        <v>1282</v>
      </c>
      <c r="E35" s="4049"/>
      <c r="F35" s="4049"/>
      <c r="G35" s="4049"/>
      <c r="H35" s="4049"/>
      <c r="I35" s="4049"/>
      <c r="J35" s="4049"/>
      <c r="K35" s="4049"/>
      <c r="L35" s="4049"/>
      <c r="M35" s="4049"/>
      <c r="N35" s="4049"/>
      <c r="O35" s="4049"/>
      <c r="P35" s="4049"/>
      <c r="Q35" s="4049"/>
      <c r="R35" s="4049"/>
      <c r="S35" s="4049"/>
      <c r="T35" s="4049"/>
      <c r="U35" s="4049"/>
      <c r="V35" s="4050"/>
    </row>
    <row r="36" spans="1:22" ht="12.75" customHeight="1" x14ac:dyDescent="0.2">
      <c r="A36" s="2358">
        <v>8</v>
      </c>
      <c r="B36" s="2358" t="s">
        <v>31</v>
      </c>
      <c r="C36" s="2636"/>
      <c r="D36" s="4048" t="s">
        <v>1743</v>
      </c>
      <c r="E36" s="4049"/>
      <c r="F36" s="4049"/>
      <c r="G36" s="4049"/>
      <c r="H36" s="4049"/>
      <c r="I36" s="4049"/>
      <c r="J36" s="4049"/>
      <c r="K36" s="4049"/>
      <c r="L36" s="4049"/>
      <c r="M36" s="4049"/>
      <c r="N36" s="4049"/>
      <c r="O36" s="4049"/>
      <c r="P36" s="4049"/>
      <c r="Q36" s="4049"/>
      <c r="R36" s="4049"/>
      <c r="S36" s="4049"/>
      <c r="T36" s="4049"/>
      <c r="U36" s="4049"/>
      <c r="V36" s="4050"/>
    </row>
  </sheetData>
  <mergeCells count="7">
    <mergeCell ref="D2:AB2"/>
    <mergeCell ref="D3:AB3"/>
    <mergeCell ref="D4:AB4"/>
    <mergeCell ref="D36:V36"/>
    <mergeCell ref="D33:V33"/>
    <mergeCell ref="D34:V34"/>
    <mergeCell ref="D35:V35"/>
  </mergeCells>
  <pageMargins left="0.74803149606299213" right="0.74803149606299213" top="0.98425196850393704" bottom="0.98425196850393704" header="0.51181102362204722" footer="0.51181102362204722"/>
  <pageSetup paperSize="9" scale="45" fitToHeight="0" orientation="landscape" r:id="rId1"/>
  <headerFooter alignWithMargins="0">
    <oddHeader>&amp;C&amp;"-,Bold"DEVELOPMENT INDICATORS 2014</oddHeader>
    <oddFooter>&amp;LDepartment of Planning, Monitoring and Evaluation (DPME). &amp;CPage &amp;P of &amp;N&amp;R&amp;D</oddFooter>
  </headerFooter>
  <colBreaks count="1" manualBreakCount="1">
    <brk id="28" max="37"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40"/>
  <sheetViews>
    <sheetView showGridLines="0" topLeftCell="B1" zoomScaleNormal="100" zoomScaleSheetLayoutView="100" workbookViewId="0">
      <selection activeCell="C2" sqref="C2"/>
    </sheetView>
  </sheetViews>
  <sheetFormatPr defaultColWidth="9.140625" defaultRowHeight="11.25" x14ac:dyDescent="0.2"/>
  <cols>
    <col min="1" max="1" width="3.7109375" style="3339" customWidth="1"/>
    <col min="2" max="2" width="14.42578125" style="2707" customWidth="1"/>
    <col min="3" max="3" width="3.7109375" style="2707" customWidth="1"/>
    <col min="4" max="4" width="41.7109375" style="2439" customWidth="1"/>
    <col min="5" max="13" width="6.7109375" style="2439" customWidth="1"/>
    <col min="14" max="14" width="6.28515625" style="2439" customWidth="1"/>
    <col min="15" max="15" width="5.85546875" style="2439" customWidth="1"/>
    <col min="16" max="16" width="6.42578125" style="2439" customWidth="1"/>
    <col min="17" max="17" width="5.85546875" style="2439" customWidth="1"/>
    <col min="18" max="19" width="6.5703125" style="2439" customWidth="1"/>
    <col min="20" max="20" width="6.42578125" style="2439" customWidth="1"/>
    <col min="21" max="21" width="6.28515625" style="2439" customWidth="1"/>
    <col min="22" max="22" width="6" style="2439" customWidth="1"/>
    <col min="23" max="23" width="5.85546875" style="2439" customWidth="1"/>
    <col min="24" max="257" width="9.140625" style="2439"/>
    <col min="258" max="258" width="3.7109375" style="2439" customWidth="1"/>
    <col min="259" max="259" width="14.42578125" style="2439" customWidth="1"/>
    <col min="260" max="260" width="3.7109375" style="2439" customWidth="1"/>
    <col min="261" max="261" width="41.7109375" style="2439" customWidth="1"/>
    <col min="262" max="270" width="6.7109375" style="2439" customWidth="1"/>
    <col min="271" max="271" width="8.140625" style="2439" customWidth="1"/>
    <col min="272" max="272" width="7.5703125" style="2439" customWidth="1"/>
    <col min="273" max="274" width="7.7109375" style="2439" customWidth="1"/>
    <col min="275" max="275" width="7.85546875" style="2439" customWidth="1"/>
    <col min="276" max="276" width="8.42578125" style="2439" customWidth="1"/>
    <col min="277" max="513" width="9.140625" style="2439"/>
    <col min="514" max="514" width="3.7109375" style="2439" customWidth="1"/>
    <col min="515" max="515" width="14.42578125" style="2439" customWidth="1"/>
    <col min="516" max="516" width="3.7109375" style="2439" customWidth="1"/>
    <col min="517" max="517" width="41.7109375" style="2439" customWidth="1"/>
    <col min="518" max="526" width="6.7109375" style="2439" customWidth="1"/>
    <col min="527" max="527" width="8.140625" style="2439" customWidth="1"/>
    <col min="528" max="528" width="7.5703125" style="2439" customWidth="1"/>
    <col min="529" max="530" width="7.7109375" style="2439" customWidth="1"/>
    <col min="531" max="531" width="7.85546875" style="2439" customWidth="1"/>
    <col min="532" max="532" width="8.42578125" style="2439" customWidth="1"/>
    <col min="533" max="769" width="9.140625" style="2439"/>
    <col min="770" max="770" width="3.7109375" style="2439" customWidth="1"/>
    <col min="771" max="771" width="14.42578125" style="2439" customWidth="1"/>
    <col min="772" max="772" width="3.7109375" style="2439" customWidth="1"/>
    <col min="773" max="773" width="41.7109375" style="2439" customWidth="1"/>
    <col min="774" max="782" width="6.7109375" style="2439" customWidth="1"/>
    <col min="783" max="783" width="8.140625" style="2439" customWidth="1"/>
    <col min="784" max="784" width="7.5703125" style="2439" customWidth="1"/>
    <col min="785" max="786" width="7.7109375" style="2439" customWidth="1"/>
    <col min="787" max="787" width="7.85546875" style="2439" customWidth="1"/>
    <col min="788" max="788" width="8.42578125" style="2439" customWidth="1"/>
    <col min="789" max="1025" width="9.140625" style="2439"/>
    <col min="1026" max="1026" width="3.7109375" style="2439" customWidth="1"/>
    <col min="1027" max="1027" width="14.42578125" style="2439" customWidth="1"/>
    <col min="1028" max="1028" width="3.7109375" style="2439" customWidth="1"/>
    <col min="1029" max="1029" width="41.7109375" style="2439" customWidth="1"/>
    <col min="1030" max="1038" width="6.7109375" style="2439" customWidth="1"/>
    <col min="1039" max="1039" width="8.140625" style="2439" customWidth="1"/>
    <col min="1040" max="1040" width="7.5703125" style="2439" customWidth="1"/>
    <col min="1041" max="1042" width="7.7109375" style="2439" customWidth="1"/>
    <col min="1043" max="1043" width="7.85546875" style="2439" customWidth="1"/>
    <col min="1044" max="1044" width="8.42578125" style="2439" customWidth="1"/>
    <col min="1045" max="1281" width="9.140625" style="2439"/>
    <col min="1282" max="1282" width="3.7109375" style="2439" customWidth="1"/>
    <col min="1283" max="1283" width="14.42578125" style="2439" customWidth="1"/>
    <col min="1284" max="1284" width="3.7109375" style="2439" customWidth="1"/>
    <col min="1285" max="1285" width="41.7109375" style="2439" customWidth="1"/>
    <col min="1286" max="1294" width="6.7109375" style="2439" customWidth="1"/>
    <col min="1295" max="1295" width="8.140625" style="2439" customWidth="1"/>
    <col min="1296" max="1296" width="7.5703125" style="2439" customWidth="1"/>
    <col min="1297" max="1298" width="7.7109375" style="2439" customWidth="1"/>
    <col min="1299" max="1299" width="7.85546875" style="2439" customWidth="1"/>
    <col min="1300" max="1300" width="8.42578125" style="2439" customWidth="1"/>
    <col min="1301" max="1537" width="9.140625" style="2439"/>
    <col min="1538" max="1538" width="3.7109375" style="2439" customWidth="1"/>
    <col min="1539" max="1539" width="14.42578125" style="2439" customWidth="1"/>
    <col min="1540" max="1540" width="3.7109375" style="2439" customWidth="1"/>
    <col min="1541" max="1541" width="41.7109375" style="2439" customWidth="1"/>
    <col min="1542" max="1550" width="6.7109375" style="2439" customWidth="1"/>
    <col min="1551" max="1551" width="8.140625" style="2439" customWidth="1"/>
    <col min="1552" max="1552" width="7.5703125" style="2439" customWidth="1"/>
    <col min="1553" max="1554" width="7.7109375" style="2439" customWidth="1"/>
    <col min="1555" max="1555" width="7.85546875" style="2439" customWidth="1"/>
    <col min="1556" max="1556" width="8.42578125" style="2439" customWidth="1"/>
    <col min="1557" max="1793" width="9.140625" style="2439"/>
    <col min="1794" max="1794" width="3.7109375" style="2439" customWidth="1"/>
    <col min="1795" max="1795" width="14.42578125" style="2439" customWidth="1"/>
    <col min="1796" max="1796" width="3.7109375" style="2439" customWidth="1"/>
    <col min="1797" max="1797" width="41.7109375" style="2439" customWidth="1"/>
    <col min="1798" max="1806" width="6.7109375" style="2439" customWidth="1"/>
    <col min="1807" max="1807" width="8.140625" style="2439" customWidth="1"/>
    <col min="1808" max="1808" width="7.5703125" style="2439" customWidth="1"/>
    <col min="1809" max="1810" width="7.7109375" style="2439" customWidth="1"/>
    <col min="1811" max="1811" width="7.85546875" style="2439" customWidth="1"/>
    <col min="1812" max="1812" width="8.42578125" style="2439" customWidth="1"/>
    <col min="1813" max="2049" width="9.140625" style="2439"/>
    <col min="2050" max="2050" width="3.7109375" style="2439" customWidth="1"/>
    <col min="2051" max="2051" width="14.42578125" style="2439" customWidth="1"/>
    <col min="2052" max="2052" width="3.7109375" style="2439" customWidth="1"/>
    <col min="2053" max="2053" width="41.7109375" style="2439" customWidth="1"/>
    <col min="2054" max="2062" width="6.7109375" style="2439" customWidth="1"/>
    <col min="2063" max="2063" width="8.140625" style="2439" customWidth="1"/>
    <col min="2064" max="2064" width="7.5703125" style="2439" customWidth="1"/>
    <col min="2065" max="2066" width="7.7109375" style="2439" customWidth="1"/>
    <col min="2067" max="2067" width="7.85546875" style="2439" customWidth="1"/>
    <col min="2068" max="2068" width="8.42578125" style="2439" customWidth="1"/>
    <col min="2069" max="2305" width="9.140625" style="2439"/>
    <col min="2306" max="2306" width="3.7109375" style="2439" customWidth="1"/>
    <col min="2307" max="2307" width="14.42578125" style="2439" customWidth="1"/>
    <col min="2308" max="2308" width="3.7109375" style="2439" customWidth="1"/>
    <col min="2309" max="2309" width="41.7109375" style="2439" customWidth="1"/>
    <col min="2310" max="2318" width="6.7109375" style="2439" customWidth="1"/>
    <col min="2319" max="2319" width="8.140625" style="2439" customWidth="1"/>
    <col min="2320" max="2320" width="7.5703125" style="2439" customWidth="1"/>
    <col min="2321" max="2322" width="7.7109375" style="2439" customWidth="1"/>
    <col min="2323" max="2323" width="7.85546875" style="2439" customWidth="1"/>
    <col min="2324" max="2324" width="8.42578125" style="2439" customWidth="1"/>
    <col min="2325" max="2561" width="9.140625" style="2439"/>
    <col min="2562" max="2562" width="3.7109375" style="2439" customWidth="1"/>
    <col min="2563" max="2563" width="14.42578125" style="2439" customWidth="1"/>
    <col min="2564" max="2564" width="3.7109375" style="2439" customWidth="1"/>
    <col min="2565" max="2565" width="41.7109375" style="2439" customWidth="1"/>
    <col min="2566" max="2574" width="6.7109375" style="2439" customWidth="1"/>
    <col min="2575" max="2575" width="8.140625" style="2439" customWidth="1"/>
    <col min="2576" max="2576" width="7.5703125" style="2439" customWidth="1"/>
    <col min="2577" max="2578" width="7.7109375" style="2439" customWidth="1"/>
    <col min="2579" max="2579" width="7.85546875" style="2439" customWidth="1"/>
    <col min="2580" max="2580" width="8.42578125" style="2439" customWidth="1"/>
    <col min="2581" max="2817" width="9.140625" style="2439"/>
    <col min="2818" max="2818" width="3.7109375" style="2439" customWidth="1"/>
    <col min="2819" max="2819" width="14.42578125" style="2439" customWidth="1"/>
    <col min="2820" max="2820" width="3.7109375" style="2439" customWidth="1"/>
    <col min="2821" max="2821" width="41.7109375" style="2439" customWidth="1"/>
    <col min="2822" max="2830" width="6.7109375" style="2439" customWidth="1"/>
    <col min="2831" max="2831" width="8.140625" style="2439" customWidth="1"/>
    <col min="2832" max="2832" width="7.5703125" style="2439" customWidth="1"/>
    <col min="2833" max="2834" width="7.7109375" style="2439" customWidth="1"/>
    <col min="2835" max="2835" width="7.85546875" style="2439" customWidth="1"/>
    <col min="2836" max="2836" width="8.42578125" style="2439" customWidth="1"/>
    <col min="2837" max="3073" width="9.140625" style="2439"/>
    <col min="3074" max="3074" width="3.7109375" style="2439" customWidth="1"/>
    <col min="3075" max="3075" width="14.42578125" style="2439" customWidth="1"/>
    <col min="3076" max="3076" width="3.7109375" style="2439" customWidth="1"/>
    <col min="3077" max="3077" width="41.7109375" style="2439" customWidth="1"/>
    <col min="3078" max="3086" width="6.7109375" style="2439" customWidth="1"/>
    <col min="3087" max="3087" width="8.140625" style="2439" customWidth="1"/>
    <col min="3088" max="3088" width="7.5703125" style="2439" customWidth="1"/>
    <col min="3089" max="3090" width="7.7109375" style="2439" customWidth="1"/>
    <col min="3091" max="3091" width="7.85546875" style="2439" customWidth="1"/>
    <col min="3092" max="3092" width="8.42578125" style="2439" customWidth="1"/>
    <col min="3093" max="3329" width="9.140625" style="2439"/>
    <col min="3330" max="3330" width="3.7109375" style="2439" customWidth="1"/>
    <col min="3331" max="3331" width="14.42578125" style="2439" customWidth="1"/>
    <col min="3332" max="3332" width="3.7109375" style="2439" customWidth="1"/>
    <col min="3333" max="3333" width="41.7109375" style="2439" customWidth="1"/>
    <col min="3334" max="3342" width="6.7109375" style="2439" customWidth="1"/>
    <col min="3343" max="3343" width="8.140625" style="2439" customWidth="1"/>
    <col min="3344" max="3344" width="7.5703125" style="2439" customWidth="1"/>
    <col min="3345" max="3346" width="7.7109375" style="2439" customWidth="1"/>
    <col min="3347" max="3347" width="7.85546875" style="2439" customWidth="1"/>
    <col min="3348" max="3348" width="8.42578125" style="2439" customWidth="1"/>
    <col min="3349" max="3585" width="9.140625" style="2439"/>
    <col min="3586" max="3586" width="3.7109375" style="2439" customWidth="1"/>
    <col min="3587" max="3587" width="14.42578125" style="2439" customWidth="1"/>
    <col min="3588" max="3588" width="3.7109375" style="2439" customWidth="1"/>
    <col min="3589" max="3589" width="41.7109375" style="2439" customWidth="1"/>
    <col min="3590" max="3598" width="6.7109375" style="2439" customWidth="1"/>
    <col min="3599" max="3599" width="8.140625" style="2439" customWidth="1"/>
    <col min="3600" max="3600" width="7.5703125" style="2439" customWidth="1"/>
    <col min="3601" max="3602" width="7.7109375" style="2439" customWidth="1"/>
    <col min="3603" max="3603" width="7.85546875" style="2439" customWidth="1"/>
    <col min="3604" max="3604" width="8.42578125" style="2439" customWidth="1"/>
    <col min="3605" max="3841" width="9.140625" style="2439"/>
    <col min="3842" max="3842" width="3.7109375" style="2439" customWidth="1"/>
    <col min="3843" max="3843" width="14.42578125" style="2439" customWidth="1"/>
    <col min="3844" max="3844" width="3.7109375" style="2439" customWidth="1"/>
    <col min="3845" max="3845" width="41.7109375" style="2439" customWidth="1"/>
    <col min="3846" max="3854" width="6.7109375" style="2439" customWidth="1"/>
    <col min="3855" max="3855" width="8.140625" style="2439" customWidth="1"/>
    <col min="3856" max="3856" width="7.5703125" style="2439" customWidth="1"/>
    <col min="3857" max="3858" width="7.7109375" style="2439" customWidth="1"/>
    <col min="3859" max="3859" width="7.85546875" style="2439" customWidth="1"/>
    <col min="3860" max="3860" width="8.42578125" style="2439" customWidth="1"/>
    <col min="3861" max="4097" width="9.140625" style="2439"/>
    <col min="4098" max="4098" width="3.7109375" style="2439" customWidth="1"/>
    <col min="4099" max="4099" width="14.42578125" style="2439" customWidth="1"/>
    <col min="4100" max="4100" width="3.7109375" style="2439" customWidth="1"/>
    <col min="4101" max="4101" width="41.7109375" style="2439" customWidth="1"/>
    <col min="4102" max="4110" width="6.7109375" style="2439" customWidth="1"/>
    <col min="4111" max="4111" width="8.140625" style="2439" customWidth="1"/>
    <col min="4112" max="4112" width="7.5703125" style="2439" customWidth="1"/>
    <col min="4113" max="4114" width="7.7109375" style="2439" customWidth="1"/>
    <col min="4115" max="4115" width="7.85546875" style="2439" customWidth="1"/>
    <col min="4116" max="4116" width="8.42578125" style="2439" customWidth="1"/>
    <col min="4117" max="4353" width="9.140625" style="2439"/>
    <col min="4354" max="4354" width="3.7109375" style="2439" customWidth="1"/>
    <col min="4355" max="4355" width="14.42578125" style="2439" customWidth="1"/>
    <col min="4356" max="4356" width="3.7109375" style="2439" customWidth="1"/>
    <col min="4357" max="4357" width="41.7109375" style="2439" customWidth="1"/>
    <col min="4358" max="4366" width="6.7109375" style="2439" customWidth="1"/>
    <col min="4367" max="4367" width="8.140625" style="2439" customWidth="1"/>
    <col min="4368" max="4368" width="7.5703125" style="2439" customWidth="1"/>
    <col min="4369" max="4370" width="7.7109375" style="2439" customWidth="1"/>
    <col min="4371" max="4371" width="7.85546875" style="2439" customWidth="1"/>
    <col min="4372" max="4372" width="8.42578125" style="2439" customWidth="1"/>
    <col min="4373" max="4609" width="9.140625" style="2439"/>
    <col min="4610" max="4610" width="3.7109375" style="2439" customWidth="1"/>
    <col min="4611" max="4611" width="14.42578125" style="2439" customWidth="1"/>
    <col min="4612" max="4612" width="3.7109375" style="2439" customWidth="1"/>
    <col min="4613" max="4613" width="41.7109375" style="2439" customWidth="1"/>
    <col min="4614" max="4622" width="6.7109375" style="2439" customWidth="1"/>
    <col min="4623" max="4623" width="8.140625" style="2439" customWidth="1"/>
    <col min="4624" max="4624" width="7.5703125" style="2439" customWidth="1"/>
    <col min="4625" max="4626" width="7.7109375" style="2439" customWidth="1"/>
    <col min="4627" max="4627" width="7.85546875" style="2439" customWidth="1"/>
    <col min="4628" max="4628" width="8.42578125" style="2439" customWidth="1"/>
    <col min="4629" max="4865" width="9.140625" style="2439"/>
    <col min="4866" max="4866" width="3.7109375" style="2439" customWidth="1"/>
    <col min="4867" max="4867" width="14.42578125" style="2439" customWidth="1"/>
    <col min="4868" max="4868" width="3.7109375" style="2439" customWidth="1"/>
    <col min="4869" max="4869" width="41.7109375" style="2439" customWidth="1"/>
    <col min="4870" max="4878" width="6.7109375" style="2439" customWidth="1"/>
    <col min="4879" max="4879" width="8.140625" style="2439" customWidth="1"/>
    <col min="4880" max="4880" width="7.5703125" style="2439" customWidth="1"/>
    <col min="4881" max="4882" width="7.7109375" style="2439" customWidth="1"/>
    <col min="4883" max="4883" width="7.85546875" style="2439" customWidth="1"/>
    <col min="4884" max="4884" width="8.42578125" style="2439" customWidth="1"/>
    <col min="4885" max="5121" width="9.140625" style="2439"/>
    <col min="5122" max="5122" width="3.7109375" style="2439" customWidth="1"/>
    <col min="5123" max="5123" width="14.42578125" style="2439" customWidth="1"/>
    <col min="5124" max="5124" width="3.7109375" style="2439" customWidth="1"/>
    <col min="5125" max="5125" width="41.7109375" style="2439" customWidth="1"/>
    <col min="5126" max="5134" width="6.7109375" style="2439" customWidth="1"/>
    <col min="5135" max="5135" width="8.140625" style="2439" customWidth="1"/>
    <col min="5136" max="5136" width="7.5703125" style="2439" customWidth="1"/>
    <col min="5137" max="5138" width="7.7109375" style="2439" customWidth="1"/>
    <col min="5139" max="5139" width="7.85546875" style="2439" customWidth="1"/>
    <col min="5140" max="5140" width="8.42578125" style="2439" customWidth="1"/>
    <col min="5141" max="5377" width="9.140625" style="2439"/>
    <col min="5378" max="5378" width="3.7109375" style="2439" customWidth="1"/>
    <col min="5379" max="5379" width="14.42578125" style="2439" customWidth="1"/>
    <col min="5380" max="5380" width="3.7109375" style="2439" customWidth="1"/>
    <col min="5381" max="5381" width="41.7109375" style="2439" customWidth="1"/>
    <col min="5382" max="5390" width="6.7109375" style="2439" customWidth="1"/>
    <col min="5391" max="5391" width="8.140625" style="2439" customWidth="1"/>
    <col min="5392" max="5392" width="7.5703125" style="2439" customWidth="1"/>
    <col min="5393" max="5394" width="7.7109375" style="2439" customWidth="1"/>
    <col min="5395" max="5395" width="7.85546875" style="2439" customWidth="1"/>
    <col min="5396" max="5396" width="8.42578125" style="2439" customWidth="1"/>
    <col min="5397" max="5633" width="9.140625" style="2439"/>
    <col min="5634" max="5634" width="3.7109375" style="2439" customWidth="1"/>
    <col min="5635" max="5635" width="14.42578125" style="2439" customWidth="1"/>
    <col min="5636" max="5636" width="3.7109375" style="2439" customWidth="1"/>
    <col min="5637" max="5637" width="41.7109375" style="2439" customWidth="1"/>
    <col min="5638" max="5646" width="6.7109375" style="2439" customWidth="1"/>
    <col min="5647" max="5647" width="8.140625" style="2439" customWidth="1"/>
    <col min="5648" max="5648" width="7.5703125" style="2439" customWidth="1"/>
    <col min="5649" max="5650" width="7.7109375" style="2439" customWidth="1"/>
    <col min="5651" max="5651" width="7.85546875" style="2439" customWidth="1"/>
    <col min="5652" max="5652" width="8.42578125" style="2439" customWidth="1"/>
    <col min="5653" max="5889" width="9.140625" style="2439"/>
    <col min="5890" max="5890" width="3.7109375" style="2439" customWidth="1"/>
    <col min="5891" max="5891" width="14.42578125" style="2439" customWidth="1"/>
    <col min="5892" max="5892" width="3.7109375" style="2439" customWidth="1"/>
    <col min="5893" max="5893" width="41.7109375" style="2439" customWidth="1"/>
    <col min="5894" max="5902" width="6.7109375" style="2439" customWidth="1"/>
    <col min="5903" max="5903" width="8.140625" style="2439" customWidth="1"/>
    <col min="5904" max="5904" width="7.5703125" style="2439" customWidth="1"/>
    <col min="5905" max="5906" width="7.7109375" style="2439" customWidth="1"/>
    <col min="5907" max="5907" width="7.85546875" style="2439" customWidth="1"/>
    <col min="5908" max="5908" width="8.42578125" style="2439" customWidth="1"/>
    <col min="5909" max="6145" width="9.140625" style="2439"/>
    <col min="6146" max="6146" width="3.7109375" style="2439" customWidth="1"/>
    <col min="6147" max="6147" width="14.42578125" style="2439" customWidth="1"/>
    <col min="6148" max="6148" width="3.7109375" style="2439" customWidth="1"/>
    <col min="6149" max="6149" width="41.7109375" style="2439" customWidth="1"/>
    <col min="6150" max="6158" width="6.7109375" style="2439" customWidth="1"/>
    <col min="6159" max="6159" width="8.140625" style="2439" customWidth="1"/>
    <col min="6160" max="6160" width="7.5703125" style="2439" customWidth="1"/>
    <col min="6161" max="6162" width="7.7109375" style="2439" customWidth="1"/>
    <col min="6163" max="6163" width="7.85546875" style="2439" customWidth="1"/>
    <col min="6164" max="6164" width="8.42578125" style="2439" customWidth="1"/>
    <col min="6165" max="6401" width="9.140625" style="2439"/>
    <col min="6402" max="6402" width="3.7109375" style="2439" customWidth="1"/>
    <col min="6403" max="6403" width="14.42578125" style="2439" customWidth="1"/>
    <col min="6404" max="6404" width="3.7109375" style="2439" customWidth="1"/>
    <col min="6405" max="6405" width="41.7109375" style="2439" customWidth="1"/>
    <col min="6406" max="6414" width="6.7109375" style="2439" customWidth="1"/>
    <col min="6415" max="6415" width="8.140625" style="2439" customWidth="1"/>
    <col min="6416" max="6416" width="7.5703125" style="2439" customWidth="1"/>
    <col min="6417" max="6418" width="7.7109375" style="2439" customWidth="1"/>
    <col min="6419" max="6419" width="7.85546875" style="2439" customWidth="1"/>
    <col min="6420" max="6420" width="8.42578125" style="2439" customWidth="1"/>
    <col min="6421" max="6657" width="9.140625" style="2439"/>
    <col min="6658" max="6658" width="3.7109375" style="2439" customWidth="1"/>
    <col min="6659" max="6659" width="14.42578125" style="2439" customWidth="1"/>
    <col min="6660" max="6660" width="3.7109375" style="2439" customWidth="1"/>
    <col min="6661" max="6661" width="41.7109375" style="2439" customWidth="1"/>
    <col min="6662" max="6670" width="6.7109375" style="2439" customWidth="1"/>
    <col min="6671" max="6671" width="8.140625" style="2439" customWidth="1"/>
    <col min="6672" max="6672" width="7.5703125" style="2439" customWidth="1"/>
    <col min="6673" max="6674" width="7.7109375" style="2439" customWidth="1"/>
    <col min="6675" max="6675" width="7.85546875" style="2439" customWidth="1"/>
    <col min="6676" max="6676" width="8.42578125" style="2439" customWidth="1"/>
    <col min="6677" max="6913" width="9.140625" style="2439"/>
    <col min="6914" max="6914" width="3.7109375" style="2439" customWidth="1"/>
    <col min="6915" max="6915" width="14.42578125" style="2439" customWidth="1"/>
    <col min="6916" max="6916" width="3.7109375" style="2439" customWidth="1"/>
    <col min="6917" max="6917" width="41.7109375" style="2439" customWidth="1"/>
    <col min="6918" max="6926" width="6.7109375" style="2439" customWidth="1"/>
    <col min="6927" max="6927" width="8.140625" style="2439" customWidth="1"/>
    <col min="6928" max="6928" width="7.5703125" style="2439" customWidth="1"/>
    <col min="6929" max="6930" width="7.7109375" style="2439" customWidth="1"/>
    <col min="6931" max="6931" width="7.85546875" style="2439" customWidth="1"/>
    <col min="6932" max="6932" width="8.42578125" style="2439" customWidth="1"/>
    <col min="6933" max="7169" width="9.140625" style="2439"/>
    <col min="7170" max="7170" width="3.7109375" style="2439" customWidth="1"/>
    <col min="7171" max="7171" width="14.42578125" style="2439" customWidth="1"/>
    <col min="7172" max="7172" width="3.7109375" style="2439" customWidth="1"/>
    <col min="7173" max="7173" width="41.7109375" style="2439" customWidth="1"/>
    <col min="7174" max="7182" width="6.7109375" style="2439" customWidth="1"/>
    <col min="7183" max="7183" width="8.140625" style="2439" customWidth="1"/>
    <col min="7184" max="7184" width="7.5703125" style="2439" customWidth="1"/>
    <col min="7185" max="7186" width="7.7109375" style="2439" customWidth="1"/>
    <col min="7187" max="7187" width="7.85546875" style="2439" customWidth="1"/>
    <col min="7188" max="7188" width="8.42578125" style="2439" customWidth="1"/>
    <col min="7189" max="7425" width="9.140625" style="2439"/>
    <col min="7426" max="7426" width="3.7109375" style="2439" customWidth="1"/>
    <col min="7427" max="7427" width="14.42578125" style="2439" customWidth="1"/>
    <col min="7428" max="7428" width="3.7109375" style="2439" customWidth="1"/>
    <col min="7429" max="7429" width="41.7109375" style="2439" customWidth="1"/>
    <col min="7430" max="7438" width="6.7109375" style="2439" customWidth="1"/>
    <col min="7439" max="7439" width="8.140625" style="2439" customWidth="1"/>
    <col min="7440" max="7440" width="7.5703125" style="2439" customWidth="1"/>
    <col min="7441" max="7442" width="7.7109375" style="2439" customWidth="1"/>
    <col min="7443" max="7443" width="7.85546875" style="2439" customWidth="1"/>
    <col min="7444" max="7444" width="8.42578125" style="2439" customWidth="1"/>
    <col min="7445" max="7681" width="9.140625" style="2439"/>
    <col min="7682" max="7682" width="3.7109375" style="2439" customWidth="1"/>
    <col min="7683" max="7683" width="14.42578125" style="2439" customWidth="1"/>
    <col min="7684" max="7684" width="3.7109375" style="2439" customWidth="1"/>
    <col min="7685" max="7685" width="41.7109375" style="2439" customWidth="1"/>
    <col min="7686" max="7694" width="6.7109375" style="2439" customWidth="1"/>
    <col min="7695" max="7695" width="8.140625" style="2439" customWidth="1"/>
    <col min="7696" max="7696" width="7.5703125" style="2439" customWidth="1"/>
    <col min="7697" max="7698" width="7.7109375" style="2439" customWidth="1"/>
    <col min="7699" max="7699" width="7.85546875" style="2439" customWidth="1"/>
    <col min="7700" max="7700" width="8.42578125" style="2439" customWidth="1"/>
    <col min="7701" max="7937" width="9.140625" style="2439"/>
    <col min="7938" max="7938" width="3.7109375" style="2439" customWidth="1"/>
    <col min="7939" max="7939" width="14.42578125" style="2439" customWidth="1"/>
    <col min="7940" max="7940" width="3.7109375" style="2439" customWidth="1"/>
    <col min="7941" max="7941" width="41.7109375" style="2439" customWidth="1"/>
    <col min="7942" max="7950" width="6.7109375" style="2439" customWidth="1"/>
    <col min="7951" max="7951" width="8.140625" style="2439" customWidth="1"/>
    <col min="7952" max="7952" width="7.5703125" style="2439" customWidth="1"/>
    <col min="7953" max="7954" width="7.7109375" style="2439" customWidth="1"/>
    <col min="7955" max="7955" width="7.85546875" style="2439" customWidth="1"/>
    <col min="7956" max="7956" width="8.42578125" style="2439" customWidth="1"/>
    <col min="7957" max="8193" width="9.140625" style="2439"/>
    <col min="8194" max="8194" width="3.7109375" style="2439" customWidth="1"/>
    <col min="8195" max="8195" width="14.42578125" style="2439" customWidth="1"/>
    <col min="8196" max="8196" width="3.7109375" style="2439" customWidth="1"/>
    <col min="8197" max="8197" width="41.7109375" style="2439" customWidth="1"/>
    <col min="8198" max="8206" width="6.7109375" style="2439" customWidth="1"/>
    <col min="8207" max="8207" width="8.140625" style="2439" customWidth="1"/>
    <col min="8208" max="8208" width="7.5703125" style="2439" customWidth="1"/>
    <col min="8209" max="8210" width="7.7109375" style="2439" customWidth="1"/>
    <col min="8211" max="8211" width="7.85546875" style="2439" customWidth="1"/>
    <col min="8212" max="8212" width="8.42578125" style="2439" customWidth="1"/>
    <col min="8213" max="8449" width="9.140625" style="2439"/>
    <col min="8450" max="8450" width="3.7109375" style="2439" customWidth="1"/>
    <col min="8451" max="8451" width="14.42578125" style="2439" customWidth="1"/>
    <col min="8452" max="8452" width="3.7109375" style="2439" customWidth="1"/>
    <col min="8453" max="8453" width="41.7109375" style="2439" customWidth="1"/>
    <col min="8454" max="8462" width="6.7109375" style="2439" customWidth="1"/>
    <col min="8463" max="8463" width="8.140625" style="2439" customWidth="1"/>
    <col min="8464" max="8464" width="7.5703125" style="2439" customWidth="1"/>
    <col min="8465" max="8466" width="7.7109375" style="2439" customWidth="1"/>
    <col min="8467" max="8467" width="7.85546875" style="2439" customWidth="1"/>
    <col min="8468" max="8468" width="8.42578125" style="2439" customWidth="1"/>
    <col min="8469" max="8705" width="9.140625" style="2439"/>
    <col min="8706" max="8706" width="3.7109375" style="2439" customWidth="1"/>
    <col min="8707" max="8707" width="14.42578125" style="2439" customWidth="1"/>
    <col min="8708" max="8708" width="3.7109375" style="2439" customWidth="1"/>
    <col min="8709" max="8709" width="41.7109375" style="2439" customWidth="1"/>
    <col min="8710" max="8718" width="6.7109375" style="2439" customWidth="1"/>
    <col min="8719" max="8719" width="8.140625" style="2439" customWidth="1"/>
    <col min="8720" max="8720" width="7.5703125" style="2439" customWidth="1"/>
    <col min="8721" max="8722" width="7.7109375" style="2439" customWidth="1"/>
    <col min="8723" max="8723" width="7.85546875" style="2439" customWidth="1"/>
    <col min="8724" max="8724" width="8.42578125" style="2439" customWidth="1"/>
    <col min="8725" max="8961" width="9.140625" style="2439"/>
    <col min="8962" max="8962" width="3.7109375" style="2439" customWidth="1"/>
    <col min="8963" max="8963" width="14.42578125" style="2439" customWidth="1"/>
    <col min="8964" max="8964" width="3.7109375" style="2439" customWidth="1"/>
    <col min="8965" max="8965" width="41.7109375" style="2439" customWidth="1"/>
    <col min="8966" max="8974" width="6.7109375" style="2439" customWidth="1"/>
    <col min="8975" max="8975" width="8.140625" style="2439" customWidth="1"/>
    <col min="8976" max="8976" width="7.5703125" style="2439" customWidth="1"/>
    <col min="8977" max="8978" width="7.7109375" style="2439" customWidth="1"/>
    <col min="8979" max="8979" width="7.85546875" style="2439" customWidth="1"/>
    <col min="8980" max="8980" width="8.42578125" style="2439" customWidth="1"/>
    <col min="8981" max="9217" width="9.140625" style="2439"/>
    <col min="9218" max="9218" width="3.7109375" style="2439" customWidth="1"/>
    <col min="9219" max="9219" width="14.42578125" style="2439" customWidth="1"/>
    <col min="9220" max="9220" width="3.7109375" style="2439" customWidth="1"/>
    <col min="9221" max="9221" width="41.7109375" style="2439" customWidth="1"/>
    <col min="9222" max="9230" width="6.7109375" style="2439" customWidth="1"/>
    <col min="9231" max="9231" width="8.140625" style="2439" customWidth="1"/>
    <col min="9232" max="9232" width="7.5703125" style="2439" customWidth="1"/>
    <col min="9233" max="9234" width="7.7109375" style="2439" customWidth="1"/>
    <col min="9235" max="9235" width="7.85546875" style="2439" customWidth="1"/>
    <col min="9236" max="9236" width="8.42578125" style="2439" customWidth="1"/>
    <col min="9237" max="9473" width="9.140625" style="2439"/>
    <col min="9474" max="9474" width="3.7109375" style="2439" customWidth="1"/>
    <col min="9475" max="9475" width="14.42578125" style="2439" customWidth="1"/>
    <col min="9476" max="9476" width="3.7109375" style="2439" customWidth="1"/>
    <col min="9477" max="9477" width="41.7109375" style="2439" customWidth="1"/>
    <col min="9478" max="9486" width="6.7109375" style="2439" customWidth="1"/>
    <col min="9487" max="9487" width="8.140625" style="2439" customWidth="1"/>
    <col min="9488" max="9488" width="7.5703125" style="2439" customWidth="1"/>
    <col min="9489" max="9490" width="7.7109375" style="2439" customWidth="1"/>
    <col min="9491" max="9491" width="7.85546875" style="2439" customWidth="1"/>
    <col min="9492" max="9492" width="8.42578125" style="2439" customWidth="1"/>
    <col min="9493" max="9729" width="9.140625" style="2439"/>
    <col min="9730" max="9730" width="3.7109375" style="2439" customWidth="1"/>
    <col min="9731" max="9731" width="14.42578125" style="2439" customWidth="1"/>
    <col min="9732" max="9732" width="3.7109375" style="2439" customWidth="1"/>
    <col min="9733" max="9733" width="41.7109375" style="2439" customWidth="1"/>
    <col min="9734" max="9742" width="6.7109375" style="2439" customWidth="1"/>
    <col min="9743" max="9743" width="8.140625" style="2439" customWidth="1"/>
    <col min="9744" max="9744" width="7.5703125" style="2439" customWidth="1"/>
    <col min="9745" max="9746" width="7.7109375" style="2439" customWidth="1"/>
    <col min="9747" max="9747" width="7.85546875" style="2439" customWidth="1"/>
    <col min="9748" max="9748" width="8.42578125" style="2439" customWidth="1"/>
    <col min="9749" max="9985" width="9.140625" style="2439"/>
    <col min="9986" max="9986" width="3.7109375" style="2439" customWidth="1"/>
    <col min="9987" max="9987" width="14.42578125" style="2439" customWidth="1"/>
    <col min="9988" max="9988" width="3.7109375" style="2439" customWidth="1"/>
    <col min="9989" max="9989" width="41.7109375" style="2439" customWidth="1"/>
    <col min="9990" max="9998" width="6.7109375" style="2439" customWidth="1"/>
    <col min="9999" max="9999" width="8.140625" style="2439" customWidth="1"/>
    <col min="10000" max="10000" width="7.5703125" style="2439" customWidth="1"/>
    <col min="10001" max="10002" width="7.7109375" style="2439" customWidth="1"/>
    <col min="10003" max="10003" width="7.85546875" style="2439" customWidth="1"/>
    <col min="10004" max="10004" width="8.42578125" style="2439" customWidth="1"/>
    <col min="10005" max="10241" width="9.140625" style="2439"/>
    <col min="10242" max="10242" width="3.7109375" style="2439" customWidth="1"/>
    <col min="10243" max="10243" width="14.42578125" style="2439" customWidth="1"/>
    <col min="10244" max="10244" width="3.7109375" style="2439" customWidth="1"/>
    <col min="10245" max="10245" width="41.7109375" style="2439" customWidth="1"/>
    <col min="10246" max="10254" width="6.7109375" style="2439" customWidth="1"/>
    <col min="10255" max="10255" width="8.140625" style="2439" customWidth="1"/>
    <col min="10256" max="10256" width="7.5703125" style="2439" customWidth="1"/>
    <col min="10257" max="10258" width="7.7109375" style="2439" customWidth="1"/>
    <col min="10259" max="10259" width="7.85546875" style="2439" customWidth="1"/>
    <col min="10260" max="10260" width="8.42578125" style="2439" customWidth="1"/>
    <col min="10261" max="10497" width="9.140625" style="2439"/>
    <col min="10498" max="10498" width="3.7109375" style="2439" customWidth="1"/>
    <col min="10499" max="10499" width="14.42578125" style="2439" customWidth="1"/>
    <col min="10500" max="10500" width="3.7109375" style="2439" customWidth="1"/>
    <col min="10501" max="10501" width="41.7109375" style="2439" customWidth="1"/>
    <col min="10502" max="10510" width="6.7109375" style="2439" customWidth="1"/>
    <col min="10511" max="10511" width="8.140625" style="2439" customWidth="1"/>
    <col min="10512" max="10512" width="7.5703125" style="2439" customWidth="1"/>
    <col min="10513" max="10514" width="7.7109375" style="2439" customWidth="1"/>
    <col min="10515" max="10515" width="7.85546875" style="2439" customWidth="1"/>
    <col min="10516" max="10516" width="8.42578125" style="2439" customWidth="1"/>
    <col min="10517" max="10753" width="9.140625" style="2439"/>
    <col min="10754" max="10754" width="3.7109375" style="2439" customWidth="1"/>
    <col min="10755" max="10755" width="14.42578125" style="2439" customWidth="1"/>
    <col min="10756" max="10756" width="3.7109375" style="2439" customWidth="1"/>
    <col min="10757" max="10757" width="41.7109375" style="2439" customWidth="1"/>
    <col min="10758" max="10766" width="6.7109375" style="2439" customWidth="1"/>
    <col min="10767" max="10767" width="8.140625" style="2439" customWidth="1"/>
    <col min="10768" max="10768" width="7.5703125" style="2439" customWidth="1"/>
    <col min="10769" max="10770" width="7.7109375" style="2439" customWidth="1"/>
    <col min="10771" max="10771" width="7.85546875" style="2439" customWidth="1"/>
    <col min="10772" max="10772" width="8.42578125" style="2439" customWidth="1"/>
    <col min="10773" max="11009" width="9.140625" style="2439"/>
    <col min="11010" max="11010" width="3.7109375" style="2439" customWidth="1"/>
    <col min="11011" max="11011" width="14.42578125" style="2439" customWidth="1"/>
    <col min="11012" max="11012" width="3.7109375" style="2439" customWidth="1"/>
    <col min="11013" max="11013" width="41.7109375" style="2439" customWidth="1"/>
    <col min="11014" max="11022" width="6.7109375" style="2439" customWidth="1"/>
    <col min="11023" max="11023" width="8.140625" style="2439" customWidth="1"/>
    <col min="11024" max="11024" width="7.5703125" style="2439" customWidth="1"/>
    <col min="11025" max="11026" width="7.7109375" style="2439" customWidth="1"/>
    <col min="11027" max="11027" width="7.85546875" style="2439" customWidth="1"/>
    <col min="11028" max="11028" width="8.42578125" style="2439" customWidth="1"/>
    <col min="11029" max="11265" width="9.140625" style="2439"/>
    <col min="11266" max="11266" width="3.7109375" style="2439" customWidth="1"/>
    <col min="11267" max="11267" width="14.42578125" style="2439" customWidth="1"/>
    <col min="11268" max="11268" width="3.7109375" style="2439" customWidth="1"/>
    <col min="11269" max="11269" width="41.7109375" style="2439" customWidth="1"/>
    <col min="11270" max="11278" width="6.7109375" style="2439" customWidth="1"/>
    <col min="11279" max="11279" width="8.140625" style="2439" customWidth="1"/>
    <col min="11280" max="11280" width="7.5703125" style="2439" customWidth="1"/>
    <col min="11281" max="11282" width="7.7109375" style="2439" customWidth="1"/>
    <col min="11283" max="11283" width="7.85546875" style="2439" customWidth="1"/>
    <col min="11284" max="11284" width="8.42578125" style="2439" customWidth="1"/>
    <col min="11285" max="11521" width="9.140625" style="2439"/>
    <col min="11522" max="11522" width="3.7109375" style="2439" customWidth="1"/>
    <col min="11523" max="11523" width="14.42578125" style="2439" customWidth="1"/>
    <col min="11524" max="11524" width="3.7109375" style="2439" customWidth="1"/>
    <col min="11525" max="11525" width="41.7109375" style="2439" customWidth="1"/>
    <col min="11526" max="11534" width="6.7109375" style="2439" customWidth="1"/>
    <col min="11535" max="11535" width="8.140625" style="2439" customWidth="1"/>
    <col min="11536" max="11536" width="7.5703125" style="2439" customWidth="1"/>
    <col min="11537" max="11538" width="7.7109375" style="2439" customWidth="1"/>
    <col min="11539" max="11539" width="7.85546875" style="2439" customWidth="1"/>
    <col min="11540" max="11540" width="8.42578125" style="2439" customWidth="1"/>
    <col min="11541" max="11777" width="9.140625" style="2439"/>
    <col min="11778" max="11778" width="3.7109375" style="2439" customWidth="1"/>
    <col min="11779" max="11779" width="14.42578125" style="2439" customWidth="1"/>
    <col min="11780" max="11780" width="3.7109375" style="2439" customWidth="1"/>
    <col min="11781" max="11781" width="41.7109375" style="2439" customWidth="1"/>
    <col min="11782" max="11790" width="6.7109375" style="2439" customWidth="1"/>
    <col min="11791" max="11791" width="8.140625" style="2439" customWidth="1"/>
    <col min="11792" max="11792" width="7.5703125" style="2439" customWidth="1"/>
    <col min="11793" max="11794" width="7.7109375" style="2439" customWidth="1"/>
    <col min="11795" max="11795" width="7.85546875" style="2439" customWidth="1"/>
    <col min="11796" max="11796" width="8.42578125" style="2439" customWidth="1"/>
    <col min="11797" max="12033" width="9.140625" style="2439"/>
    <col min="12034" max="12034" width="3.7109375" style="2439" customWidth="1"/>
    <col min="12035" max="12035" width="14.42578125" style="2439" customWidth="1"/>
    <col min="12036" max="12036" width="3.7109375" style="2439" customWidth="1"/>
    <col min="12037" max="12037" width="41.7109375" style="2439" customWidth="1"/>
    <col min="12038" max="12046" width="6.7109375" style="2439" customWidth="1"/>
    <col min="12047" max="12047" width="8.140625" style="2439" customWidth="1"/>
    <col min="12048" max="12048" width="7.5703125" style="2439" customWidth="1"/>
    <col min="12049" max="12050" width="7.7109375" style="2439" customWidth="1"/>
    <col min="12051" max="12051" width="7.85546875" style="2439" customWidth="1"/>
    <col min="12052" max="12052" width="8.42578125" style="2439" customWidth="1"/>
    <col min="12053" max="12289" width="9.140625" style="2439"/>
    <col min="12290" max="12290" width="3.7109375" style="2439" customWidth="1"/>
    <col min="12291" max="12291" width="14.42578125" style="2439" customWidth="1"/>
    <col min="12292" max="12292" width="3.7109375" style="2439" customWidth="1"/>
    <col min="12293" max="12293" width="41.7109375" style="2439" customWidth="1"/>
    <col min="12294" max="12302" width="6.7109375" style="2439" customWidth="1"/>
    <col min="12303" max="12303" width="8.140625" style="2439" customWidth="1"/>
    <col min="12304" max="12304" width="7.5703125" style="2439" customWidth="1"/>
    <col min="12305" max="12306" width="7.7109375" style="2439" customWidth="1"/>
    <col min="12307" max="12307" width="7.85546875" style="2439" customWidth="1"/>
    <col min="12308" max="12308" width="8.42578125" style="2439" customWidth="1"/>
    <col min="12309" max="12545" width="9.140625" style="2439"/>
    <col min="12546" max="12546" width="3.7109375" style="2439" customWidth="1"/>
    <col min="12547" max="12547" width="14.42578125" style="2439" customWidth="1"/>
    <col min="12548" max="12548" width="3.7109375" style="2439" customWidth="1"/>
    <col min="12549" max="12549" width="41.7109375" style="2439" customWidth="1"/>
    <col min="12550" max="12558" width="6.7109375" style="2439" customWidth="1"/>
    <col min="12559" max="12559" width="8.140625" style="2439" customWidth="1"/>
    <col min="12560" max="12560" width="7.5703125" style="2439" customWidth="1"/>
    <col min="12561" max="12562" width="7.7109375" style="2439" customWidth="1"/>
    <col min="12563" max="12563" width="7.85546875" style="2439" customWidth="1"/>
    <col min="12564" max="12564" width="8.42578125" style="2439" customWidth="1"/>
    <col min="12565" max="12801" width="9.140625" style="2439"/>
    <col min="12802" max="12802" width="3.7109375" style="2439" customWidth="1"/>
    <col min="12803" max="12803" width="14.42578125" style="2439" customWidth="1"/>
    <col min="12804" max="12804" width="3.7109375" style="2439" customWidth="1"/>
    <col min="12805" max="12805" width="41.7109375" style="2439" customWidth="1"/>
    <col min="12806" max="12814" width="6.7109375" style="2439" customWidth="1"/>
    <col min="12815" max="12815" width="8.140625" style="2439" customWidth="1"/>
    <col min="12816" max="12816" width="7.5703125" style="2439" customWidth="1"/>
    <col min="12817" max="12818" width="7.7109375" style="2439" customWidth="1"/>
    <col min="12819" max="12819" width="7.85546875" style="2439" customWidth="1"/>
    <col min="12820" max="12820" width="8.42578125" style="2439" customWidth="1"/>
    <col min="12821" max="13057" width="9.140625" style="2439"/>
    <col min="13058" max="13058" width="3.7109375" style="2439" customWidth="1"/>
    <col min="13059" max="13059" width="14.42578125" style="2439" customWidth="1"/>
    <col min="13060" max="13060" width="3.7109375" style="2439" customWidth="1"/>
    <col min="13061" max="13061" width="41.7109375" style="2439" customWidth="1"/>
    <col min="13062" max="13070" width="6.7109375" style="2439" customWidth="1"/>
    <col min="13071" max="13071" width="8.140625" style="2439" customWidth="1"/>
    <col min="13072" max="13072" width="7.5703125" style="2439" customWidth="1"/>
    <col min="13073" max="13074" width="7.7109375" style="2439" customWidth="1"/>
    <col min="13075" max="13075" width="7.85546875" style="2439" customWidth="1"/>
    <col min="13076" max="13076" width="8.42578125" style="2439" customWidth="1"/>
    <col min="13077" max="13313" width="9.140625" style="2439"/>
    <col min="13314" max="13314" width="3.7109375" style="2439" customWidth="1"/>
    <col min="13315" max="13315" width="14.42578125" style="2439" customWidth="1"/>
    <col min="13316" max="13316" width="3.7109375" style="2439" customWidth="1"/>
    <col min="13317" max="13317" width="41.7109375" style="2439" customWidth="1"/>
    <col min="13318" max="13326" width="6.7109375" style="2439" customWidth="1"/>
    <col min="13327" max="13327" width="8.140625" style="2439" customWidth="1"/>
    <col min="13328" max="13328" width="7.5703125" style="2439" customWidth="1"/>
    <col min="13329" max="13330" width="7.7109375" style="2439" customWidth="1"/>
    <col min="13331" max="13331" width="7.85546875" style="2439" customWidth="1"/>
    <col min="13332" max="13332" width="8.42578125" style="2439" customWidth="1"/>
    <col min="13333" max="13569" width="9.140625" style="2439"/>
    <col min="13570" max="13570" width="3.7109375" style="2439" customWidth="1"/>
    <col min="13571" max="13571" width="14.42578125" style="2439" customWidth="1"/>
    <col min="13572" max="13572" width="3.7109375" style="2439" customWidth="1"/>
    <col min="13573" max="13573" width="41.7109375" style="2439" customWidth="1"/>
    <col min="13574" max="13582" width="6.7109375" style="2439" customWidth="1"/>
    <col min="13583" max="13583" width="8.140625" style="2439" customWidth="1"/>
    <col min="13584" max="13584" width="7.5703125" style="2439" customWidth="1"/>
    <col min="13585" max="13586" width="7.7109375" style="2439" customWidth="1"/>
    <col min="13587" max="13587" width="7.85546875" style="2439" customWidth="1"/>
    <col min="13588" max="13588" width="8.42578125" style="2439" customWidth="1"/>
    <col min="13589" max="13825" width="9.140625" style="2439"/>
    <col min="13826" max="13826" width="3.7109375" style="2439" customWidth="1"/>
    <col min="13827" max="13827" width="14.42578125" style="2439" customWidth="1"/>
    <col min="13828" max="13828" width="3.7109375" style="2439" customWidth="1"/>
    <col min="13829" max="13829" width="41.7109375" style="2439" customWidth="1"/>
    <col min="13830" max="13838" width="6.7109375" style="2439" customWidth="1"/>
    <col min="13839" max="13839" width="8.140625" style="2439" customWidth="1"/>
    <col min="13840" max="13840" width="7.5703125" style="2439" customWidth="1"/>
    <col min="13841" max="13842" width="7.7109375" style="2439" customWidth="1"/>
    <col min="13843" max="13843" width="7.85546875" style="2439" customWidth="1"/>
    <col min="13844" max="13844" width="8.42578125" style="2439" customWidth="1"/>
    <col min="13845" max="14081" width="9.140625" style="2439"/>
    <col min="14082" max="14082" width="3.7109375" style="2439" customWidth="1"/>
    <col min="14083" max="14083" width="14.42578125" style="2439" customWidth="1"/>
    <col min="14084" max="14084" width="3.7109375" style="2439" customWidth="1"/>
    <col min="14085" max="14085" width="41.7109375" style="2439" customWidth="1"/>
    <col min="14086" max="14094" width="6.7109375" style="2439" customWidth="1"/>
    <col min="14095" max="14095" width="8.140625" style="2439" customWidth="1"/>
    <col min="14096" max="14096" width="7.5703125" style="2439" customWidth="1"/>
    <col min="14097" max="14098" width="7.7109375" style="2439" customWidth="1"/>
    <col min="14099" max="14099" width="7.85546875" style="2439" customWidth="1"/>
    <col min="14100" max="14100" width="8.42578125" style="2439" customWidth="1"/>
    <col min="14101" max="14337" width="9.140625" style="2439"/>
    <col min="14338" max="14338" width="3.7109375" style="2439" customWidth="1"/>
    <col min="14339" max="14339" width="14.42578125" style="2439" customWidth="1"/>
    <col min="14340" max="14340" width="3.7109375" style="2439" customWidth="1"/>
    <col min="14341" max="14341" width="41.7109375" style="2439" customWidth="1"/>
    <col min="14342" max="14350" width="6.7109375" style="2439" customWidth="1"/>
    <col min="14351" max="14351" width="8.140625" style="2439" customWidth="1"/>
    <col min="14352" max="14352" width="7.5703125" style="2439" customWidth="1"/>
    <col min="14353" max="14354" width="7.7109375" style="2439" customWidth="1"/>
    <col min="14355" max="14355" width="7.85546875" style="2439" customWidth="1"/>
    <col min="14356" max="14356" width="8.42578125" style="2439" customWidth="1"/>
    <col min="14357" max="14593" width="9.140625" style="2439"/>
    <col min="14594" max="14594" width="3.7109375" style="2439" customWidth="1"/>
    <col min="14595" max="14595" width="14.42578125" style="2439" customWidth="1"/>
    <col min="14596" max="14596" width="3.7109375" style="2439" customWidth="1"/>
    <col min="14597" max="14597" width="41.7109375" style="2439" customWidth="1"/>
    <col min="14598" max="14606" width="6.7109375" style="2439" customWidth="1"/>
    <col min="14607" max="14607" width="8.140625" style="2439" customWidth="1"/>
    <col min="14608" max="14608" width="7.5703125" style="2439" customWidth="1"/>
    <col min="14609" max="14610" width="7.7109375" style="2439" customWidth="1"/>
    <col min="14611" max="14611" width="7.85546875" style="2439" customWidth="1"/>
    <col min="14612" max="14612" width="8.42578125" style="2439" customWidth="1"/>
    <col min="14613" max="14849" width="9.140625" style="2439"/>
    <col min="14850" max="14850" width="3.7109375" style="2439" customWidth="1"/>
    <col min="14851" max="14851" width="14.42578125" style="2439" customWidth="1"/>
    <col min="14852" max="14852" width="3.7109375" style="2439" customWidth="1"/>
    <col min="14853" max="14853" width="41.7109375" style="2439" customWidth="1"/>
    <col min="14854" max="14862" width="6.7109375" style="2439" customWidth="1"/>
    <col min="14863" max="14863" width="8.140625" style="2439" customWidth="1"/>
    <col min="14864" max="14864" width="7.5703125" style="2439" customWidth="1"/>
    <col min="14865" max="14866" width="7.7109375" style="2439" customWidth="1"/>
    <col min="14867" max="14867" width="7.85546875" style="2439" customWidth="1"/>
    <col min="14868" max="14868" width="8.42578125" style="2439" customWidth="1"/>
    <col min="14869" max="15105" width="9.140625" style="2439"/>
    <col min="15106" max="15106" width="3.7109375" style="2439" customWidth="1"/>
    <col min="15107" max="15107" width="14.42578125" style="2439" customWidth="1"/>
    <col min="15108" max="15108" width="3.7109375" style="2439" customWidth="1"/>
    <col min="15109" max="15109" width="41.7109375" style="2439" customWidth="1"/>
    <col min="15110" max="15118" width="6.7109375" style="2439" customWidth="1"/>
    <col min="15119" max="15119" width="8.140625" style="2439" customWidth="1"/>
    <col min="15120" max="15120" width="7.5703125" style="2439" customWidth="1"/>
    <col min="15121" max="15122" width="7.7109375" style="2439" customWidth="1"/>
    <col min="15123" max="15123" width="7.85546875" style="2439" customWidth="1"/>
    <col min="15124" max="15124" width="8.42578125" style="2439" customWidth="1"/>
    <col min="15125" max="15361" width="9.140625" style="2439"/>
    <col min="15362" max="15362" width="3.7109375" style="2439" customWidth="1"/>
    <col min="15363" max="15363" width="14.42578125" style="2439" customWidth="1"/>
    <col min="15364" max="15364" width="3.7109375" style="2439" customWidth="1"/>
    <col min="15365" max="15365" width="41.7109375" style="2439" customWidth="1"/>
    <col min="15366" max="15374" width="6.7109375" style="2439" customWidth="1"/>
    <col min="15375" max="15375" width="8.140625" style="2439" customWidth="1"/>
    <col min="15376" max="15376" width="7.5703125" style="2439" customWidth="1"/>
    <col min="15377" max="15378" width="7.7109375" style="2439" customWidth="1"/>
    <col min="15379" max="15379" width="7.85546875" style="2439" customWidth="1"/>
    <col min="15380" max="15380" width="8.42578125" style="2439" customWidth="1"/>
    <col min="15381" max="15617" width="9.140625" style="2439"/>
    <col min="15618" max="15618" width="3.7109375" style="2439" customWidth="1"/>
    <col min="15619" max="15619" width="14.42578125" style="2439" customWidth="1"/>
    <col min="15620" max="15620" width="3.7109375" style="2439" customWidth="1"/>
    <col min="15621" max="15621" width="41.7109375" style="2439" customWidth="1"/>
    <col min="15622" max="15630" width="6.7109375" style="2439" customWidth="1"/>
    <col min="15631" max="15631" width="8.140625" style="2439" customWidth="1"/>
    <col min="15632" max="15632" width="7.5703125" style="2439" customWidth="1"/>
    <col min="15633" max="15634" width="7.7109375" style="2439" customWidth="1"/>
    <col min="15635" max="15635" width="7.85546875" style="2439" customWidth="1"/>
    <col min="15636" max="15636" width="8.42578125" style="2439" customWidth="1"/>
    <col min="15637" max="15873" width="9.140625" style="2439"/>
    <col min="15874" max="15874" width="3.7109375" style="2439" customWidth="1"/>
    <col min="15875" max="15875" width="14.42578125" style="2439" customWidth="1"/>
    <col min="15876" max="15876" width="3.7109375" style="2439" customWidth="1"/>
    <col min="15877" max="15877" width="41.7109375" style="2439" customWidth="1"/>
    <col min="15878" max="15886" width="6.7109375" style="2439" customWidth="1"/>
    <col min="15887" max="15887" width="8.140625" style="2439" customWidth="1"/>
    <col min="15888" max="15888" width="7.5703125" style="2439" customWidth="1"/>
    <col min="15889" max="15890" width="7.7109375" style="2439" customWidth="1"/>
    <col min="15891" max="15891" width="7.85546875" style="2439" customWidth="1"/>
    <col min="15892" max="15892" width="8.42578125" style="2439" customWidth="1"/>
    <col min="15893" max="16129" width="9.140625" style="2439"/>
    <col min="16130" max="16130" width="3.7109375" style="2439" customWidth="1"/>
    <col min="16131" max="16131" width="14.42578125" style="2439" customWidth="1"/>
    <col min="16132" max="16132" width="3.7109375" style="2439" customWidth="1"/>
    <col min="16133" max="16133" width="41.7109375" style="2439" customWidth="1"/>
    <col min="16134" max="16142" width="6.7109375" style="2439" customWidth="1"/>
    <col min="16143" max="16143" width="8.140625" style="2439" customWidth="1"/>
    <col min="16144" max="16144" width="7.5703125" style="2439" customWidth="1"/>
    <col min="16145" max="16146" width="7.7109375" style="2439" customWidth="1"/>
    <col min="16147" max="16147" width="7.85546875" style="2439" customWidth="1"/>
    <col min="16148" max="16148" width="8.42578125" style="2439" customWidth="1"/>
    <col min="16149" max="16384" width="9.140625" style="2439"/>
  </cols>
  <sheetData>
    <row r="1" spans="1:24" s="2645" customFormat="1" ht="12.75" customHeight="1" x14ac:dyDescent="0.2">
      <c r="A1" s="3325"/>
      <c r="B1" s="3326"/>
      <c r="C1" s="3326"/>
    </row>
    <row r="2" spans="1:24" s="2645" customFormat="1" ht="12.75" customHeight="1" x14ac:dyDescent="0.2">
      <c r="A2" s="3325">
        <v>1</v>
      </c>
      <c r="B2" s="3327" t="s">
        <v>0</v>
      </c>
      <c r="C2" s="3327">
        <v>72</v>
      </c>
      <c r="D2" s="1766" t="s">
        <v>1415</v>
      </c>
      <c r="E2" s="1767"/>
      <c r="F2" s="1767"/>
      <c r="G2" s="1767"/>
      <c r="H2" s="1767"/>
      <c r="I2" s="1767"/>
      <c r="J2" s="1767"/>
      <c r="K2" s="1767"/>
      <c r="L2" s="1767"/>
      <c r="M2" s="1767"/>
      <c r="N2" s="1767"/>
      <c r="O2" s="1767"/>
      <c r="P2" s="1767"/>
      <c r="Q2" s="3328"/>
      <c r="R2" s="3328"/>
      <c r="S2" s="2766"/>
      <c r="T2" s="689"/>
      <c r="U2" s="689"/>
      <c r="V2" s="689"/>
      <c r="W2" s="689"/>
    </row>
    <row r="3" spans="1:24" s="2645" customFormat="1" ht="12.75" customHeight="1" x14ac:dyDescent="0.2">
      <c r="A3" s="3325">
        <v>2</v>
      </c>
      <c r="B3" s="3327" t="s">
        <v>2</v>
      </c>
      <c r="C3" s="3327"/>
      <c r="D3" s="4140" t="s">
        <v>1416</v>
      </c>
      <c r="E3" s="4194"/>
      <c r="F3" s="4194"/>
      <c r="G3" s="4194"/>
      <c r="H3" s="4194"/>
      <c r="I3" s="4194"/>
      <c r="J3" s="4194"/>
      <c r="K3" s="4194"/>
      <c r="L3" s="4194"/>
      <c r="M3" s="4194"/>
      <c r="N3" s="4194"/>
      <c r="O3" s="4194"/>
      <c r="P3" s="4194"/>
      <c r="Q3" s="3329"/>
      <c r="R3" s="3329"/>
      <c r="S3" s="3330"/>
    </row>
    <row r="4" spans="1:24" s="2645" customFormat="1" ht="15" customHeight="1" x14ac:dyDescent="0.25">
      <c r="A4" s="3325">
        <v>3</v>
      </c>
      <c r="B4" s="3327" t="s">
        <v>4</v>
      </c>
      <c r="C4" s="3327"/>
      <c r="D4" s="4140" t="s">
        <v>1417</v>
      </c>
      <c r="E4" s="4194"/>
      <c r="F4" s="4194"/>
      <c r="G4" s="4194"/>
      <c r="H4" s="4194"/>
      <c r="I4" s="4194"/>
      <c r="J4" s="4194"/>
      <c r="K4" s="4194"/>
      <c r="L4" s="4194"/>
      <c r="M4" s="4194"/>
      <c r="N4" s="4194"/>
      <c r="O4" s="4194"/>
      <c r="P4" s="4194"/>
      <c r="Q4" s="4435"/>
      <c r="R4" s="4435"/>
      <c r="S4" s="4436"/>
    </row>
    <row r="5" spans="1:24" s="2645" customFormat="1" ht="13.5" customHeight="1" x14ac:dyDescent="0.2">
      <c r="A5" s="3325">
        <v>4</v>
      </c>
      <c r="B5" s="3327" t="s">
        <v>39</v>
      </c>
      <c r="C5" s="3327"/>
      <c r="D5" s="4140"/>
      <c r="E5" s="4141"/>
      <c r="F5" s="4141"/>
      <c r="G5" s="4141"/>
      <c r="H5" s="4141"/>
      <c r="I5" s="4141"/>
      <c r="J5" s="4141"/>
      <c r="K5" s="4141"/>
      <c r="L5" s="4141"/>
      <c r="M5" s="4141"/>
      <c r="N5" s="4141"/>
      <c r="O5" s="4141"/>
      <c r="P5" s="4141"/>
      <c r="Q5" s="4141"/>
      <c r="R5" s="4141"/>
      <c r="S5" s="4437"/>
    </row>
    <row r="6" spans="1:24" s="2645" customFormat="1" ht="14.25" customHeight="1" x14ac:dyDescent="0.2">
      <c r="A6" s="3325"/>
      <c r="B6" s="3327"/>
      <c r="C6" s="3327"/>
      <c r="D6" s="4438"/>
      <c r="E6" s="4439"/>
      <c r="F6" s="4439"/>
      <c r="G6" s="4439"/>
      <c r="H6" s="4439"/>
      <c r="I6" s="4439"/>
      <c r="J6" s="4439"/>
      <c r="K6" s="4439"/>
      <c r="L6" s="4439"/>
      <c r="M6" s="4439"/>
      <c r="N6" s="4439"/>
      <c r="O6" s="4439"/>
      <c r="P6" s="4439"/>
      <c r="S6" s="1858"/>
      <c r="T6" s="1858"/>
      <c r="U6" s="1858"/>
      <c r="V6" s="1858"/>
      <c r="W6" s="1858"/>
      <c r="X6" s="1858"/>
    </row>
    <row r="7" spans="1:24" s="2645" customFormat="1" ht="12.75" customHeight="1" x14ac:dyDescent="0.2">
      <c r="C7" s="3331"/>
      <c r="E7" s="3332"/>
      <c r="F7" s="2642"/>
      <c r="G7" s="2642"/>
      <c r="H7" s="2642"/>
      <c r="I7" s="2642"/>
      <c r="J7" s="2642"/>
      <c r="K7" s="2642"/>
      <c r="L7" s="2642"/>
      <c r="M7" s="2642"/>
      <c r="N7" s="2642"/>
      <c r="O7" s="2642"/>
      <c r="P7" s="2642"/>
      <c r="Q7" s="2642"/>
      <c r="R7" s="2642"/>
      <c r="S7" s="3"/>
      <c r="T7" s="3"/>
      <c r="U7" s="1858"/>
      <c r="V7" s="1858"/>
      <c r="W7" s="1858"/>
      <c r="X7" s="1858"/>
    </row>
    <row r="8" spans="1:24" ht="13.5" customHeight="1" x14ac:dyDescent="0.2">
      <c r="A8" s="3325">
        <v>5</v>
      </c>
      <c r="B8" s="3331" t="s">
        <v>5</v>
      </c>
      <c r="D8" s="764" t="s">
        <v>6</v>
      </c>
      <c r="E8" s="764" t="s">
        <v>1418</v>
      </c>
      <c r="F8" s="2702"/>
      <c r="G8" s="2702"/>
      <c r="H8" s="2702"/>
      <c r="I8" s="2702"/>
      <c r="J8" s="2702"/>
      <c r="K8" s="2702"/>
      <c r="L8" s="2702"/>
      <c r="M8" s="2702"/>
      <c r="N8" s="2702"/>
      <c r="O8" s="2702"/>
      <c r="P8" s="2702"/>
      <c r="Q8" s="2702"/>
      <c r="R8" s="2702"/>
      <c r="S8" s="1355"/>
      <c r="T8" s="722"/>
      <c r="U8" s="17"/>
      <c r="V8" s="17"/>
      <c r="W8" s="17"/>
      <c r="X8" s="17"/>
    </row>
    <row r="9" spans="1:24" s="757" customFormat="1" ht="13.5" customHeight="1" x14ac:dyDescent="0.25">
      <c r="A9" s="3333"/>
      <c r="B9" s="3334"/>
      <c r="C9" s="3334"/>
      <c r="D9" s="3335"/>
      <c r="E9" s="3336">
        <v>2000</v>
      </c>
      <c r="F9" s="3336">
        <v>2001</v>
      </c>
      <c r="G9" s="3336">
        <v>2002</v>
      </c>
      <c r="H9" s="3336">
        <v>2003</v>
      </c>
      <c r="I9" s="3336">
        <v>2004</v>
      </c>
      <c r="J9" s="3336">
        <v>2005</v>
      </c>
      <c r="K9" s="3336">
        <v>2006</v>
      </c>
      <c r="L9" s="3336">
        <v>2007</v>
      </c>
      <c r="M9" s="3336">
        <v>2008</v>
      </c>
      <c r="N9" s="3336">
        <v>2009</v>
      </c>
      <c r="O9" s="3337">
        <v>2010</v>
      </c>
      <c r="P9" s="3337">
        <v>2011</v>
      </c>
      <c r="Q9" s="3337">
        <v>2012</v>
      </c>
      <c r="R9" s="3337">
        <v>2013</v>
      </c>
      <c r="S9" s="3338">
        <v>2014</v>
      </c>
      <c r="T9" s="3338">
        <v>2015</v>
      </c>
      <c r="U9" s="3338">
        <v>2016</v>
      </c>
      <c r="V9" s="1743">
        <v>2017</v>
      </c>
      <c r="W9" s="1743">
        <v>2018</v>
      </c>
      <c r="X9" s="722"/>
    </row>
    <row r="10" spans="1:24" ht="15" customHeight="1" x14ac:dyDescent="0.2">
      <c r="B10" s="3340" t="s">
        <v>1419</v>
      </c>
      <c r="D10" s="2439" t="s">
        <v>1420</v>
      </c>
      <c r="E10" s="3341">
        <v>1</v>
      </c>
      <c r="F10" s="3341">
        <v>113</v>
      </c>
      <c r="G10" s="3341">
        <v>161</v>
      </c>
      <c r="H10" s="3342">
        <v>1430</v>
      </c>
      <c r="I10" s="3342">
        <v>1430</v>
      </c>
      <c r="J10" s="3342">
        <v>1230</v>
      </c>
      <c r="K10" s="3342">
        <v>1242</v>
      </c>
      <c r="L10" s="3342">
        <v>1248</v>
      </c>
      <c r="M10" s="3341">
        <v>1958</v>
      </c>
      <c r="N10" s="1459">
        <v>1198</v>
      </c>
      <c r="O10" s="3343">
        <v>1267</v>
      </c>
      <c r="P10" s="3343">
        <v>1267</v>
      </c>
      <c r="Q10" s="3343">
        <v>1267</v>
      </c>
      <c r="S10" s="17"/>
      <c r="T10" s="17"/>
      <c r="U10" s="17"/>
      <c r="V10" s="17"/>
      <c r="W10" s="17"/>
      <c r="X10" s="17"/>
    </row>
    <row r="11" spans="1:24" s="17" customFormat="1" ht="15" customHeight="1" x14ac:dyDescent="0.2">
      <c r="A11" s="3344"/>
      <c r="B11" s="2234"/>
      <c r="C11" s="2234"/>
      <c r="D11" s="2439" t="s">
        <v>1421</v>
      </c>
      <c r="E11" s="1459"/>
      <c r="F11" s="1459"/>
      <c r="G11" s="1459"/>
      <c r="H11" s="3342">
        <v>22</v>
      </c>
      <c r="I11" s="1459"/>
      <c r="J11" s="1459"/>
      <c r="K11" s="1459"/>
      <c r="L11" s="1459"/>
      <c r="M11" s="1459"/>
      <c r="N11" s="1459"/>
      <c r="O11" s="3343"/>
      <c r="P11" s="3343"/>
      <c r="Q11" s="3343"/>
    </row>
    <row r="12" spans="1:24" ht="15" customHeight="1" x14ac:dyDescent="0.2">
      <c r="D12" s="2439" t="s">
        <v>1422</v>
      </c>
      <c r="E12" s="1459"/>
      <c r="F12" s="1459"/>
      <c r="G12" s="1459">
        <v>3</v>
      </c>
      <c r="H12" s="1459">
        <v>3</v>
      </c>
      <c r="I12" s="1459"/>
      <c r="J12" s="1459"/>
      <c r="K12" s="1459"/>
      <c r="L12" s="1459"/>
      <c r="M12" s="1459"/>
      <c r="N12" s="1459"/>
      <c r="O12" s="3343"/>
      <c r="P12" s="3343"/>
      <c r="Q12" s="3343"/>
      <c r="S12" s="17"/>
      <c r="T12" s="17"/>
      <c r="U12" s="17"/>
      <c r="V12" s="17"/>
      <c r="W12" s="17"/>
      <c r="X12" s="17"/>
    </row>
    <row r="13" spans="1:24" ht="15" customHeight="1" x14ac:dyDescent="0.2">
      <c r="B13" s="3340" t="s">
        <v>1423</v>
      </c>
      <c r="D13" s="614" t="s">
        <v>1424</v>
      </c>
      <c r="E13" s="3345"/>
      <c r="F13" s="3345"/>
      <c r="G13" s="3345"/>
      <c r="H13" s="3345"/>
      <c r="I13" s="3345"/>
      <c r="J13" s="3345"/>
      <c r="K13" s="3345"/>
      <c r="L13" s="3345"/>
      <c r="M13" s="3345"/>
      <c r="N13" s="3345"/>
      <c r="O13" s="3343"/>
      <c r="P13" s="3343">
        <v>12</v>
      </c>
      <c r="Q13" s="3343">
        <v>120</v>
      </c>
      <c r="R13" s="3346">
        <v>52</v>
      </c>
      <c r="S13" s="1877">
        <v>16</v>
      </c>
      <c r="T13" s="1877">
        <v>12</v>
      </c>
      <c r="U13" s="1877">
        <v>69</v>
      </c>
      <c r="V13" s="1877"/>
      <c r="W13" s="1877"/>
      <c r="X13" s="749" t="s">
        <v>1425</v>
      </c>
    </row>
    <row r="14" spans="1:24" ht="15" customHeight="1" x14ac:dyDescent="0.2">
      <c r="B14" s="3340" t="s">
        <v>1426</v>
      </c>
      <c r="D14" s="614" t="s">
        <v>1427</v>
      </c>
      <c r="E14" s="3345"/>
      <c r="F14" s="3345"/>
      <c r="G14" s="3345"/>
      <c r="H14" s="3345"/>
      <c r="I14" s="3345"/>
      <c r="J14" s="3345"/>
      <c r="K14" s="3345"/>
      <c r="L14" s="3345"/>
      <c r="M14" s="3345"/>
      <c r="N14" s="3345"/>
      <c r="O14" s="3343"/>
      <c r="P14" s="3343">
        <v>12</v>
      </c>
      <c r="Q14" s="3343">
        <v>11</v>
      </c>
      <c r="R14" s="3346">
        <v>11</v>
      </c>
      <c r="S14" s="1877">
        <v>7</v>
      </c>
      <c r="T14" s="1877">
        <v>6</v>
      </c>
      <c r="U14" s="1877">
        <v>6</v>
      </c>
      <c r="V14" s="1877">
        <v>6</v>
      </c>
      <c r="W14" s="1877">
        <v>2</v>
      </c>
      <c r="X14" s="749" t="s">
        <v>1428</v>
      </c>
    </row>
    <row r="15" spans="1:24" ht="15" customHeight="1" x14ac:dyDescent="0.2">
      <c r="D15" s="2439" t="s">
        <v>1429</v>
      </c>
      <c r="E15" s="1459">
        <v>3</v>
      </c>
      <c r="F15" s="1459">
        <v>6</v>
      </c>
      <c r="G15" s="1459">
        <v>6</v>
      </c>
      <c r="H15" s="1459">
        <v>6</v>
      </c>
      <c r="I15" s="1459">
        <v>10</v>
      </c>
      <c r="J15" s="1459">
        <v>6</v>
      </c>
      <c r="K15" s="1459">
        <v>6</v>
      </c>
      <c r="L15" s="1459">
        <v>6</v>
      </c>
      <c r="M15" s="1459">
        <v>1</v>
      </c>
      <c r="N15" s="1459"/>
      <c r="O15" s="3343"/>
      <c r="P15" s="3343"/>
      <c r="Q15" s="3343"/>
      <c r="S15" s="17"/>
      <c r="T15" s="17"/>
      <c r="U15" s="17"/>
      <c r="V15" s="17"/>
      <c r="W15" s="17"/>
      <c r="X15" s="17"/>
    </row>
    <row r="16" spans="1:24" ht="15" customHeight="1" x14ac:dyDescent="0.2">
      <c r="D16" s="2439" t="s">
        <v>1430</v>
      </c>
      <c r="E16" s="1459">
        <v>2</v>
      </c>
      <c r="F16" s="1459">
        <v>2</v>
      </c>
      <c r="G16" s="1459">
        <v>5</v>
      </c>
      <c r="H16" s="1459">
        <v>5</v>
      </c>
      <c r="I16" s="1459">
        <v>4</v>
      </c>
      <c r="J16" s="1459">
        <v>1</v>
      </c>
      <c r="K16" s="1459">
        <v>1</v>
      </c>
      <c r="L16" s="1459">
        <v>1</v>
      </c>
      <c r="M16" s="1459">
        <v>1</v>
      </c>
      <c r="N16" s="1459"/>
      <c r="O16" s="3343"/>
      <c r="P16" s="3343"/>
      <c r="Q16" s="3343"/>
      <c r="S16" s="17"/>
      <c r="T16" s="17"/>
      <c r="U16" s="17"/>
      <c r="V16" s="17"/>
      <c r="W16" s="17"/>
      <c r="X16" s="17"/>
    </row>
    <row r="17" spans="2:24" s="2439" customFormat="1" ht="15" customHeight="1" x14ac:dyDescent="0.2">
      <c r="D17" s="2439" t="s">
        <v>1431</v>
      </c>
      <c r="E17" s="1459"/>
      <c r="F17" s="1459">
        <v>701</v>
      </c>
      <c r="G17" s="1459">
        <v>750</v>
      </c>
      <c r="H17" s="1459"/>
      <c r="I17" s="1459"/>
      <c r="J17" s="1459"/>
      <c r="K17" s="1459"/>
      <c r="L17" s="1459"/>
      <c r="M17" s="1459"/>
      <c r="N17" s="1459"/>
      <c r="O17" s="3343"/>
      <c r="P17" s="3343"/>
      <c r="Q17" s="3343"/>
      <c r="S17" s="17"/>
      <c r="T17" s="17"/>
      <c r="U17" s="17"/>
      <c r="V17" s="17"/>
      <c r="W17" s="17"/>
      <c r="X17" s="17"/>
    </row>
    <row r="18" spans="2:24" s="2439" customFormat="1" ht="15" customHeight="1" x14ac:dyDescent="0.2">
      <c r="D18" s="2439" t="s">
        <v>1432</v>
      </c>
      <c r="E18" s="1459"/>
      <c r="F18" s="1459"/>
      <c r="G18" s="1459"/>
      <c r="H18" s="3342">
        <v>1500</v>
      </c>
      <c r="I18" s="1459"/>
      <c r="J18" s="1459"/>
      <c r="K18" s="1459"/>
      <c r="L18" s="1459"/>
      <c r="M18" s="1459"/>
      <c r="N18" s="1459"/>
      <c r="O18" s="3343"/>
      <c r="P18" s="3343"/>
      <c r="Q18" s="3343"/>
      <c r="S18" s="17"/>
      <c r="T18" s="17"/>
      <c r="U18" s="17"/>
      <c r="V18" s="17"/>
      <c r="W18" s="17"/>
      <c r="X18" s="17"/>
    </row>
    <row r="19" spans="2:24" s="2439" customFormat="1" ht="15" customHeight="1" x14ac:dyDescent="0.2">
      <c r="D19" s="2439" t="s">
        <v>1433</v>
      </c>
      <c r="E19" s="1459"/>
      <c r="F19" s="1459"/>
      <c r="G19" s="1459"/>
      <c r="H19" s="1459"/>
      <c r="I19" s="1459" t="s">
        <v>1434</v>
      </c>
      <c r="J19" s="1459">
        <v>930</v>
      </c>
      <c r="K19" s="1459">
        <v>865</v>
      </c>
      <c r="L19" s="1459"/>
      <c r="M19" s="1459"/>
      <c r="N19" s="1459"/>
      <c r="O19" s="3343"/>
      <c r="P19" s="3343"/>
      <c r="Q19" s="3343"/>
      <c r="S19" s="17"/>
      <c r="T19" s="17"/>
      <c r="U19" s="17"/>
      <c r="V19" s="17"/>
      <c r="W19" s="17"/>
      <c r="X19" s="17"/>
    </row>
    <row r="20" spans="2:24" s="2439" customFormat="1" ht="15" customHeight="1" x14ac:dyDescent="0.2">
      <c r="D20" s="2439" t="s">
        <v>1435</v>
      </c>
      <c r="E20" s="1459"/>
      <c r="F20" s="1459"/>
      <c r="G20" s="1459"/>
      <c r="H20" s="1459"/>
      <c r="I20" s="1459"/>
      <c r="J20" s="1459"/>
      <c r="K20" s="1459"/>
      <c r="L20" s="1459">
        <v>1</v>
      </c>
      <c r="M20" s="1459"/>
      <c r="N20" s="1459"/>
      <c r="O20" s="3343"/>
      <c r="P20" s="3343"/>
      <c r="Q20" s="3343"/>
      <c r="S20" s="17"/>
      <c r="T20" s="17"/>
      <c r="U20" s="17"/>
      <c r="V20" s="17"/>
      <c r="W20" s="17"/>
      <c r="X20" s="17"/>
    </row>
    <row r="21" spans="2:24" s="2439" customFormat="1" ht="15" customHeight="1" x14ac:dyDescent="0.2">
      <c r="D21" s="2439" t="s">
        <v>1436</v>
      </c>
      <c r="E21" s="1459"/>
      <c r="F21" s="1459"/>
      <c r="G21" s="1459"/>
      <c r="H21" s="1459"/>
      <c r="I21" s="1459">
        <v>337</v>
      </c>
      <c r="J21" s="1459">
        <v>337</v>
      </c>
      <c r="K21" s="1459">
        <v>337</v>
      </c>
      <c r="L21" s="1459">
        <v>750</v>
      </c>
      <c r="M21" s="1459">
        <v>950</v>
      </c>
      <c r="N21" s="1459">
        <v>1042</v>
      </c>
      <c r="O21" s="3343"/>
      <c r="P21" s="3343"/>
      <c r="Q21" s="3343"/>
      <c r="S21" s="17"/>
      <c r="T21" s="17"/>
      <c r="U21" s="17"/>
      <c r="V21" s="17"/>
      <c r="W21" s="17"/>
      <c r="X21" s="17"/>
    </row>
    <row r="22" spans="2:24" s="2439" customFormat="1" ht="15" customHeight="1" x14ac:dyDescent="0.2">
      <c r="D22" s="2439" t="s">
        <v>1437</v>
      </c>
      <c r="E22" s="1459"/>
      <c r="F22" s="1459"/>
      <c r="G22" s="1459"/>
      <c r="H22" s="1459"/>
      <c r="I22" s="1459">
        <v>3</v>
      </c>
      <c r="J22" s="1459">
        <v>3</v>
      </c>
      <c r="K22" s="1459"/>
      <c r="L22" s="1459"/>
      <c r="M22" s="1459"/>
      <c r="N22" s="1459"/>
      <c r="O22" s="3343"/>
      <c r="P22" s="3343"/>
      <c r="Q22" s="3343"/>
      <c r="S22" s="17"/>
      <c r="T22" s="17"/>
      <c r="U22" s="17"/>
      <c r="V22" s="17"/>
      <c r="W22" s="17"/>
      <c r="X22" s="17"/>
    </row>
    <row r="23" spans="2:24" s="2439" customFormat="1" ht="15" customHeight="1" x14ac:dyDescent="0.2">
      <c r="D23" s="2439" t="s">
        <v>1438</v>
      </c>
      <c r="E23" s="1459"/>
      <c r="F23" s="1459"/>
      <c r="G23" s="1459"/>
      <c r="H23" s="1459"/>
      <c r="I23" s="1459"/>
      <c r="J23" s="1459"/>
      <c r="K23" s="1459"/>
      <c r="L23" s="1459">
        <v>4</v>
      </c>
      <c r="M23" s="1459">
        <v>4</v>
      </c>
      <c r="N23" s="1459"/>
      <c r="O23" s="3343"/>
      <c r="P23" s="3343"/>
      <c r="Q23" s="3343"/>
      <c r="S23" s="17"/>
      <c r="T23" s="17"/>
      <c r="U23" s="17"/>
      <c r="V23" s="17"/>
      <c r="W23" s="17"/>
      <c r="X23" s="17"/>
    </row>
    <row r="24" spans="2:24" s="2439" customFormat="1" ht="15" customHeight="1" x14ac:dyDescent="0.2">
      <c r="D24" s="2439" t="s">
        <v>1439</v>
      </c>
      <c r="E24" s="1459"/>
      <c r="F24" s="1459"/>
      <c r="G24" s="1459"/>
      <c r="H24" s="1459"/>
      <c r="I24" s="1459">
        <v>10</v>
      </c>
      <c r="J24" s="1459">
        <v>339</v>
      </c>
      <c r="K24" s="1459">
        <v>620</v>
      </c>
      <c r="L24" s="1459">
        <v>620</v>
      </c>
      <c r="M24" s="1459"/>
      <c r="N24" s="1459"/>
      <c r="O24" s="3343"/>
      <c r="P24" s="3343"/>
      <c r="Q24" s="3343"/>
      <c r="S24" s="17"/>
      <c r="T24" s="17"/>
      <c r="U24" s="17"/>
      <c r="V24" s="17"/>
      <c r="W24" s="17"/>
      <c r="X24" s="17"/>
    </row>
    <row r="25" spans="2:24" s="2439" customFormat="1" ht="15" customHeight="1" x14ac:dyDescent="0.2">
      <c r="B25" s="3347" t="s">
        <v>1440</v>
      </c>
      <c r="C25" s="3348"/>
      <c r="D25" s="3348" t="s">
        <v>1441</v>
      </c>
      <c r="E25" s="1459"/>
      <c r="F25" s="1459"/>
      <c r="G25" s="1459"/>
      <c r="H25" s="1459"/>
      <c r="I25" s="1459"/>
      <c r="J25" s="1459"/>
      <c r="K25" s="1459"/>
      <c r="L25" s="1459">
        <v>651</v>
      </c>
      <c r="M25" s="1459">
        <v>614</v>
      </c>
      <c r="N25" s="1459"/>
      <c r="O25" s="3343">
        <v>786</v>
      </c>
      <c r="P25" s="3343">
        <v>850</v>
      </c>
      <c r="Q25" s="3343">
        <v>850</v>
      </c>
      <c r="S25" s="17"/>
      <c r="T25" s="17"/>
      <c r="U25" s="17"/>
      <c r="V25" s="17"/>
      <c r="W25" s="17"/>
      <c r="X25" s="17"/>
    </row>
    <row r="26" spans="2:24" s="2439" customFormat="1" ht="15" customHeight="1" x14ac:dyDescent="0.2">
      <c r="D26" s="2439" t="s">
        <v>1442</v>
      </c>
      <c r="E26" s="1459"/>
      <c r="F26" s="1459"/>
      <c r="G26" s="1459"/>
      <c r="H26" s="1459"/>
      <c r="I26" s="1459"/>
      <c r="J26" s="1459"/>
      <c r="K26" s="1459"/>
      <c r="L26" s="1459">
        <v>2</v>
      </c>
      <c r="M26" s="1459"/>
      <c r="N26" s="3343">
        <v>2</v>
      </c>
      <c r="O26" s="3343">
        <v>154</v>
      </c>
      <c r="P26" s="3343">
        <v>0</v>
      </c>
      <c r="Q26" s="3343"/>
      <c r="S26" s="17"/>
      <c r="T26" s="17"/>
      <c r="U26" s="17"/>
      <c r="V26" s="17"/>
      <c r="W26" s="17"/>
      <c r="X26" s="17"/>
    </row>
    <row r="27" spans="2:24" s="2439" customFormat="1" ht="22.5" x14ac:dyDescent="0.2">
      <c r="D27" s="3349" t="s">
        <v>1443</v>
      </c>
      <c r="E27" s="1459"/>
      <c r="F27" s="1459"/>
      <c r="G27" s="1459"/>
      <c r="H27" s="1459"/>
      <c r="I27" s="1459"/>
      <c r="J27" s="1459"/>
      <c r="K27" s="1459"/>
      <c r="L27" s="1459"/>
      <c r="M27" s="1459"/>
      <c r="N27" s="1459"/>
      <c r="O27" s="3343"/>
      <c r="P27" s="3343">
        <v>174</v>
      </c>
      <c r="Q27" s="3343">
        <v>220</v>
      </c>
      <c r="S27" s="17"/>
      <c r="T27" s="17"/>
      <c r="U27" s="17"/>
      <c r="V27" s="17"/>
      <c r="W27" s="17"/>
      <c r="X27" s="17"/>
    </row>
    <row r="28" spans="2:24" s="2439" customFormat="1" x14ac:dyDescent="0.2">
      <c r="D28" s="2707" t="s">
        <v>1444</v>
      </c>
      <c r="E28" s="1459"/>
      <c r="F28" s="1459"/>
      <c r="G28" s="1459"/>
      <c r="H28" s="1459"/>
      <c r="I28" s="1459"/>
      <c r="J28" s="1459"/>
      <c r="K28" s="1459"/>
      <c r="L28" s="1459"/>
      <c r="M28" s="1459"/>
      <c r="N28" s="1459"/>
      <c r="O28" s="3343"/>
      <c r="P28" s="3343"/>
      <c r="Q28" s="3343"/>
      <c r="R28" s="2439">
        <f>+AVERAGE(1254,1235,1192,1226)</f>
        <v>1226.75</v>
      </c>
      <c r="S28" s="749">
        <v>1331</v>
      </c>
      <c r="T28" s="749">
        <v>1290</v>
      </c>
      <c r="U28" s="749">
        <v>1282</v>
      </c>
      <c r="V28" s="749">
        <v>1269</v>
      </c>
      <c r="W28" s="749">
        <v>1152</v>
      </c>
      <c r="X28" s="749"/>
    </row>
    <row r="29" spans="2:24" s="2439" customFormat="1" x14ac:dyDescent="0.2">
      <c r="D29" s="2707" t="s">
        <v>1445</v>
      </c>
      <c r="E29" s="1459"/>
      <c r="F29" s="1459"/>
      <c r="G29" s="1459"/>
      <c r="H29" s="1459"/>
      <c r="I29" s="1459"/>
      <c r="J29" s="1459"/>
      <c r="K29" s="1459"/>
      <c r="L29" s="1459"/>
      <c r="M29" s="1459"/>
      <c r="N29" s="1459"/>
      <c r="O29" s="3343"/>
      <c r="P29" s="3343"/>
      <c r="Q29" s="3343"/>
      <c r="R29" s="2439">
        <f>+AVERAGE(782,789,766,775)</f>
        <v>778</v>
      </c>
      <c r="S29" s="749">
        <v>805</v>
      </c>
      <c r="T29" s="749">
        <v>755</v>
      </c>
      <c r="U29" s="749"/>
      <c r="V29" s="749"/>
      <c r="W29" s="749"/>
      <c r="X29" s="749"/>
    </row>
    <row r="30" spans="2:24" s="2439" customFormat="1" x14ac:dyDescent="0.2">
      <c r="D30" s="2707" t="s">
        <v>1446</v>
      </c>
      <c r="E30" s="1459"/>
      <c r="F30" s="1459"/>
      <c r="G30" s="1459"/>
      <c r="H30" s="1459"/>
      <c r="I30" s="1459"/>
      <c r="J30" s="1459"/>
      <c r="K30" s="1459"/>
      <c r="L30" s="1459"/>
      <c r="M30" s="1459"/>
      <c r="N30" s="1459"/>
      <c r="O30" s="3343"/>
      <c r="P30" s="3343"/>
      <c r="Q30" s="3343"/>
      <c r="R30" s="2439">
        <f>AVERAGE(158,19,6,218)</f>
        <v>100.25</v>
      </c>
      <c r="S30" s="749">
        <v>77</v>
      </c>
      <c r="T30" s="749">
        <v>155</v>
      </c>
      <c r="U30" s="749">
        <v>155</v>
      </c>
      <c r="V30" s="749">
        <v>75</v>
      </c>
      <c r="W30" s="749"/>
      <c r="X30" s="749"/>
    </row>
    <row r="31" spans="2:24" s="2439" customFormat="1" x14ac:dyDescent="0.2">
      <c r="D31" s="2707" t="s">
        <v>1447</v>
      </c>
      <c r="E31" s="1459"/>
      <c r="F31" s="1459"/>
      <c r="G31" s="1459"/>
      <c r="H31" s="1459"/>
      <c r="I31" s="1459"/>
      <c r="J31" s="1459"/>
      <c r="K31" s="1459"/>
      <c r="L31" s="1459"/>
      <c r="M31" s="1459"/>
      <c r="N31" s="1459"/>
      <c r="O31" s="3350"/>
      <c r="P31" s="3350"/>
      <c r="Q31" s="3350"/>
      <c r="R31" s="2439">
        <f>AVERAGE(24,22,30,264)</f>
        <v>85</v>
      </c>
      <c r="S31" s="17"/>
      <c r="T31" s="17"/>
      <c r="U31" s="17"/>
      <c r="V31" s="17"/>
      <c r="W31" s="17"/>
      <c r="X31" s="17"/>
    </row>
    <row r="32" spans="2:24" s="2439" customFormat="1" ht="15" customHeight="1" x14ac:dyDescent="0.2">
      <c r="D32" s="3351" t="s">
        <v>1448</v>
      </c>
      <c r="E32" s="3352">
        <v>118</v>
      </c>
      <c r="F32" s="3352">
        <v>870</v>
      </c>
      <c r="G32" s="3352">
        <v>925</v>
      </c>
      <c r="H32" s="3353">
        <v>7966</v>
      </c>
      <c r="I32" s="3353">
        <v>2894</v>
      </c>
      <c r="J32" s="3353">
        <v>2846</v>
      </c>
      <c r="K32" s="3353">
        <v>3071</v>
      </c>
      <c r="L32" s="3353">
        <v>2632</v>
      </c>
      <c r="M32" s="3353">
        <v>3054</v>
      </c>
      <c r="N32" s="3353">
        <f>SUM(N10:N26)</f>
        <v>2242</v>
      </c>
      <c r="O32" s="3353">
        <f>SUM(O10:O27)</f>
        <v>2207</v>
      </c>
      <c r="P32" s="3354">
        <f>SUM(P10:P26)</f>
        <v>2141</v>
      </c>
      <c r="Q32" s="3354">
        <f t="shared" ref="Q32:W32" si="0">SUM(Q13:Q31)</f>
        <v>1201</v>
      </c>
      <c r="R32" s="3354">
        <f t="shared" si="0"/>
        <v>2253</v>
      </c>
      <c r="S32" s="3355">
        <f t="shared" si="0"/>
        <v>2236</v>
      </c>
      <c r="T32" s="3355">
        <f t="shared" si="0"/>
        <v>2218</v>
      </c>
      <c r="U32" s="3355">
        <f t="shared" si="0"/>
        <v>1512</v>
      </c>
      <c r="V32" s="3355">
        <f t="shared" si="0"/>
        <v>1350</v>
      </c>
      <c r="W32" s="3355">
        <f t="shared" si="0"/>
        <v>1154</v>
      </c>
      <c r="X32" s="17"/>
    </row>
    <row r="33" spans="1:24" ht="15" customHeight="1" x14ac:dyDescent="0.2">
      <c r="D33" s="3356" t="s">
        <v>1449</v>
      </c>
      <c r="E33" s="3357"/>
      <c r="F33" s="3357"/>
      <c r="G33" s="3357"/>
      <c r="H33" s="3357"/>
      <c r="I33" s="3357"/>
      <c r="J33" s="3357"/>
      <c r="K33" s="3357"/>
      <c r="L33" s="3357"/>
      <c r="M33" s="3357">
        <v>66</v>
      </c>
      <c r="N33" s="3357"/>
      <c r="O33" s="3358">
        <v>2207</v>
      </c>
      <c r="P33" s="3358">
        <v>83</v>
      </c>
      <c r="Q33" s="3358">
        <v>44</v>
      </c>
      <c r="S33" s="17"/>
      <c r="T33" s="17"/>
      <c r="U33" s="17"/>
      <c r="V33" s="17"/>
      <c r="W33" s="17"/>
      <c r="X33" s="17"/>
    </row>
    <row r="34" spans="1:24" ht="12" customHeight="1" x14ac:dyDescent="0.2">
      <c r="D34" s="2439" t="s">
        <v>1450</v>
      </c>
      <c r="E34" s="1459"/>
      <c r="F34" s="1459"/>
      <c r="G34" s="1459"/>
      <c r="H34" s="1459"/>
      <c r="I34" s="1459"/>
      <c r="J34" s="1459"/>
      <c r="K34" s="1459"/>
      <c r="L34" s="1355">
        <v>5</v>
      </c>
      <c r="M34" s="1459">
        <v>1</v>
      </c>
      <c r="N34" s="1459"/>
      <c r="O34" s="3343">
        <v>44</v>
      </c>
      <c r="P34" s="3343">
        <v>0</v>
      </c>
      <c r="Q34" s="3343"/>
    </row>
    <row r="35" spans="1:24" ht="12" customHeight="1" x14ac:dyDescent="0.2">
      <c r="D35" s="773" t="s">
        <v>1451</v>
      </c>
      <c r="E35" s="3359"/>
      <c r="F35" s="3359"/>
      <c r="G35" s="3359"/>
      <c r="H35" s="3359"/>
      <c r="I35" s="3359"/>
      <c r="J35" s="3359"/>
      <c r="K35" s="3359"/>
      <c r="L35" s="3359">
        <v>2</v>
      </c>
      <c r="M35" s="3359">
        <v>2</v>
      </c>
      <c r="N35" s="3359">
        <v>3</v>
      </c>
      <c r="O35" s="3360">
        <v>2</v>
      </c>
      <c r="P35" s="3360"/>
      <c r="Q35" s="3360"/>
      <c r="R35" s="773"/>
      <c r="S35" s="773"/>
      <c r="T35" s="773"/>
    </row>
    <row r="36" spans="1:24" ht="12" customHeight="1" x14ac:dyDescent="0.25">
      <c r="D36" s="3361"/>
      <c r="E36" s="3361"/>
      <c r="F36" s="3361"/>
      <c r="G36" s="3361"/>
      <c r="H36" s="3361"/>
      <c r="I36" s="3361"/>
      <c r="J36" s="3361"/>
      <c r="K36" s="3361"/>
      <c r="L36" s="3362"/>
      <c r="M36" s="3361"/>
      <c r="N36" s="3361"/>
      <c r="O36" s="3350"/>
      <c r="Q36" s="614"/>
    </row>
    <row r="37" spans="1:24" s="2645" customFormat="1" ht="12.75" customHeight="1" x14ac:dyDescent="0.2">
      <c r="A37" s="3325">
        <v>7</v>
      </c>
      <c r="B37" s="3327" t="s">
        <v>29</v>
      </c>
      <c r="C37" s="3327"/>
      <c r="D37" s="4140" t="s">
        <v>1452</v>
      </c>
      <c r="E37" s="4194"/>
      <c r="F37" s="4194"/>
      <c r="G37" s="4194"/>
      <c r="H37" s="4194"/>
      <c r="I37" s="4194"/>
      <c r="J37" s="4194"/>
      <c r="K37" s="4194"/>
      <c r="L37" s="4194"/>
      <c r="M37" s="4194"/>
      <c r="N37" s="4194"/>
      <c r="O37" s="4194"/>
      <c r="P37" s="4194"/>
      <c r="Q37" s="3329"/>
      <c r="R37" s="3329"/>
      <c r="S37" s="3330"/>
    </row>
    <row r="38" spans="1:24" s="2645" customFormat="1" ht="50.25" customHeight="1" x14ac:dyDescent="0.2">
      <c r="A38" s="3327">
        <v>8</v>
      </c>
      <c r="B38" s="3327" t="s">
        <v>32</v>
      </c>
      <c r="C38" s="3327"/>
      <c r="D38" s="4247" t="s">
        <v>1453</v>
      </c>
      <c r="E38" s="4194"/>
      <c r="F38" s="4194"/>
      <c r="G38" s="4194"/>
      <c r="H38" s="4194"/>
      <c r="I38" s="4194"/>
      <c r="J38" s="4194"/>
      <c r="K38" s="4194"/>
      <c r="L38" s="4194"/>
      <c r="M38" s="4194"/>
      <c r="N38" s="4194"/>
      <c r="O38" s="4194"/>
      <c r="P38" s="4194"/>
      <c r="Q38" s="4440"/>
      <c r="R38" s="4440"/>
      <c r="S38" s="4441"/>
    </row>
    <row r="39" spans="1:24" s="2645" customFormat="1" ht="31.5" customHeight="1" x14ac:dyDescent="0.2">
      <c r="A39" s="3327">
        <v>9</v>
      </c>
      <c r="B39" s="3327" t="s">
        <v>95</v>
      </c>
      <c r="C39" s="3326"/>
      <c r="D39" s="4140" t="s">
        <v>1454</v>
      </c>
      <c r="E39" s="4194"/>
      <c r="F39" s="4194"/>
      <c r="G39" s="4194"/>
      <c r="H39" s="4194"/>
      <c r="I39" s="4194"/>
      <c r="J39" s="4194"/>
      <c r="K39" s="4194"/>
      <c r="L39" s="4194"/>
      <c r="M39" s="4194"/>
      <c r="N39" s="4194"/>
      <c r="O39" s="4194"/>
      <c r="P39" s="4194"/>
      <c r="Q39" s="4433"/>
      <c r="R39" s="4433"/>
      <c r="S39" s="4434"/>
    </row>
    <row r="40" spans="1:24" s="2645" customFormat="1" ht="12.75" customHeight="1" x14ac:dyDescent="0.2">
      <c r="A40" s="3327">
        <v>10</v>
      </c>
      <c r="B40" s="3327" t="s">
        <v>31</v>
      </c>
      <c r="C40" s="3327"/>
      <c r="D40" s="4193" t="s">
        <v>1455</v>
      </c>
      <c r="E40" s="4194"/>
      <c r="F40" s="4194"/>
      <c r="G40" s="4194"/>
      <c r="H40" s="4194"/>
      <c r="I40" s="4194"/>
      <c r="J40" s="4194"/>
      <c r="K40" s="4194"/>
      <c r="L40" s="4194"/>
      <c r="M40" s="4194"/>
      <c r="N40" s="4194"/>
      <c r="O40" s="4194"/>
      <c r="P40" s="4194"/>
      <c r="Q40" s="3329"/>
      <c r="R40" s="3329"/>
      <c r="S40" s="3330"/>
    </row>
  </sheetData>
  <mergeCells count="8">
    <mergeCell ref="D39:S39"/>
    <mergeCell ref="D40:P40"/>
    <mergeCell ref="D3:P3"/>
    <mergeCell ref="D4:S4"/>
    <mergeCell ref="D5:S5"/>
    <mergeCell ref="D6:P6"/>
    <mergeCell ref="D37:P37"/>
    <mergeCell ref="D38:S38"/>
  </mergeCells>
  <pageMargins left="0.74803149606299213" right="0.74803149606299213" top="0.98425196850393704" bottom="0.98425196850393704" header="0.51181102362204722" footer="0.51181102362204722"/>
  <pageSetup paperSize="9" scale="1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40"/>
  <sheetViews>
    <sheetView showGridLines="0" view="pageBreakPreview" zoomScaleNormal="100" zoomScaleSheetLayoutView="100" workbookViewId="0">
      <selection activeCell="U15" sqref="U15"/>
    </sheetView>
  </sheetViews>
  <sheetFormatPr defaultColWidth="9.140625" defaultRowHeight="11.25" x14ac:dyDescent="0.2"/>
  <cols>
    <col min="1" max="1" width="3.7109375" style="3365" customWidth="1"/>
    <col min="2" max="2" width="14.42578125" style="3366" customWidth="1"/>
    <col min="3" max="3" width="5.42578125" style="3366" customWidth="1"/>
    <col min="4" max="4" width="18.28515625" style="2702" customWidth="1"/>
    <col min="5" max="18" width="7.140625" style="2702" customWidth="1"/>
    <col min="19" max="19" width="6" style="2702" customWidth="1"/>
    <col min="20" max="257" width="9.140625" style="2702"/>
    <col min="258" max="258" width="3.7109375" style="2702" customWidth="1"/>
    <col min="259" max="259" width="14.42578125" style="2702" customWidth="1"/>
    <col min="260" max="260" width="5.42578125" style="2702" customWidth="1"/>
    <col min="261" max="261" width="14.140625" style="2702" customWidth="1"/>
    <col min="262" max="275" width="6" style="2702" customWidth="1"/>
    <col min="276" max="513" width="9.140625" style="2702"/>
    <col min="514" max="514" width="3.7109375" style="2702" customWidth="1"/>
    <col min="515" max="515" width="14.42578125" style="2702" customWidth="1"/>
    <col min="516" max="516" width="5.42578125" style="2702" customWidth="1"/>
    <col min="517" max="517" width="14.140625" style="2702" customWidth="1"/>
    <col min="518" max="531" width="6" style="2702" customWidth="1"/>
    <col min="532" max="769" width="9.140625" style="2702"/>
    <col min="770" max="770" width="3.7109375" style="2702" customWidth="1"/>
    <col min="771" max="771" width="14.42578125" style="2702" customWidth="1"/>
    <col min="772" max="772" width="5.42578125" style="2702" customWidth="1"/>
    <col min="773" max="773" width="14.140625" style="2702" customWidth="1"/>
    <col min="774" max="787" width="6" style="2702" customWidth="1"/>
    <col min="788" max="1025" width="9.140625" style="2702"/>
    <col min="1026" max="1026" width="3.7109375" style="2702" customWidth="1"/>
    <col min="1027" max="1027" width="14.42578125" style="2702" customWidth="1"/>
    <col min="1028" max="1028" width="5.42578125" style="2702" customWidth="1"/>
    <col min="1029" max="1029" width="14.140625" style="2702" customWidth="1"/>
    <col min="1030" max="1043" width="6" style="2702" customWidth="1"/>
    <col min="1044" max="1281" width="9.140625" style="2702"/>
    <col min="1282" max="1282" width="3.7109375" style="2702" customWidth="1"/>
    <col min="1283" max="1283" width="14.42578125" style="2702" customWidth="1"/>
    <col min="1284" max="1284" width="5.42578125" style="2702" customWidth="1"/>
    <col min="1285" max="1285" width="14.140625" style="2702" customWidth="1"/>
    <col min="1286" max="1299" width="6" style="2702" customWidth="1"/>
    <col min="1300" max="1537" width="9.140625" style="2702"/>
    <col min="1538" max="1538" width="3.7109375" style="2702" customWidth="1"/>
    <col min="1539" max="1539" width="14.42578125" style="2702" customWidth="1"/>
    <col min="1540" max="1540" width="5.42578125" style="2702" customWidth="1"/>
    <col min="1541" max="1541" width="14.140625" style="2702" customWidth="1"/>
    <col min="1542" max="1555" width="6" style="2702" customWidth="1"/>
    <col min="1556" max="1793" width="9.140625" style="2702"/>
    <col min="1794" max="1794" width="3.7109375" style="2702" customWidth="1"/>
    <col min="1795" max="1795" width="14.42578125" style="2702" customWidth="1"/>
    <col min="1796" max="1796" width="5.42578125" style="2702" customWidth="1"/>
    <col min="1797" max="1797" width="14.140625" style="2702" customWidth="1"/>
    <col min="1798" max="1811" width="6" style="2702" customWidth="1"/>
    <col min="1812" max="2049" width="9.140625" style="2702"/>
    <col min="2050" max="2050" width="3.7109375" style="2702" customWidth="1"/>
    <col min="2051" max="2051" width="14.42578125" style="2702" customWidth="1"/>
    <col min="2052" max="2052" width="5.42578125" style="2702" customWidth="1"/>
    <col min="2053" max="2053" width="14.140625" style="2702" customWidth="1"/>
    <col min="2054" max="2067" width="6" style="2702" customWidth="1"/>
    <col min="2068" max="2305" width="9.140625" style="2702"/>
    <col min="2306" max="2306" width="3.7109375" style="2702" customWidth="1"/>
    <col min="2307" max="2307" width="14.42578125" style="2702" customWidth="1"/>
    <col min="2308" max="2308" width="5.42578125" style="2702" customWidth="1"/>
    <col min="2309" max="2309" width="14.140625" style="2702" customWidth="1"/>
    <col min="2310" max="2323" width="6" style="2702" customWidth="1"/>
    <col min="2324" max="2561" width="9.140625" style="2702"/>
    <col min="2562" max="2562" width="3.7109375" style="2702" customWidth="1"/>
    <col min="2563" max="2563" width="14.42578125" style="2702" customWidth="1"/>
    <col min="2564" max="2564" width="5.42578125" style="2702" customWidth="1"/>
    <col min="2565" max="2565" width="14.140625" style="2702" customWidth="1"/>
    <col min="2566" max="2579" width="6" style="2702" customWidth="1"/>
    <col min="2580" max="2817" width="9.140625" style="2702"/>
    <col min="2818" max="2818" width="3.7109375" style="2702" customWidth="1"/>
    <col min="2819" max="2819" width="14.42578125" style="2702" customWidth="1"/>
    <col min="2820" max="2820" width="5.42578125" style="2702" customWidth="1"/>
    <col min="2821" max="2821" width="14.140625" style="2702" customWidth="1"/>
    <col min="2822" max="2835" width="6" style="2702" customWidth="1"/>
    <col min="2836" max="3073" width="9.140625" style="2702"/>
    <col min="3074" max="3074" width="3.7109375" style="2702" customWidth="1"/>
    <col min="3075" max="3075" width="14.42578125" style="2702" customWidth="1"/>
    <col min="3076" max="3076" width="5.42578125" style="2702" customWidth="1"/>
    <col min="3077" max="3077" width="14.140625" style="2702" customWidth="1"/>
    <col min="3078" max="3091" width="6" style="2702" customWidth="1"/>
    <col min="3092" max="3329" width="9.140625" style="2702"/>
    <col min="3330" max="3330" width="3.7109375" style="2702" customWidth="1"/>
    <col min="3331" max="3331" width="14.42578125" style="2702" customWidth="1"/>
    <col min="3332" max="3332" width="5.42578125" style="2702" customWidth="1"/>
    <col min="3333" max="3333" width="14.140625" style="2702" customWidth="1"/>
    <col min="3334" max="3347" width="6" style="2702" customWidth="1"/>
    <col min="3348" max="3585" width="9.140625" style="2702"/>
    <col min="3586" max="3586" width="3.7109375" style="2702" customWidth="1"/>
    <col min="3587" max="3587" width="14.42578125" style="2702" customWidth="1"/>
    <col min="3588" max="3588" width="5.42578125" style="2702" customWidth="1"/>
    <col min="3589" max="3589" width="14.140625" style="2702" customWidth="1"/>
    <col min="3590" max="3603" width="6" style="2702" customWidth="1"/>
    <col min="3604" max="3841" width="9.140625" style="2702"/>
    <col min="3842" max="3842" width="3.7109375" style="2702" customWidth="1"/>
    <col min="3843" max="3843" width="14.42578125" style="2702" customWidth="1"/>
    <col min="3844" max="3844" width="5.42578125" style="2702" customWidth="1"/>
    <col min="3845" max="3845" width="14.140625" style="2702" customWidth="1"/>
    <col min="3846" max="3859" width="6" style="2702" customWidth="1"/>
    <col min="3860" max="4097" width="9.140625" style="2702"/>
    <col min="4098" max="4098" width="3.7109375" style="2702" customWidth="1"/>
    <col min="4099" max="4099" width="14.42578125" style="2702" customWidth="1"/>
    <col min="4100" max="4100" width="5.42578125" style="2702" customWidth="1"/>
    <col min="4101" max="4101" width="14.140625" style="2702" customWidth="1"/>
    <col min="4102" max="4115" width="6" style="2702" customWidth="1"/>
    <col min="4116" max="4353" width="9.140625" style="2702"/>
    <col min="4354" max="4354" width="3.7109375" style="2702" customWidth="1"/>
    <col min="4355" max="4355" width="14.42578125" style="2702" customWidth="1"/>
    <col min="4356" max="4356" width="5.42578125" style="2702" customWidth="1"/>
    <col min="4357" max="4357" width="14.140625" style="2702" customWidth="1"/>
    <col min="4358" max="4371" width="6" style="2702" customWidth="1"/>
    <col min="4372" max="4609" width="9.140625" style="2702"/>
    <col min="4610" max="4610" width="3.7109375" style="2702" customWidth="1"/>
    <col min="4611" max="4611" width="14.42578125" style="2702" customWidth="1"/>
    <col min="4612" max="4612" width="5.42578125" style="2702" customWidth="1"/>
    <col min="4613" max="4613" width="14.140625" style="2702" customWidth="1"/>
    <col min="4614" max="4627" width="6" style="2702" customWidth="1"/>
    <col min="4628" max="4865" width="9.140625" style="2702"/>
    <col min="4866" max="4866" width="3.7109375" style="2702" customWidth="1"/>
    <col min="4867" max="4867" width="14.42578125" style="2702" customWidth="1"/>
    <col min="4868" max="4868" width="5.42578125" style="2702" customWidth="1"/>
    <col min="4869" max="4869" width="14.140625" style="2702" customWidth="1"/>
    <col min="4870" max="4883" width="6" style="2702" customWidth="1"/>
    <col min="4884" max="5121" width="9.140625" style="2702"/>
    <col min="5122" max="5122" width="3.7109375" style="2702" customWidth="1"/>
    <col min="5123" max="5123" width="14.42578125" style="2702" customWidth="1"/>
    <col min="5124" max="5124" width="5.42578125" style="2702" customWidth="1"/>
    <col min="5125" max="5125" width="14.140625" style="2702" customWidth="1"/>
    <col min="5126" max="5139" width="6" style="2702" customWidth="1"/>
    <col min="5140" max="5377" width="9.140625" style="2702"/>
    <col min="5378" max="5378" width="3.7109375" style="2702" customWidth="1"/>
    <col min="5379" max="5379" width="14.42578125" style="2702" customWidth="1"/>
    <col min="5380" max="5380" width="5.42578125" style="2702" customWidth="1"/>
    <col min="5381" max="5381" width="14.140625" style="2702" customWidth="1"/>
    <col min="5382" max="5395" width="6" style="2702" customWidth="1"/>
    <col min="5396" max="5633" width="9.140625" style="2702"/>
    <col min="5634" max="5634" width="3.7109375" style="2702" customWidth="1"/>
    <col min="5635" max="5635" width="14.42578125" style="2702" customWidth="1"/>
    <col min="5636" max="5636" width="5.42578125" style="2702" customWidth="1"/>
    <col min="5637" max="5637" width="14.140625" style="2702" customWidth="1"/>
    <col min="5638" max="5651" width="6" style="2702" customWidth="1"/>
    <col min="5652" max="5889" width="9.140625" style="2702"/>
    <col min="5890" max="5890" width="3.7109375" style="2702" customWidth="1"/>
    <col min="5891" max="5891" width="14.42578125" style="2702" customWidth="1"/>
    <col min="5892" max="5892" width="5.42578125" style="2702" customWidth="1"/>
    <col min="5893" max="5893" width="14.140625" style="2702" customWidth="1"/>
    <col min="5894" max="5907" width="6" style="2702" customWidth="1"/>
    <col min="5908" max="6145" width="9.140625" style="2702"/>
    <col min="6146" max="6146" width="3.7109375" style="2702" customWidth="1"/>
    <col min="6147" max="6147" width="14.42578125" style="2702" customWidth="1"/>
    <col min="6148" max="6148" width="5.42578125" style="2702" customWidth="1"/>
    <col min="6149" max="6149" width="14.140625" style="2702" customWidth="1"/>
    <col min="6150" max="6163" width="6" style="2702" customWidth="1"/>
    <col min="6164" max="6401" width="9.140625" style="2702"/>
    <col min="6402" max="6402" width="3.7109375" style="2702" customWidth="1"/>
    <col min="6403" max="6403" width="14.42578125" style="2702" customWidth="1"/>
    <col min="6404" max="6404" width="5.42578125" style="2702" customWidth="1"/>
    <col min="6405" max="6405" width="14.140625" style="2702" customWidth="1"/>
    <col min="6406" max="6419" width="6" style="2702" customWidth="1"/>
    <col min="6420" max="6657" width="9.140625" style="2702"/>
    <col min="6658" max="6658" width="3.7109375" style="2702" customWidth="1"/>
    <col min="6659" max="6659" width="14.42578125" style="2702" customWidth="1"/>
    <col min="6660" max="6660" width="5.42578125" style="2702" customWidth="1"/>
    <col min="6661" max="6661" width="14.140625" style="2702" customWidth="1"/>
    <col min="6662" max="6675" width="6" style="2702" customWidth="1"/>
    <col min="6676" max="6913" width="9.140625" style="2702"/>
    <col min="6914" max="6914" width="3.7109375" style="2702" customWidth="1"/>
    <col min="6915" max="6915" width="14.42578125" style="2702" customWidth="1"/>
    <col min="6916" max="6916" width="5.42578125" style="2702" customWidth="1"/>
    <col min="6917" max="6917" width="14.140625" style="2702" customWidth="1"/>
    <col min="6918" max="6931" width="6" style="2702" customWidth="1"/>
    <col min="6932" max="7169" width="9.140625" style="2702"/>
    <col min="7170" max="7170" width="3.7109375" style="2702" customWidth="1"/>
    <col min="7171" max="7171" width="14.42578125" style="2702" customWidth="1"/>
    <col min="7172" max="7172" width="5.42578125" style="2702" customWidth="1"/>
    <col min="7173" max="7173" width="14.140625" style="2702" customWidth="1"/>
    <col min="7174" max="7187" width="6" style="2702" customWidth="1"/>
    <col min="7188" max="7425" width="9.140625" style="2702"/>
    <col min="7426" max="7426" width="3.7109375" style="2702" customWidth="1"/>
    <col min="7427" max="7427" width="14.42578125" style="2702" customWidth="1"/>
    <col min="7428" max="7428" width="5.42578125" style="2702" customWidth="1"/>
    <col min="7429" max="7429" width="14.140625" style="2702" customWidth="1"/>
    <col min="7430" max="7443" width="6" style="2702" customWidth="1"/>
    <col min="7444" max="7681" width="9.140625" style="2702"/>
    <col min="7682" max="7682" width="3.7109375" style="2702" customWidth="1"/>
    <col min="7683" max="7683" width="14.42578125" style="2702" customWidth="1"/>
    <col min="7684" max="7684" width="5.42578125" style="2702" customWidth="1"/>
    <col min="7685" max="7685" width="14.140625" style="2702" customWidth="1"/>
    <col min="7686" max="7699" width="6" style="2702" customWidth="1"/>
    <col min="7700" max="7937" width="9.140625" style="2702"/>
    <col min="7938" max="7938" width="3.7109375" style="2702" customWidth="1"/>
    <col min="7939" max="7939" width="14.42578125" style="2702" customWidth="1"/>
    <col min="7940" max="7940" width="5.42578125" style="2702" customWidth="1"/>
    <col min="7941" max="7941" width="14.140625" style="2702" customWidth="1"/>
    <col min="7942" max="7955" width="6" style="2702" customWidth="1"/>
    <col min="7956" max="8193" width="9.140625" style="2702"/>
    <col min="8194" max="8194" width="3.7109375" style="2702" customWidth="1"/>
    <col min="8195" max="8195" width="14.42578125" style="2702" customWidth="1"/>
    <col min="8196" max="8196" width="5.42578125" style="2702" customWidth="1"/>
    <col min="8197" max="8197" width="14.140625" style="2702" customWidth="1"/>
    <col min="8198" max="8211" width="6" style="2702" customWidth="1"/>
    <col min="8212" max="8449" width="9.140625" style="2702"/>
    <col min="8450" max="8450" width="3.7109375" style="2702" customWidth="1"/>
    <col min="8451" max="8451" width="14.42578125" style="2702" customWidth="1"/>
    <col min="8452" max="8452" width="5.42578125" style="2702" customWidth="1"/>
    <col min="8453" max="8453" width="14.140625" style="2702" customWidth="1"/>
    <col min="8454" max="8467" width="6" style="2702" customWidth="1"/>
    <col min="8468" max="8705" width="9.140625" style="2702"/>
    <col min="8706" max="8706" width="3.7109375" style="2702" customWidth="1"/>
    <col min="8707" max="8707" width="14.42578125" style="2702" customWidth="1"/>
    <col min="8708" max="8708" width="5.42578125" style="2702" customWidth="1"/>
    <col min="8709" max="8709" width="14.140625" style="2702" customWidth="1"/>
    <col min="8710" max="8723" width="6" style="2702" customWidth="1"/>
    <col min="8724" max="8961" width="9.140625" style="2702"/>
    <col min="8962" max="8962" width="3.7109375" style="2702" customWidth="1"/>
    <col min="8963" max="8963" width="14.42578125" style="2702" customWidth="1"/>
    <col min="8964" max="8964" width="5.42578125" style="2702" customWidth="1"/>
    <col min="8965" max="8965" width="14.140625" style="2702" customWidth="1"/>
    <col min="8966" max="8979" width="6" style="2702" customWidth="1"/>
    <col min="8980" max="9217" width="9.140625" style="2702"/>
    <col min="9218" max="9218" width="3.7109375" style="2702" customWidth="1"/>
    <col min="9219" max="9219" width="14.42578125" style="2702" customWidth="1"/>
    <col min="9220" max="9220" width="5.42578125" style="2702" customWidth="1"/>
    <col min="9221" max="9221" width="14.140625" style="2702" customWidth="1"/>
    <col min="9222" max="9235" width="6" style="2702" customWidth="1"/>
    <col min="9236" max="9473" width="9.140625" style="2702"/>
    <col min="9474" max="9474" width="3.7109375" style="2702" customWidth="1"/>
    <col min="9475" max="9475" width="14.42578125" style="2702" customWidth="1"/>
    <col min="9476" max="9476" width="5.42578125" style="2702" customWidth="1"/>
    <col min="9477" max="9477" width="14.140625" style="2702" customWidth="1"/>
    <col min="9478" max="9491" width="6" style="2702" customWidth="1"/>
    <col min="9492" max="9729" width="9.140625" style="2702"/>
    <col min="9730" max="9730" width="3.7109375" style="2702" customWidth="1"/>
    <col min="9731" max="9731" width="14.42578125" style="2702" customWidth="1"/>
    <col min="9732" max="9732" width="5.42578125" style="2702" customWidth="1"/>
    <col min="9733" max="9733" width="14.140625" style="2702" customWidth="1"/>
    <col min="9734" max="9747" width="6" style="2702" customWidth="1"/>
    <col min="9748" max="9985" width="9.140625" style="2702"/>
    <col min="9986" max="9986" width="3.7109375" style="2702" customWidth="1"/>
    <col min="9987" max="9987" width="14.42578125" style="2702" customWidth="1"/>
    <col min="9988" max="9988" width="5.42578125" style="2702" customWidth="1"/>
    <col min="9989" max="9989" width="14.140625" style="2702" customWidth="1"/>
    <col min="9990" max="10003" width="6" style="2702" customWidth="1"/>
    <col min="10004" max="10241" width="9.140625" style="2702"/>
    <col min="10242" max="10242" width="3.7109375" style="2702" customWidth="1"/>
    <col min="10243" max="10243" width="14.42578125" style="2702" customWidth="1"/>
    <col min="10244" max="10244" width="5.42578125" style="2702" customWidth="1"/>
    <col min="10245" max="10245" width="14.140625" style="2702" customWidth="1"/>
    <col min="10246" max="10259" width="6" style="2702" customWidth="1"/>
    <col min="10260" max="10497" width="9.140625" style="2702"/>
    <col min="10498" max="10498" width="3.7109375" style="2702" customWidth="1"/>
    <col min="10499" max="10499" width="14.42578125" style="2702" customWidth="1"/>
    <col min="10500" max="10500" width="5.42578125" style="2702" customWidth="1"/>
    <col min="10501" max="10501" width="14.140625" style="2702" customWidth="1"/>
    <col min="10502" max="10515" width="6" style="2702" customWidth="1"/>
    <col min="10516" max="10753" width="9.140625" style="2702"/>
    <col min="10754" max="10754" width="3.7109375" style="2702" customWidth="1"/>
    <col min="10755" max="10755" width="14.42578125" style="2702" customWidth="1"/>
    <col min="10756" max="10756" width="5.42578125" style="2702" customWidth="1"/>
    <col min="10757" max="10757" width="14.140625" style="2702" customWidth="1"/>
    <col min="10758" max="10771" width="6" style="2702" customWidth="1"/>
    <col min="10772" max="11009" width="9.140625" style="2702"/>
    <col min="11010" max="11010" width="3.7109375" style="2702" customWidth="1"/>
    <col min="11011" max="11011" width="14.42578125" style="2702" customWidth="1"/>
    <col min="11012" max="11012" width="5.42578125" style="2702" customWidth="1"/>
    <col min="11013" max="11013" width="14.140625" style="2702" customWidth="1"/>
    <col min="11014" max="11027" width="6" style="2702" customWidth="1"/>
    <col min="11028" max="11265" width="9.140625" style="2702"/>
    <col min="11266" max="11266" width="3.7109375" style="2702" customWidth="1"/>
    <col min="11267" max="11267" width="14.42578125" style="2702" customWidth="1"/>
    <col min="11268" max="11268" width="5.42578125" style="2702" customWidth="1"/>
    <col min="11269" max="11269" width="14.140625" style="2702" customWidth="1"/>
    <col min="11270" max="11283" width="6" style="2702" customWidth="1"/>
    <col min="11284" max="11521" width="9.140625" style="2702"/>
    <col min="11522" max="11522" width="3.7109375" style="2702" customWidth="1"/>
    <col min="11523" max="11523" width="14.42578125" style="2702" customWidth="1"/>
    <col min="11524" max="11524" width="5.42578125" style="2702" customWidth="1"/>
    <col min="11525" max="11525" width="14.140625" style="2702" customWidth="1"/>
    <col min="11526" max="11539" width="6" style="2702" customWidth="1"/>
    <col min="11540" max="11777" width="9.140625" style="2702"/>
    <col min="11778" max="11778" width="3.7109375" style="2702" customWidth="1"/>
    <col min="11779" max="11779" width="14.42578125" style="2702" customWidth="1"/>
    <col min="11780" max="11780" width="5.42578125" style="2702" customWidth="1"/>
    <col min="11781" max="11781" width="14.140625" style="2702" customWidth="1"/>
    <col min="11782" max="11795" width="6" style="2702" customWidth="1"/>
    <col min="11796" max="12033" width="9.140625" style="2702"/>
    <col min="12034" max="12034" width="3.7109375" style="2702" customWidth="1"/>
    <col min="12035" max="12035" width="14.42578125" style="2702" customWidth="1"/>
    <col min="12036" max="12036" width="5.42578125" style="2702" customWidth="1"/>
    <col min="12037" max="12037" width="14.140625" style="2702" customWidth="1"/>
    <col min="12038" max="12051" width="6" style="2702" customWidth="1"/>
    <col min="12052" max="12289" width="9.140625" style="2702"/>
    <col min="12290" max="12290" width="3.7109375" style="2702" customWidth="1"/>
    <col min="12291" max="12291" width="14.42578125" style="2702" customWidth="1"/>
    <col min="12292" max="12292" width="5.42578125" style="2702" customWidth="1"/>
    <col min="12293" max="12293" width="14.140625" style="2702" customWidth="1"/>
    <col min="12294" max="12307" width="6" style="2702" customWidth="1"/>
    <col min="12308" max="12545" width="9.140625" style="2702"/>
    <col min="12546" max="12546" width="3.7109375" style="2702" customWidth="1"/>
    <col min="12547" max="12547" width="14.42578125" style="2702" customWidth="1"/>
    <col min="12548" max="12548" width="5.42578125" style="2702" customWidth="1"/>
    <col min="12549" max="12549" width="14.140625" style="2702" customWidth="1"/>
    <col min="12550" max="12563" width="6" style="2702" customWidth="1"/>
    <col min="12564" max="12801" width="9.140625" style="2702"/>
    <col min="12802" max="12802" width="3.7109375" style="2702" customWidth="1"/>
    <col min="12803" max="12803" width="14.42578125" style="2702" customWidth="1"/>
    <col min="12804" max="12804" width="5.42578125" style="2702" customWidth="1"/>
    <col min="12805" max="12805" width="14.140625" style="2702" customWidth="1"/>
    <col min="12806" max="12819" width="6" style="2702" customWidth="1"/>
    <col min="12820" max="13057" width="9.140625" style="2702"/>
    <col min="13058" max="13058" width="3.7109375" style="2702" customWidth="1"/>
    <col min="13059" max="13059" width="14.42578125" style="2702" customWidth="1"/>
    <col min="13060" max="13060" width="5.42578125" style="2702" customWidth="1"/>
    <col min="13061" max="13061" width="14.140625" style="2702" customWidth="1"/>
    <col min="13062" max="13075" width="6" style="2702" customWidth="1"/>
    <col min="13076" max="13313" width="9.140625" style="2702"/>
    <col min="13314" max="13314" width="3.7109375" style="2702" customWidth="1"/>
    <col min="13315" max="13315" width="14.42578125" style="2702" customWidth="1"/>
    <col min="13316" max="13316" width="5.42578125" style="2702" customWidth="1"/>
    <col min="13317" max="13317" width="14.140625" style="2702" customWidth="1"/>
    <col min="13318" max="13331" width="6" style="2702" customWidth="1"/>
    <col min="13332" max="13569" width="9.140625" style="2702"/>
    <col min="13570" max="13570" width="3.7109375" style="2702" customWidth="1"/>
    <col min="13571" max="13571" width="14.42578125" style="2702" customWidth="1"/>
    <col min="13572" max="13572" width="5.42578125" style="2702" customWidth="1"/>
    <col min="13573" max="13573" width="14.140625" style="2702" customWidth="1"/>
    <col min="13574" max="13587" width="6" style="2702" customWidth="1"/>
    <col min="13588" max="13825" width="9.140625" style="2702"/>
    <col min="13826" max="13826" width="3.7109375" style="2702" customWidth="1"/>
    <col min="13827" max="13827" width="14.42578125" style="2702" customWidth="1"/>
    <col min="13828" max="13828" width="5.42578125" style="2702" customWidth="1"/>
    <col min="13829" max="13829" width="14.140625" style="2702" customWidth="1"/>
    <col min="13830" max="13843" width="6" style="2702" customWidth="1"/>
    <col min="13844" max="14081" width="9.140625" style="2702"/>
    <col min="14082" max="14082" width="3.7109375" style="2702" customWidth="1"/>
    <col min="14083" max="14083" width="14.42578125" style="2702" customWidth="1"/>
    <col min="14084" max="14084" width="5.42578125" style="2702" customWidth="1"/>
    <col min="14085" max="14085" width="14.140625" style="2702" customWidth="1"/>
    <col min="14086" max="14099" width="6" style="2702" customWidth="1"/>
    <col min="14100" max="14337" width="9.140625" style="2702"/>
    <col min="14338" max="14338" width="3.7109375" style="2702" customWidth="1"/>
    <col min="14339" max="14339" width="14.42578125" style="2702" customWidth="1"/>
    <col min="14340" max="14340" width="5.42578125" style="2702" customWidth="1"/>
    <col min="14341" max="14341" width="14.140625" style="2702" customWidth="1"/>
    <col min="14342" max="14355" width="6" style="2702" customWidth="1"/>
    <col min="14356" max="14593" width="9.140625" style="2702"/>
    <col min="14594" max="14594" width="3.7109375" style="2702" customWidth="1"/>
    <col min="14595" max="14595" width="14.42578125" style="2702" customWidth="1"/>
    <col min="14596" max="14596" width="5.42578125" style="2702" customWidth="1"/>
    <col min="14597" max="14597" width="14.140625" style="2702" customWidth="1"/>
    <col min="14598" max="14611" width="6" style="2702" customWidth="1"/>
    <col min="14612" max="14849" width="9.140625" style="2702"/>
    <col min="14850" max="14850" width="3.7109375" style="2702" customWidth="1"/>
    <col min="14851" max="14851" width="14.42578125" style="2702" customWidth="1"/>
    <col min="14852" max="14852" width="5.42578125" style="2702" customWidth="1"/>
    <col min="14853" max="14853" width="14.140625" style="2702" customWidth="1"/>
    <col min="14854" max="14867" width="6" style="2702" customWidth="1"/>
    <col min="14868" max="15105" width="9.140625" style="2702"/>
    <col min="15106" max="15106" width="3.7109375" style="2702" customWidth="1"/>
    <col min="15107" max="15107" width="14.42578125" style="2702" customWidth="1"/>
    <col min="15108" max="15108" width="5.42578125" style="2702" customWidth="1"/>
    <col min="15109" max="15109" width="14.140625" style="2702" customWidth="1"/>
    <col min="15110" max="15123" width="6" style="2702" customWidth="1"/>
    <col min="15124" max="15361" width="9.140625" style="2702"/>
    <col min="15362" max="15362" width="3.7109375" style="2702" customWidth="1"/>
    <col min="15363" max="15363" width="14.42578125" style="2702" customWidth="1"/>
    <col min="15364" max="15364" width="5.42578125" style="2702" customWidth="1"/>
    <col min="15365" max="15365" width="14.140625" style="2702" customWidth="1"/>
    <col min="15366" max="15379" width="6" style="2702" customWidth="1"/>
    <col min="15380" max="15617" width="9.140625" style="2702"/>
    <col min="15618" max="15618" width="3.7109375" style="2702" customWidth="1"/>
    <col min="15619" max="15619" width="14.42578125" style="2702" customWidth="1"/>
    <col min="15620" max="15620" width="5.42578125" style="2702" customWidth="1"/>
    <col min="15621" max="15621" width="14.140625" style="2702" customWidth="1"/>
    <col min="15622" max="15635" width="6" style="2702" customWidth="1"/>
    <col min="15636" max="15873" width="9.140625" style="2702"/>
    <col min="15874" max="15874" width="3.7109375" style="2702" customWidth="1"/>
    <col min="15875" max="15875" width="14.42578125" style="2702" customWidth="1"/>
    <col min="15876" max="15876" width="5.42578125" style="2702" customWidth="1"/>
    <col min="15877" max="15877" width="14.140625" style="2702" customWidth="1"/>
    <col min="15878" max="15891" width="6" style="2702" customWidth="1"/>
    <col min="15892" max="16129" width="9.140625" style="2702"/>
    <col min="16130" max="16130" width="3.7109375" style="2702" customWidth="1"/>
    <col min="16131" max="16131" width="14.42578125" style="2702" customWidth="1"/>
    <col min="16132" max="16132" width="5.42578125" style="2702" customWidth="1"/>
    <col min="16133" max="16133" width="14.140625" style="2702" customWidth="1"/>
    <col min="16134" max="16147" width="6" style="2702" customWidth="1"/>
    <col min="16148" max="16384" width="9.140625" style="2702"/>
  </cols>
  <sheetData>
    <row r="1" spans="1:22" ht="12.75" customHeight="1" x14ac:dyDescent="0.2">
      <c r="A1" s="686"/>
      <c r="B1" s="2641"/>
      <c r="C1" s="2641"/>
      <c r="D1" s="2642"/>
      <c r="E1" s="2642"/>
      <c r="F1" s="2642"/>
      <c r="G1" s="2642"/>
      <c r="H1" s="2642"/>
      <c r="I1" s="2642"/>
      <c r="J1" s="2642"/>
      <c r="K1" s="2642"/>
      <c r="L1" s="2642"/>
      <c r="M1" s="2642"/>
      <c r="N1" s="2642"/>
      <c r="O1" s="2642"/>
      <c r="P1" s="2642"/>
      <c r="Q1" s="2642"/>
      <c r="R1" s="2642"/>
      <c r="S1" s="2642"/>
      <c r="T1" s="2642"/>
    </row>
    <row r="2" spans="1:22" ht="12.75" customHeight="1" x14ac:dyDescent="0.2">
      <c r="A2" s="686">
        <v>1</v>
      </c>
      <c r="B2" s="686" t="s">
        <v>100</v>
      </c>
      <c r="C2" s="686">
        <v>72</v>
      </c>
      <c r="D2" s="4140" t="s">
        <v>1456</v>
      </c>
      <c r="E2" s="4141"/>
      <c r="F2" s="4141"/>
      <c r="G2" s="4141"/>
      <c r="H2" s="1767"/>
      <c r="I2" s="1767"/>
      <c r="J2" s="1767"/>
      <c r="K2" s="1767"/>
      <c r="L2" s="1767"/>
      <c r="M2" s="1767"/>
      <c r="N2" s="1767"/>
      <c r="O2" s="1767"/>
      <c r="P2" s="1767"/>
      <c r="Q2" s="1767"/>
      <c r="R2" s="1767"/>
      <c r="S2" s="2766"/>
      <c r="T2" s="3363"/>
      <c r="U2" s="3364"/>
      <c r="V2" s="3364"/>
    </row>
    <row r="3" spans="1:22" ht="12.75" customHeight="1" x14ac:dyDescent="0.2">
      <c r="A3" s="686">
        <v>2</v>
      </c>
      <c r="B3" s="686" t="s">
        <v>102</v>
      </c>
      <c r="C3" s="686"/>
      <c r="D3" s="4140" t="s">
        <v>1457</v>
      </c>
      <c r="E3" s="4194"/>
      <c r="F3" s="4194"/>
      <c r="G3" s="4194"/>
      <c r="H3" s="4194"/>
      <c r="I3" s="4194"/>
      <c r="J3" s="4194"/>
      <c r="K3" s="4194"/>
      <c r="L3" s="4194"/>
      <c r="M3" s="4194"/>
      <c r="N3" s="4194"/>
      <c r="O3" s="4194"/>
      <c r="P3" s="4194"/>
      <c r="Q3" s="4194"/>
      <c r="R3" s="4194"/>
      <c r="S3" s="4434"/>
      <c r="T3" s="2642"/>
    </row>
    <row r="4" spans="1:22" ht="12.75" customHeight="1" x14ac:dyDescent="0.2">
      <c r="A4" s="686">
        <v>3</v>
      </c>
      <c r="B4" s="686" t="s">
        <v>4</v>
      </c>
      <c r="C4" s="686"/>
      <c r="D4" s="4140" t="s">
        <v>1458</v>
      </c>
      <c r="E4" s="4442"/>
      <c r="F4" s="4442"/>
      <c r="G4" s="4442"/>
      <c r="H4" s="4442"/>
      <c r="I4" s="4442"/>
      <c r="J4" s="4442"/>
      <c r="K4" s="4442"/>
      <c r="L4" s="4442"/>
      <c r="M4" s="4442"/>
      <c r="N4" s="4442"/>
      <c r="O4" s="4442"/>
      <c r="P4" s="4442"/>
      <c r="Q4" s="4442"/>
      <c r="R4" s="4442"/>
      <c r="S4" s="4443"/>
      <c r="T4" s="2642"/>
    </row>
    <row r="5" spans="1:22" ht="12.75" customHeight="1" x14ac:dyDescent="0.2">
      <c r="C5" s="12"/>
      <c r="D5" s="3"/>
      <c r="E5" s="3"/>
      <c r="F5" s="3"/>
      <c r="G5" s="3"/>
      <c r="H5" s="3"/>
      <c r="I5" s="3"/>
      <c r="J5" s="3"/>
      <c r="K5" s="3"/>
      <c r="L5" s="3"/>
      <c r="M5" s="3"/>
      <c r="N5" s="3"/>
      <c r="O5" s="3"/>
      <c r="P5" s="3"/>
      <c r="Q5" s="3"/>
      <c r="R5" s="3"/>
      <c r="S5" s="2642"/>
      <c r="T5" s="2642"/>
    </row>
    <row r="6" spans="1:22" ht="12.75" customHeight="1" x14ac:dyDescent="0.2">
      <c r="A6" s="3367"/>
      <c r="B6" s="12"/>
      <c r="C6" s="12"/>
      <c r="D6" s="3"/>
      <c r="E6" s="3"/>
      <c r="F6" s="3"/>
      <c r="G6" s="3"/>
      <c r="H6" s="3"/>
      <c r="I6" s="3"/>
      <c r="J6" s="3"/>
      <c r="K6" s="3"/>
      <c r="L6" s="3"/>
      <c r="M6" s="3"/>
      <c r="N6" s="3"/>
      <c r="O6" s="3"/>
      <c r="P6" s="3"/>
      <c r="Q6" s="3"/>
      <c r="R6" s="3"/>
      <c r="S6" s="2642"/>
      <c r="T6" s="2642"/>
    </row>
    <row r="7" spans="1:22" ht="12.75" customHeight="1" x14ac:dyDescent="0.2">
      <c r="A7" s="686">
        <v>5</v>
      </c>
      <c r="B7" s="12" t="s">
        <v>5</v>
      </c>
      <c r="D7" s="756" t="s">
        <v>112</v>
      </c>
      <c r="E7" s="1381" t="s">
        <v>1459</v>
      </c>
      <c r="F7" s="1381"/>
      <c r="G7" s="1381"/>
      <c r="H7" s="1381"/>
      <c r="I7" s="1381"/>
      <c r="J7" s="1381"/>
      <c r="K7" s="1381"/>
      <c r="L7" s="18"/>
      <c r="M7" s="17"/>
      <c r="N7" s="17"/>
      <c r="O7" s="17"/>
      <c r="P7" s="17"/>
      <c r="Q7" s="17"/>
      <c r="R7" s="17"/>
    </row>
    <row r="8" spans="1:22" ht="11.25" customHeight="1" x14ac:dyDescent="0.2">
      <c r="E8" s="3368" t="s">
        <v>139</v>
      </c>
      <c r="F8" s="3369" t="s">
        <v>140</v>
      </c>
      <c r="G8" s="3369" t="s">
        <v>141</v>
      </c>
      <c r="H8" s="3369" t="s">
        <v>142</v>
      </c>
      <c r="I8" s="3369" t="s">
        <v>143</v>
      </c>
      <c r="J8" s="3369" t="s">
        <v>144</v>
      </c>
      <c r="K8" s="3369" t="s">
        <v>145</v>
      </c>
      <c r="L8" s="3368" t="s">
        <v>8</v>
      </c>
      <c r="M8" s="3370" t="s">
        <v>9</v>
      </c>
      <c r="N8" s="3370" t="s">
        <v>10</v>
      </c>
      <c r="O8" s="3370" t="s">
        <v>11</v>
      </c>
      <c r="P8" s="3370" t="s">
        <v>12</v>
      </c>
      <c r="Q8" s="3370" t="s">
        <v>13</v>
      </c>
      <c r="R8" s="1775" t="s">
        <v>14</v>
      </c>
      <c r="S8" s="2052" t="s">
        <v>15</v>
      </c>
    </row>
    <row r="9" spans="1:22" ht="13.15" customHeight="1" x14ac:dyDescent="0.2">
      <c r="C9" s="6"/>
      <c r="D9" s="3371" t="s">
        <v>1460</v>
      </c>
      <c r="E9" s="3372">
        <v>4</v>
      </c>
      <c r="F9" s="3372">
        <v>6</v>
      </c>
      <c r="G9" s="3372">
        <v>6</v>
      </c>
      <c r="H9" s="3372">
        <v>4</v>
      </c>
      <c r="I9" s="3372">
        <v>10</v>
      </c>
      <c r="J9" s="3372">
        <v>12</v>
      </c>
      <c r="K9" s="3372">
        <v>9</v>
      </c>
      <c r="L9" s="3372">
        <v>4</v>
      </c>
      <c r="M9" s="3372">
        <v>1</v>
      </c>
      <c r="N9" s="3372">
        <v>7</v>
      </c>
      <c r="O9" s="3372">
        <v>15</v>
      </c>
      <c r="P9" s="3372">
        <v>3</v>
      </c>
      <c r="Q9" s="3372">
        <v>7</v>
      </c>
      <c r="R9" s="722">
        <v>6</v>
      </c>
      <c r="S9" s="3724">
        <v>6</v>
      </c>
      <c r="T9" s="3373"/>
    </row>
    <row r="10" spans="1:22" ht="13.15" customHeight="1" x14ac:dyDescent="0.2">
      <c r="D10" s="3374" t="s">
        <v>1461</v>
      </c>
      <c r="E10" s="3375">
        <f>30+25+1+1</f>
        <v>57</v>
      </c>
      <c r="F10" s="3375">
        <f>30+18+0.08+2+7+5</f>
        <v>62.08</v>
      </c>
      <c r="G10" s="3375">
        <f>7.1+3.5+3.5+5</f>
        <v>19.100000000000001</v>
      </c>
      <c r="H10" s="3375">
        <f>10+25+25.8+10+22.4+1.7</f>
        <v>94.899999999999991</v>
      </c>
      <c r="I10" s="3375">
        <f>278+10+10+10+7.5+27+5+7.1+26.3+6.5</f>
        <v>387.40000000000003</v>
      </c>
      <c r="J10" s="3375">
        <f>13+22+31.67+10+81.256+2.1+172.327+11.756+10+1+14+805</f>
        <v>1174.1089999999999</v>
      </c>
      <c r="K10" s="3375">
        <f>40+60+20+14+10+20+300+8+305</f>
        <v>777</v>
      </c>
      <c r="L10" s="3375">
        <f>4+24+3+300</f>
        <v>331</v>
      </c>
      <c r="M10" s="3375" t="s">
        <v>1462</v>
      </c>
      <c r="N10" s="3375">
        <f>1.2+15+13.6+100+5+10.636+125.2</f>
        <v>270.63600000000002</v>
      </c>
      <c r="O10" s="3375">
        <f>10+0.646+21.2+3.9+10.7+120+96+250+22+13+5+17.9+180+12+4.02+12</f>
        <v>778.36599999999999</v>
      </c>
      <c r="P10" s="3375">
        <f>16.585+17+8.4+9.02</f>
        <v>51.004999999999995</v>
      </c>
      <c r="Q10" s="3375">
        <v>189</v>
      </c>
      <c r="R10" s="767">
        <v>199</v>
      </c>
      <c r="S10" s="3725">
        <v>91</v>
      </c>
    </row>
    <row r="11" spans="1:22" ht="11.25" customHeight="1" x14ac:dyDescent="0.2">
      <c r="A11" s="3366"/>
      <c r="D11" s="3376"/>
      <c r="E11" s="1459"/>
      <c r="F11" s="3377"/>
      <c r="G11" s="3377"/>
      <c r="H11" s="3377"/>
      <c r="I11" s="3377"/>
      <c r="J11" s="3377"/>
      <c r="K11" s="3378"/>
      <c r="L11" s="3378"/>
      <c r="M11" s="3378"/>
      <c r="N11" s="3378"/>
      <c r="O11" s="3379"/>
      <c r="P11" s="3379"/>
      <c r="Q11" s="3379"/>
      <c r="R11" s="17"/>
    </row>
    <row r="12" spans="1:22" ht="12.75" x14ac:dyDescent="0.2">
      <c r="A12" s="686">
        <v>6</v>
      </c>
      <c r="B12" s="686" t="s">
        <v>90</v>
      </c>
      <c r="D12" s="11"/>
      <c r="E12" s="11"/>
      <c r="F12" s="11"/>
      <c r="G12" s="11"/>
      <c r="H12" s="11"/>
      <c r="I12" s="11"/>
      <c r="J12" s="17"/>
      <c r="K12" s="17"/>
      <c r="L12" s="17"/>
      <c r="M12" s="17"/>
      <c r="N12" s="17"/>
      <c r="O12" s="17"/>
      <c r="P12" s="17"/>
      <c r="Q12" s="17"/>
      <c r="R12" s="17"/>
    </row>
    <row r="13" spans="1:22" ht="12.75" x14ac:dyDescent="0.2">
      <c r="A13" s="3366"/>
      <c r="C13" s="686"/>
      <c r="D13" s="11"/>
      <c r="E13" s="11"/>
      <c r="F13" s="11"/>
      <c r="G13" s="11"/>
      <c r="H13" s="11"/>
      <c r="I13" s="11"/>
      <c r="J13" s="11"/>
      <c r="K13" s="11"/>
      <c r="L13" s="11"/>
      <c r="M13" s="11"/>
      <c r="N13" s="11"/>
      <c r="O13" s="11"/>
      <c r="P13" s="11"/>
      <c r="Q13" s="11"/>
      <c r="R13" s="11"/>
    </row>
    <row r="14" spans="1:22" x14ac:dyDescent="0.2">
      <c r="D14" s="11"/>
      <c r="E14" s="11"/>
      <c r="F14" s="11"/>
      <c r="G14" s="11"/>
      <c r="H14" s="11"/>
      <c r="I14" s="11"/>
      <c r="J14" s="11"/>
      <c r="K14" s="11"/>
      <c r="L14" s="11"/>
      <c r="M14" s="11"/>
      <c r="N14" s="11"/>
      <c r="O14" s="11"/>
      <c r="P14" s="11"/>
      <c r="Q14" s="11"/>
      <c r="R14" s="11"/>
    </row>
    <row r="15" spans="1:22" x14ac:dyDescent="0.2">
      <c r="D15" s="11"/>
      <c r="E15" s="11"/>
      <c r="F15" s="11"/>
      <c r="G15" s="11"/>
      <c r="H15" s="11"/>
      <c r="I15" s="11"/>
      <c r="J15" s="11"/>
      <c r="K15" s="11"/>
      <c r="L15" s="11"/>
      <c r="M15" s="11"/>
      <c r="N15" s="11"/>
      <c r="O15" s="11"/>
      <c r="P15" s="11"/>
      <c r="Q15" s="11"/>
      <c r="R15" s="11"/>
    </row>
    <row r="16" spans="1:22" x14ac:dyDescent="0.2">
      <c r="A16" s="2702"/>
      <c r="B16" s="2702"/>
      <c r="C16" s="2702"/>
      <c r="D16" s="11"/>
      <c r="E16" s="11"/>
      <c r="F16" s="11"/>
      <c r="G16" s="11"/>
      <c r="H16" s="11"/>
      <c r="I16" s="11"/>
      <c r="J16" s="11"/>
      <c r="K16" s="11"/>
      <c r="L16" s="11"/>
      <c r="M16" s="3380"/>
      <c r="N16" s="3380"/>
      <c r="O16" s="11"/>
      <c r="P16" s="11"/>
      <c r="Q16" s="11"/>
      <c r="R16" s="11"/>
    </row>
    <row r="17" spans="1:18" x14ac:dyDescent="0.2">
      <c r="A17" s="2702"/>
      <c r="B17" s="2702"/>
      <c r="C17" s="2702"/>
      <c r="D17" s="11"/>
      <c r="E17" s="11"/>
      <c r="F17" s="11"/>
      <c r="G17" s="11"/>
      <c r="H17" s="11"/>
      <c r="I17" s="11"/>
      <c r="J17" s="11"/>
      <c r="K17" s="11"/>
      <c r="L17" s="11"/>
      <c r="M17" s="3380"/>
      <c r="N17" s="3380"/>
      <c r="O17" s="11"/>
      <c r="P17" s="11"/>
      <c r="Q17" s="11"/>
      <c r="R17" s="11"/>
    </row>
    <row r="18" spans="1:18" x14ac:dyDescent="0.2">
      <c r="A18" s="2702"/>
      <c r="B18" s="2702"/>
      <c r="C18" s="2702"/>
      <c r="D18" s="11"/>
      <c r="E18" s="11"/>
      <c r="F18" s="11"/>
      <c r="G18" s="11"/>
      <c r="H18" s="11"/>
      <c r="I18" s="11"/>
      <c r="J18" s="11"/>
      <c r="K18" s="11"/>
      <c r="L18" s="11"/>
      <c r="M18" s="3380"/>
      <c r="N18" s="3380"/>
      <c r="O18" s="11"/>
      <c r="P18" s="11"/>
      <c r="Q18" s="11"/>
      <c r="R18" s="11"/>
    </row>
    <row r="19" spans="1:18" x14ac:dyDescent="0.2">
      <c r="A19" s="2702"/>
      <c r="B19" s="2702"/>
      <c r="C19" s="2702"/>
      <c r="D19" s="11"/>
      <c r="E19" s="11"/>
      <c r="F19" s="11"/>
      <c r="G19" s="11"/>
      <c r="H19" s="11"/>
      <c r="I19" s="11"/>
      <c r="J19" s="11"/>
      <c r="K19" s="11"/>
      <c r="L19" s="11"/>
      <c r="M19" s="3380"/>
      <c r="N19" s="3380"/>
      <c r="O19" s="11"/>
      <c r="P19" s="11"/>
      <c r="Q19" s="11"/>
      <c r="R19" s="11"/>
    </row>
    <row r="20" spans="1:18" x14ac:dyDescent="0.2">
      <c r="A20" s="2702"/>
      <c r="B20" s="2702"/>
      <c r="C20" s="2702"/>
      <c r="D20" s="11"/>
      <c r="E20" s="11"/>
      <c r="F20" s="11"/>
      <c r="G20" s="11"/>
      <c r="H20" s="11"/>
      <c r="I20" s="11"/>
      <c r="J20" s="11"/>
      <c r="K20" s="11"/>
      <c r="L20" s="11"/>
      <c r="M20" s="3380"/>
      <c r="N20" s="3380"/>
      <c r="O20" s="11"/>
      <c r="P20" s="11"/>
      <c r="Q20" s="11"/>
      <c r="R20" s="11"/>
    </row>
    <row r="21" spans="1:18" x14ac:dyDescent="0.2">
      <c r="A21" s="2702"/>
      <c r="B21" s="2702"/>
      <c r="C21" s="2702"/>
      <c r="D21" s="11"/>
      <c r="E21" s="11"/>
      <c r="F21" s="11"/>
      <c r="G21" s="11"/>
      <c r="H21" s="11"/>
      <c r="I21" s="11"/>
      <c r="J21" s="11"/>
      <c r="K21" s="11"/>
      <c r="L21" s="11"/>
      <c r="M21" s="3380"/>
      <c r="N21" s="3380"/>
      <c r="O21" s="11"/>
      <c r="P21" s="11"/>
      <c r="Q21" s="11"/>
      <c r="R21" s="11"/>
    </row>
    <row r="22" spans="1:18" x14ac:dyDescent="0.2">
      <c r="A22" s="2702"/>
      <c r="B22" s="2702"/>
      <c r="C22" s="2702"/>
      <c r="D22" s="11"/>
      <c r="E22" s="11"/>
      <c r="F22" s="11"/>
      <c r="G22" s="11"/>
      <c r="H22" s="11"/>
      <c r="I22" s="11"/>
      <c r="J22" s="11"/>
      <c r="K22" s="11"/>
      <c r="L22" s="11"/>
      <c r="M22" s="3380"/>
      <c r="N22" s="3380"/>
      <c r="O22" s="11"/>
      <c r="P22" s="11"/>
      <c r="Q22" s="11"/>
      <c r="R22" s="11"/>
    </row>
    <row r="23" spans="1:18" x14ac:dyDescent="0.2">
      <c r="A23" s="2702"/>
      <c r="B23" s="2702"/>
      <c r="C23" s="2702"/>
      <c r="D23" s="11"/>
      <c r="E23" s="11"/>
      <c r="F23" s="11"/>
      <c r="G23" s="11"/>
      <c r="H23" s="11"/>
      <c r="I23" s="11"/>
      <c r="J23" s="11"/>
      <c r="K23" s="11"/>
      <c r="L23" s="11"/>
      <c r="M23" s="3380"/>
      <c r="N23" s="3380"/>
      <c r="O23" s="11"/>
      <c r="P23" s="11"/>
      <c r="Q23" s="11"/>
      <c r="R23" s="11"/>
    </row>
    <row r="24" spans="1:18" x14ac:dyDescent="0.2">
      <c r="A24" s="2702"/>
      <c r="B24" s="2702"/>
      <c r="C24" s="2702"/>
      <c r="D24" s="11"/>
      <c r="E24" s="11"/>
      <c r="F24" s="11"/>
      <c r="G24" s="11"/>
      <c r="H24" s="11"/>
      <c r="I24" s="11"/>
      <c r="J24" s="11"/>
      <c r="K24" s="11"/>
      <c r="L24" s="11"/>
      <c r="M24" s="11"/>
      <c r="N24" s="11"/>
      <c r="O24" s="11"/>
      <c r="P24" s="11"/>
      <c r="Q24" s="11"/>
      <c r="R24" s="11"/>
    </row>
    <row r="25" spans="1:18" x14ac:dyDescent="0.2">
      <c r="A25" s="2702"/>
      <c r="B25" s="2702"/>
      <c r="C25" s="2702"/>
      <c r="D25" s="11"/>
      <c r="E25" s="11"/>
      <c r="F25" s="11"/>
      <c r="G25" s="11"/>
      <c r="H25" s="11"/>
      <c r="I25" s="11"/>
      <c r="J25" s="11"/>
      <c r="K25" s="11"/>
      <c r="L25" s="11"/>
      <c r="M25" s="11"/>
      <c r="N25" s="11"/>
      <c r="O25" s="11"/>
      <c r="P25" s="11"/>
      <c r="Q25" s="11"/>
      <c r="R25" s="11"/>
    </row>
    <row r="26" spans="1:18" x14ac:dyDescent="0.2">
      <c r="A26" s="2702"/>
      <c r="B26" s="2702"/>
      <c r="C26" s="2702"/>
      <c r="D26" s="11"/>
      <c r="E26" s="11"/>
      <c r="F26" s="11"/>
      <c r="G26" s="11"/>
      <c r="H26" s="11"/>
      <c r="I26" s="11"/>
      <c r="J26" s="11"/>
      <c r="K26" s="11"/>
      <c r="L26" s="11"/>
      <c r="M26" s="11"/>
      <c r="N26" s="11"/>
      <c r="O26" s="11"/>
      <c r="P26" s="11"/>
      <c r="Q26" s="11"/>
      <c r="R26" s="11"/>
    </row>
    <row r="27" spans="1:18" x14ac:dyDescent="0.2">
      <c r="A27" s="2702"/>
      <c r="B27" s="2702"/>
      <c r="C27" s="2702"/>
      <c r="D27" s="11"/>
      <c r="E27" s="11"/>
      <c r="F27" s="11"/>
      <c r="G27" s="11"/>
      <c r="H27" s="11"/>
      <c r="I27" s="11"/>
      <c r="J27" s="11"/>
      <c r="K27" s="11"/>
      <c r="L27" s="11"/>
      <c r="M27" s="11"/>
      <c r="N27" s="11"/>
      <c r="O27" s="11"/>
      <c r="P27" s="11"/>
      <c r="Q27" s="11"/>
      <c r="R27" s="11"/>
    </row>
    <row r="28" spans="1:18" x14ac:dyDescent="0.2">
      <c r="A28" s="2702"/>
      <c r="B28" s="2702"/>
      <c r="C28" s="2702"/>
      <c r="D28" s="11"/>
      <c r="E28" s="11"/>
      <c r="F28" s="11"/>
      <c r="G28" s="11"/>
      <c r="H28" s="11"/>
      <c r="I28" s="11"/>
      <c r="J28" s="11"/>
      <c r="K28" s="11"/>
      <c r="L28" s="11"/>
      <c r="M28" s="11"/>
      <c r="N28" s="11"/>
      <c r="O28" s="11"/>
      <c r="P28" s="11"/>
      <c r="Q28" s="11"/>
      <c r="R28" s="11"/>
    </row>
    <row r="29" spans="1:18" x14ac:dyDescent="0.2">
      <c r="A29" s="2702"/>
      <c r="B29" s="2702"/>
      <c r="C29" s="2702"/>
      <c r="D29" s="11"/>
      <c r="E29" s="11"/>
      <c r="F29" s="11"/>
      <c r="G29" s="11"/>
      <c r="H29" s="11"/>
      <c r="I29" s="11"/>
      <c r="J29" s="11"/>
      <c r="K29" s="11"/>
      <c r="L29" s="11"/>
      <c r="M29" s="11"/>
      <c r="N29" s="11"/>
      <c r="O29" s="11"/>
      <c r="P29" s="11"/>
      <c r="Q29" s="11"/>
      <c r="R29" s="11"/>
    </row>
    <row r="30" spans="1:18" x14ac:dyDescent="0.2">
      <c r="A30" s="2702"/>
      <c r="B30" s="2702"/>
      <c r="C30" s="2702"/>
      <c r="D30" s="11"/>
      <c r="E30" s="11"/>
      <c r="F30" s="11"/>
      <c r="G30" s="11"/>
      <c r="H30" s="11"/>
      <c r="I30" s="11"/>
      <c r="J30" s="11"/>
      <c r="K30" s="11"/>
      <c r="L30" s="11"/>
      <c r="M30" s="11"/>
      <c r="N30" s="11"/>
      <c r="O30" s="11"/>
      <c r="P30" s="11"/>
      <c r="Q30" s="11"/>
      <c r="R30" s="11"/>
    </row>
    <row r="31" spans="1:18" x14ac:dyDescent="0.2">
      <c r="A31" s="2702"/>
      <c r="B31" s="2702"/>
      <c r="C31" s="2702"/>
      <c r="D31" s="11"/>
      <c r="E31" s="11"/>
      <c r="F31" s="11"/>
      <c r="G31" s="11"/>
      <c r="H31" s="11"/>
      <c r="I31" s="11"/>
      <c r="J31" s="11"/>
      <c r="K31" s="11"/>
      <c r="L31" s="11"/>
      <c r="M31" s="11"/>
      <c r="N31" s="11"/>
      <c r="O31" s="11"/>
      <c r="P31" s="11"/>
      <c r="Q31" s="11"/>
      <c r="R31" s="11"/>
    </row>
    <row r="32" spans="1:18" x14ac:dyDescent="0.2">
      <c r="D32" s="11"/>
      <c r="E32" s="11"/>
      <c r="F32" s="11"/>
      <c r="G32" s="11"/>
      <c r="H32" s="11"/>
      <c r="I32" s="11"/>
      <c r="J32" s="11"/>
      <c r="K32" s="11"/>
      <c r="L32" s="11"/>
      <c r="M32" s="11"/>
      <c r="N32" s="11"/>
      <c r="O32" s="11"/>
      <c r="P32" s="11"/>
      <c r="Q32" s="11"/>
      <c r="R32" s="11"/>
    </row>
    <row r="33" spans="1:19" s="2642" customFormat="1" ht="13.15" customHeight="1" x14ac:dyDescent="0.2">
      <c r="A33" s="686">
        <v>7</v>
      </c>
      <c r="B33" s="686" t="s">
        <v>29</v>
      </c>
      <c r="C33" s="686"/>
      <c r="D33" s="4140" t="s">
        <v>1463</v>
      </c>
      <c r="E33" s="4194"/>
      <c r="F33" s="4194"/>
      <c r="G33" s="4194"/>
      <c r="H33" s="4194"/>
      <c r="I33" s="4194"/>
      <c r="J33" s="4194"/>
      <c r="K33" s="4194"/>
      <c r="L33" s="4194"/>
      <c r="M33" s="4194"/>
      <c r="N33" s="4194"/>
      <c r="O33" s="4194"/>
      <c r="P33" s="4194"/>
      <c r="Q33" s="4194"/>
      <c r="R33" s="4194"/>
      <c r="S33" s="4434"/>
    </row>
    <row r="34" spans="1:19" s="2642" customFormat="1" ht="16.899999999999999" customHeight="1" x14ac:dyDescent="0.2">
      <c r="A34" s="752">
        <v>8</v>
      </c>
      <c r="B34" s="752" t="s">
        <v>32</v>
      </c>
      <c r="C34" s="752"/>
      <c r="D34" s="4444" t="s">
        <v>1464</v>
      </c>
      <c r="E34" s="4445"/>
      <c r="F34" s="4445"/>
      <c r="G34" s="4445"/>
      <c r="H34" s="4445"/>
      <c r="I34" s="4445"/>
      <c r="J34" s="4445"/>
      <c r="K34" s="4445"/>
      <c r="L34" s="4445"/>
      <c r="M34" s="4445"/>
      <c r="N34" s="4445"/>
      <c r="O34" s="4445"/>
      <c r="P34" s="4445"/>
      <c r="Q34" s="4445"/>
      <c r="R34" s="4445"/>
      <c r="S34" s="4446"/>
    </row>
    <row r="35" spans="1:19" s="2642" customFormat="1" ht="13.15" customHeight="1" x14ac:dyDescent="0.2">
      <c r="A35" s="686">
        <v>9</v>
      </c>
      <c r="B35" s="686" t="s">
        <v>31</v>
      </c>
      <c r="C35" s="686"/>
      <c r="D35" s="4247" t="s">
        <v>1465</v>
      </c>
      <c r="E35" s="4194"/>
      <c r="F35" s="4194"/>
      <c r="G35" s="4194"/>
      <c r="H35" s="4194"/>
      <c r="I35" s="4194"/>
      <c r="J35" s="4194"/>
      <c r="K35" s="4194"/>
      <c r="L35" s="4194"/>
      <c r="M35" s="4194"/>
      <c r="N35" s="4194"/>
      <c r="O35" s="4194"/>
      <c r="P35" s="4194"/>
      <c r="Q35" s="4194"/>
      <c r="R35" s="4194"/>
      <c r="S35" s="4177"/>
    </row>
    <row r="36" spans="1:19" s="2642" customFormat="1" ht="39.6" customHeight="1" x14ac:dyDescent="0.2">
      <c r="A36" s="686">
        <v>10</v>
      </c>
      <c r="B36" s="686" t="s">
        <v>34</v>
      </c>
      <c r="C36" s="686"/>
      <c r="D36" s="4247" t="s">
        <v>1466</v>
      </c>
      <c r="E36" s="4194"/>
      <c r="F36" s="4194"/>
      <c r="G36" s="4194"/>
      <c r="H36" s="4194"/>
      <c r="I36" s="4194"/>
      <c r="J36" s="4194"/>
      <c r="K36" s="4194"/>
      <c r="L36" s="4194"/>
      <c r="M36" s="4194"/>
      <c r="N36" s="4194"/>
      <c r="O36" s="4194"/>
      <c r="P36" s="4194"/>
      <c r="Q36" s="4194"/>
      <c r="R36" s="4194"/>
      <c r="S36" s="4177"/>
    </row>
    <row r="37" spans="1:19" x14ac:dyDescent="0.2">
      <c r="D37" s="11"/>
      <c r="E37" s="11"/>
      <c r="F37" s="11"/>
      <c r="G37" s="11"/>
      <c r="H37" s="11"/>
      <c r="I37" s="11"/>
      <c r="J37" s="11"/>
      <c r="K37" s="11"/>
      <c r="L37" s="11"/>
      <c r="M37" s="11"/>
      <c r="N37" s="11"/>
      <c r="O37" s="11"/>
      <c r="P37" s="11"/>
      <c r="Q37" s="11"/>
      <c r="R37" s="11"/>
    </row>
    <row r="38" spans="1:19" x14ac:dyDescent="0.2">
      <c r="D38" s="11"/>
      <c r="E38" s="11"/>
      <c r="F38" s="11"/>
      <c r="G38" s="11"/>
      <c r="H38" s="11"/>
      <c r="I38" s="11"/>
      <c r="J38" s="11"/>
      <c r="K38" s="11"/>
      <c r="L38" s="11"/>
      <c r="M38" s="11"/>
      <c r="N38" s="11"/>
      <c r="O38" s="11"/>
      <c r="P38" s="11"/>
      <c r="Q38" s="11"/>
      <c r="R38" s="11"/>
    </row>
    <row r="39" spans="1:19" x14ac:dyDescent="0.2">
      <c r="D39" s="11"/>
      <c r="E39" s="11"/>
      <c r="F39" s="11"/>
      <c r="G39" s="11"/>
      <c r="H39" s="11"/>
      <c r="I39" s="11"/>
      <c r="J39" s="11"/>
      <c r="K39" s="11"/>
      <c r="L39" s="11"/>
      <c r="M39" s="11"/>
      <c r="N39" s="11"/>
      <c r="O39" s="11"/>
      <c r="P39" s="11"/>
      <c r="Q39" s="11"/>
      <c r="R39" s="11"/>
    </row>
    <row r="40" spans="1:19" x14ac:dyDescent="0.2">
      <c r="D40" s="11"/>
      <c r="E40" s="11"/>
      <c r="F40" s="11"/>
      <c r="G40" s="11"/>
      <c r="H40" s="11"/>
      <c r="I40" s="11"/>
      <c r="J40" s="11"/>
      <c r="K40" s="11"/>
      <c r="L40" s="11"/>
      <c r="M40" s="11"/>
      <c r="N40" s="11"/>
      <c r="O40" s="11"/>
      <c r="P40" s="11"/>
      <c r="Q40" s="11"/>
      <c r="R40" s="11"/>
    </row>
  </sheetData>
  <mergeCells count="7">
    <mergeCell ref="D35:S35"/>
    <mergeCell ref="D36:S36"/>
    <mergeCell ref="D2:G2"/>
    <mergeCell ref="D3:S3"/>
    <mergeCell ref="D4:S4"/>
    <mergeCell ref="D33:S33"/>
    <mergeCell ref="D34:S34"/>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1"/>
  <sheetViews>
    <sheetView showGridLines="0" view="pageBreakPreview" zoomScaleNormal="100" zoomScaleSheetLayoutView="100" workbookViewId="0">
      <selection activeCell="M56" sqref="M56"/>
    </sheetView>
  </sheetViews>
  <sheetFormatPr defaultColWidth="9.28515625" defaultRowHeight="15" x14ac:dyDescent="0.25"/>
  <cols>
    <col min="1" max="1" width="4" style="116" customWidth="1"/>
    <col min="2" max="2" width="12.7109375" style="113" customWidth="1"/>
    <col min="3" max="3" width="3.7109375" style="114" customWidth="1"/>
    <col min="4" max="4" width="9.7109375" style="44" customWidth="1"/>
    <col min="5" max="5" width="6.5703125" style="44" customWidth="1"/>
    <col min="6" max="25" width="8.28515625" style="44" customWidth="1"/>
    <col min="26" max="26" width="9.28515625" style="44"/>
    <col min="27" max="27" width="9.5703125" style="44" customWidth="1"/>
    <col min="28" max="16384" width="9.28515625" style="44"/>
  </cols>
  <sheetData>
    <row r="1" spans="1:28" x14ac:dyDescent="0.25">
      <c r="D1" s="115"/>
      <c r="E1" s="115"/>
      <c r="F1" s="115"/>
      <c r="G1" s="115"/>
      <c r="H1" s="115"/>
      <c r="I1" s="115"/>
      <c r="J1" s="115"/>
      <c r="K1" s="115"/>
      <c r="L1" s="115"/>
      <c r="M1" s="115"/>
      <c r="N1" s="115"/>
      <c r="O1" s="115"/>
      <c r="P1" s="115"/>
      <c r="Q1" s="115"/>
      <c r="R1" s="115"/>
      <c r="S1" s="115"/>
      <c r="T1" s="115"/>
      <c r="U1" s="115"/>
      <c r="V1" s="115"/>
    </row>
    <row r="2" spans="1:28" ht="12.75" customHeight="1" x14ac:dyDescent="0.25">
      <c r="A2" s="116">
        <v>1</v>
      </c>
      <c r="B2" s="117" t="s">
        <v>0</v>
      </c>
      <c r="C2" s="116">
        <f>'[1]B deficit'!C2+1</f>
        <v>6</v>
      </c>
      <c r="D2" s="4054" t="s">
        <v>150</v>
      </c>
      <c r="E2" s="4055"/>
      <c r="F2" s="4055"/>
      <c r="G2" s="4055"/>
      <c r="H2" s="4055"/>
      <c r="I2" s="4055"/>
      <c r="J2" s="4055"/>
      <c r="K2" s="4055"/>
      <c r="L2" s="4055"/>
      <c r="M2" s="4055"/>
      <c r="N2" s="4055"/>
      <c r="O2" s="4055"/>
      <c r="P2" s="4055"/>
      <c r="Q2" s="4055"/>
      <c r="R2" s="4055"/>
      <c r="S2" s="4055"/>
      <c r="T2" s="4055"/>
      <c r="U2" s="4055"/>
      <c r="V2" s="4055"/>
      <c r="W2" s="4055"/>
      <c r="X2" s="4055"/>
      <c r="Y2" s="4055"/>
      <c r="Z2" s="4055"/>
      <c r="AA2" s="4056"/>
    </row>
    <row r="3" spans="1:28" ht="12.75" customHeight="1" x14ac:dyDescent="0.25">
      <c r="A3" s="116">
        <v>2</v>
      </c>
      <c r="B3" s="117" t="s">
        <v>2</v>
      </c>
      <c r="C3" s="116"/>
      <c r="D3" s="4057" t="s">
        <v>127</v>
      </c>
      <c r="E3" s="4058"/>
      <c r="F3" s="4058"/>
      <c r="G3" s="4058"/>
      <c r="H3" s="4058"/>
      <c r="I3" s="4058"/>
      <c r="J3" s="4058"/>
      <c r="K3" s="4058"/>
      <c r="L3" s="4058"/>
      <c r="M3" s="4058"/>
      <c r="N3" s="4058"/>
      <c r="O3" s="4058"/>
      <c r="P3" s="4058"/>
      <c r="Q3" s="4058"/>
      <c r="R3" s="4058"/>
      <c r="S3" s="4058"/>
      <c r="T3" s="4058"/>
      <c r="U3" s="4058"/>
      <c r="V3" s="4058"/>
      <c r="W3" s="4058"/>
      <c r="X3" s="4058"/>
      <c r="Y3" s="4058"/>
      <c r="Z3" s="4058"/>
      <c r="AA3" s="4059"/>
    </row>
    <row r="4" spans="1:28" ht="15" customHeight="1" x14ac:dyDescent="0.25">
      <c r="A4" s="116">
        <v>3</v>
      </c>
      <c r="B4" s="117" t="s">
        <v>4</v>
      </c>
      <c r="C4" s="116"/>
      <c r="D4" s="4054" t="s">
        <v>151</v>
      </c>
      <c r="E4" s="4055"/>
      <c r="F4" s="4055"/>
      <c r="G4" s="4055"/>
      <c r="H4" s="4055"/>
      <c r="I4" s="4055"/>
      <c r="J4" s="4055"/>
      <c r="K4" s="4055"/>
      <c r="L4" s="4055"/>
      <c r="M4" s="4055"/>
      <c r="N4" s="4055"/>
      <c r="O4" s="4055"/>
      <c r="P4" s="4055"/>
      <c r="Q4" s="4055"/>
      <c r="R4" s="4055"/>
      <c r="S4" s="4055"/>
      <c r="T4" s="4055"/>
      <c r="U4" s="4055"/>
      <c r="V4" s="4055"/>
      <c r="W4" s="4055"/>
      <c r="X4" s="4055"/>
      <c r="Y4" s="4055"/>
      <c r="Z4" s="4055"/>
      <c r="AA4" s="4056"/>
    </row>
    <row r="5" spans="1:28" ht="24" customHeight="1" x14ac:dyDescent="0.25">
      <c r="B5" s="116"/>
      <c r="C5" s="116"/>
      <c r="D5" s="4084"/>
      <c r="E5" s="4085"/>
      <c r="F5" s="4085"/>
      <c r="G5" s="4085"/>
      <c r="H5" s="4085"/>
      <c r="I5" s="4085"/>
      <c r="J5" s="4085"/>
      <c r="K5" s="4085"/>
      <c r="L5" s="4085"/>
      <c r="M5" s="4085"/>
      <c r="N5" s="4085"/>
      <c r="O5" s="4085"/>
      <c r="P5" s="4085"/>
      <c r="Q5" s="4085"/>
      <c r="R5" s="4085"/>
      <c r="S5" s="4085"/>
      <c r="T5" s="4085"/>
      <c r="U5" s="4085"/>
      <c r="V5" s="4085"/>
      <c r="W5" s="4085"/>
      <c r="X5" s="4085"/>
      <c r="Y5" s="4085"/>
      <c r="Z5" s="4085"/>
      <c r="AA5" s="4086"/>
    </row>
    <row r="6" spans="1:28" ht="10.5" customHeight="1" x14ac:dyDescent="0.25">
      <c r="A6" s="116">
        <v>4</v>
      </c>
      <c r="B6" s="117" t="s">
        <v>5</v>
      </c>
      <c r="C6" s="116"/>
      <c r="D6" s="123" t="s">
        <v>112</v>
      </c>
      <c r="E6" s="123"/>
      <c r="F6" s="123" t="s">
        <v>152</v>
      </c>
      <c r="G6" s="123"/>
      <c r="H6" s="123"/>
      <c r="I6" s="123"/>
      <c r="J6" s="242"/>
      <c r="K6" s="242"/>
      <c r="L6" s="242"/>
      <c r="M6" s="242"/>
      <c r="N6" s="243"/>
      <c r="O6" s="244"/>
      <c r="P6" s="243"/>
      <c r="Q6" s="243"/>
      <c r="R6" s="243"/>
      <c r="S6" s="148"/>
      <c r="T6" s="148"/>
      <c r="U6" s="139"/>
      <c r="V6" s="139"/>
    </row>
    <row r="7" spans="1:28" x14ac:dyDescent="0.25">
      <c r="D7" s="220" t="s">
        <v>69</v>
      </c>
      <c r="E7" s="222" t="s">
        <v>131</v>
      </c>
      <c r="F7" s="222" t="s">
        <v>132</v>
      </c>
      <c r="G7" s="222" t="s">
        <v>133</v>
      </c>
      <c r="H7" s="222" t="s">
        <v>134</v>
      </c>
      <c r="I7" s="222" t="s">
        <v>135</v>
      </c>
      <c r="J7" s="222" t="s">
        <v>136</v>
      </c>
      <c r="K7" s="222" t="s">
        <v>137</v>
      </c>
      <c r="L7" s="222" t="s">
        <v>138</v>
      </c>
      <c r="M7" s="222" t="s">
        <v>139</v>
      </c>
      <c r="N7" s="222" t="s">
        <v>140</v>
      </c>
      <c r="O7" s="222" t="s">
        <v>141</v>
      </c>
      <c r="P7" s="222" t="s">
        <v>142</v>
      </c>
      <c r="Q7" s="222" t="s">
        <v>143</v>
      </c>
      <c r="R7" s="222" t="s">
        <v>144</v>
      </c>
      <c r="S7" s="222" t="s">
        <v>145</v>
      </c>
      <c r="T7" s="222" t="s">
        <v>8</v>
      </c>
      <c r="U7" s="222" t="s">
        <v>9</v>
      </c>
      <c r="V7" s="222" t="s">
        <v>10</v>
      </c>
      <c r="W7" s="222" t="s">
        <v>11</v>
      </c>
      <c r="X7" s="222" t="s">
        <v>12</v>
      </c>
      <c r="Y7" s="222" t="s">
        <v>13</v>
      </c>
      <c r="Z7" s="222" t="s">
        <v>14</v>
      </c>
      <c r="AA7" s="889" t="s">
        <v>15</v>
      </c>
    </row>
    <row r="8" spans="1:28" ht="34.5" x14ac:dyDescent="0.25">
      <c r="D8" s="134" t="s">
        <v>153</v>
      </c>
      <c r="E8" s="245">
        <v>47</v>
      </c>
      <c r="F8" s="245">
        <v>48</v>
      </c>
      <c r="G8" s="136">
        <v>46.8</v>
      </c>
      <c r="H8" s="136">
        <v>46.2</v>
      </c>
      <c r="I8" s="136">
        <v>46.1</v>
      </c>
      <c r="J8" s="245">
        <v>43.6</v>
      </c>
      <c r="K8" s="245">
        <v>40.6</v>
      </c>
      <c r="L8" s="245">
        <v>39.5</v>
      </c>
      <c r="M8" s="245">
        <v>33.4</v>
      </c>
      <c r="N8" s="245">
        <v>32.6</v>
      </c>
      <c r="O8" s="245">
        <v>31.2</v>
      </c>
      <c r="P8" s="245">
        <v>27.9</v>
      </c>
      <c r="Q8" s="245">
        <v>25</v>
      </c>
      <c r="R8" s="245">
        <v>22.3</v>
      </c>
      <c r="S8" s="245">
        <v>21.8</v>
      </c>
      <c r="T8" s="245">
        <v>26.4</v>
      </c>
      <c r="U8" s="245">
        <v>29</v>
      </c>
      <c r="V8" s="245">
        <v>32.200000000000003</v>
      </c>
      <c r="W8" s="245">
        <v>35.6</v>
      </c>
      <c r="X8" s="245">
        <v>38.1</v>
      </c>
      <c r="Y8" s="245">
        <v>41</v>
      </c>
      <c r="Z8" s="245">
        <v>43.8</v>
      </c>
      <c r="AA8" s="890">
        <v>45.6</v>
      </c>
    </row>
    <row r="9" spans="1:28" ht="22.5" customHeight="1" x14ac:dyDescent="0.25">
      <c r="D9" s="115"/>
      <c r="E9" s="115"/>
      <c r="F9" s="120"/>
      <c r="G9" s="120"/>
      <c r="H9" s="120"/>
      <c r="I9" s="120"/>
      <c r="J9" s="120"/>
      <c r="K9" s="120"/>
      <c r="L9" s="120"/>
      <c r="M9" s="120"/>
      <c r="N9" s="120"/>
      <c r="O9" s="120"/>
      <c r="P9" s="120"/>
      <c r="Q9" s="120"/>
      <c r="R9" s="120"/>
      <c r="S9" s="120"/>
      <c r="T9" s="120"/>
      <c r="U9" s="120"/>
      <c r="V9" s="120"/>
      <c r="AA9" s="246">
        <v>41.9</v>
      </c>
      <c r="AB9" s="246"/>
    </row>
    <row r="10" spans="1:28" x14ac:dyDescent="0.25">
      <c r="A10" s="116">
        <v>5</v>
      </c>
      <c r="B10" s="117" t="s">
        <v>90</v>
      </c>
      <c r="C10" s="116"/>
      <c r="D10" s="115"/>
      <c r="E10" s="115"/>
      <c r="F10" s="120"/>
      <c r="G10" s="120"/>
      <c r="H10" s="120"/>
      <c r="I10" s="120"/>
      <c r="J10" s="120"/>
      <c r="K10" s="120"/>
      <c r="L10" s="120"/>
      <c r="M10" s="120"/>
      <c r="N10" s="120"/>
      <c r="O10" s="120"/>
      <c r="P10" s="120"/>
      <c r="Q10" s="120"/>
      <c r="R10" s="120"/>
      <c r="S10" s="120"/>
      <c r="T10" s="120"/>
      <c r="U10" s="120"/>
      <c r="V10" s="120"/>
      <c r="AA10" s="246">
        <v>47</v>
      </c>
      <c r="AB10" s="246"/>
    </row>
    <row r="11" spans="1:28" x14ac:dyDescent="0.25">
      <c r="D11" s="247"/>
      <c r="E11" s="247"/>
      <c r="F11" s="115"/>
      <c r="G11" s="120"/>
      <c r="H11" s="120"/>
      <c r="I11" s="120"/>
      <c r="J11" s="120"/>
      <c r="K11" s="120"/>
      <c r="L11" s="120"/>
      <c r="M11" s="120"/>
      <c r="N11" s="120"/>
      <c r="O11" s="120"/>
      <c r="P11" s="120"/>
      <c r="Q11" s="120"/>
      <c r="R11" s="120"/>
      <c r="S11" s="120"/>
      <c r="T11" s="120"/>
      <c r="U11" s="120"/>
      <c r="V11" s="120"/>
      <c r="Z11" s="97"/>
      <c r="AA11" s="246">
        <v>48</v>
      </c>
      <c r="AB11" s="246"/>
    </row>
    <row r="12" spans="1:28" x14ac:dyDescent="0.25">
      <c r="D12" s="247"/>
      <c r="E12" s="247"/>
      <c r="F12" s="115"/>
      <c r="G12" s="120"/>
      <c r="H12" s="120"/>
      <c r="I12" s="120"/>
      <c r="J12" s="120"/>
      <c r="K12" s="120"/>
      <c r="L12" s="120"/>
      <c r="M12" s="120"/>
      <c r="N12" s="120"/>
      <c r="O12" s="120"/>
      <c r="P12" s="120"/>
      <c r="Q12" s="120"/>
      <c r="R12" s="120"/>
      <c r="S12" s="120"/>
      <c r="T12" s="120"/>
      <c r="U12" s="120"/>
      <c r="V12" s="120"/>
      <c r="Z12" s="97"/>
      <c r="AA12" s="246">
        <v>48.1</v>
      </c>
      <c r="AB12" s="246"/>
    </row>
    <row r="13" spans="1:28" x14ac:dyDescent="0.25">
      <c r="D13" s="247"/>
      <c r="E13" s="247"/>
      <c r="F13" s="115"/>
      <c r="G13" s="120"/>
      <c r="H13" s="120"/>
      <c r="I13" s="120"/>
      <c r="J13" s="120"/>
      <c r="K13" s="120"/>
      <c r="L13" s="120"/>
      <c r="M13" s="120"/>
      <c r="N13" s="120"/>
      <c r="O13" s="120"/>
      <c r="P13" s="120"/>
      <c r="Q13" s="120"/>
      <c r="R13" s="119"/>
      <c r="S13" s="119"/>
      <c r="T13" s="119"/>
      <c r="U13" s="119"/>
      <c r="V13" s="119"/>
      <c r="AA13" s="246">
        <v>47.3</v>
      </c>
      <c r="AB13" s="246"/>
    </row>
    <row r="14" spans="1:28" x14ac:dyDescent="0.25">
      <c r="D14" s="247"/>
      <c r="E14" s="247"/>
      <c r="F14" s="115"/>
      <c r="G14" s="120"/>
      <c r="H14" s="120"/>
      <c r="I14" s="120"/>
      <c r="J14" s="120"/>
      <c r="K14" s="120"/>
      <c r="L14" s="120"/>
      <c r="M14" s="120"/>
      <c r="N14" s="120"/>
      <c r="O14" s="120"/>
      <c r="P14" s="120"/>
      <c r="Q14" s="120"/>
      <c r="R14" s="119"/>
      <c r="S14" s="119"/>
      <c r="T14" s="119"/>
      <c r="U14" s="119"/>
      <c r="V14" s="119"/>
      <c r="AA14" s="246">
        <v>47.3</v>
      </c>
      <c r="AB14" s="246"/>
    </row>
    <row r="15" spans="1:28" x14ac:dyDescent="0.25">
      <c r="D15" s="247"/>
      <c r="E15" s="247"/>
      <c r="F15" s="115"/>
      <c r="G15" s="120"/>
      <c r="H15" s="120"/>
      <c r="I15" s="120"/>
      <c r="J15" s="120"/>
      <c r="K15" s="120"/>
      <c r="L15" s="120"/>
      <c r="M15" s="120"/>
      <c r="N15" s="120"/>
      <c r="O15" s="120"/>
      <c r="P15" s="120"/>
      <c r="Q15" s="120"/>
      <c r="R15" s="120"/>
      <c r="S15" s="120"/>
      <c r="T15" s="120"/>
      <c r="U15" s="120"/>
      <c r="V15" s="120"/>
      <c r="AA15" s="246">
        <v>44.7</v>
      </c>
      <c r="AB15" s="246"/>
    </row>
    <row r="16" spans="1:28" x14ac:dyDescent="0.25">
      <c r="D16" s="247"/>
      <c r="E16" s="247"/>
      <c r="F16" s="115"/>
      <c r="G16" s="120"/>
      <c r="H16" s="120"/>
      <c r="I16" s="120"/>
      <c r="J16" s="120"/>
      <c r="K16" s="120"/>
      <c r="L16" s="120"/>
      <c r="M16" s="120"/>
      <c r="N16" s="120"/>
      <c r="O16" s="120"/>
      <c r="P16" s="120"/>
      <c r="Q16" s="120"/>
      <c r="R16" s="120"/>
      <c r="S16" s="120"/>
      <c r="T16" s="120"/>
      <c r="U16" s="120"/>
      <c r="V16" s="120"/>
      <c r="AA16" s="246">
        <v>41.7</v>
      </c>
      <c r="AB16" s="246"/>
    </row>
    <row r="17" spans="1:28" x14ac:dyDescent="0.25">
      <c r="D17" s="247"/>
      <c r="E17" s="247"/>
      <c r="F17" s="115"/>
      <c r="G17" s="120"/>
      <c r="H17" s="120"/>
      <c r="I17" s="120"/>
      <c r="J17" s="120"/>
      <c r="K17" s="120"/>
      <c r="L17" s="120"/>
      <c r="M17" s="120"/>
      <c r="N17" s="120"/>
      <c r="O17" s="120"/>
      <c r="P17" s="120"/>
      <c r="Q17" s="120"/>
      <c r="R17" s="120"/>
      <c r="S17" s="120"/>
      <c r="T17" s="120"/>
      <c r="U17" s="120"/>
      <c r="V17" s="120"/>
      <c r="AA17" s="246">
        <v>40.6</v>
      </c>
      <c r="AB17" s="246"/>
    </row>
    <row r="18" spans="1:28" x14ac:dyDescent="0.25">
      <c r="D18" s="247"/>
      <c r="E18" s="247"/>
      <c r="F18" s="115"/>
      <c r="G18" s="120"/>
      <c r="H18" s="120"/>
      <c r="I18" s="120"/>
      <c r="J18" s="120"/>
      <c r="K18" s="120"/>
      <c r="L18" s="120"/>
      <c r="M18" s="120"/>
      <c r="N18" s="120"/>
      <c r="O18" s="120"/>
      <c r="P18" s="120"/>
      <c r="Q18" s="120"/>
      <c r="R18" s="120"/>
      <c r="S18" s="120"/>
      <c r="T18" s="120"/>
      <c r="U18" s="120"/>
      <c r="V18" s="120"/>
      <c r="AA18" s="246">
        <v>34.6</v>
      </c>
      <c r="AB18" s="246"/>
    </row>
    <row r="19" spans="1:28" x14ac:dyDescent="0.25">
      <c r="D19" s="247"/>
      <c r="E19" s="247"/>
      <c r="F19" s="115"/>
      <c r="G19" s="120"/>
      <c r="H19" s="120"/>
      <c r="I19" s="120"/>
      <c r="J19" s="120"/>
      <c r="K19" s="120"/>
      <c r="L19" s="120"/>
      <c r="M19" s="120"/>
      <c r="N19" s="120"/>
      <c r="O19" s="120"/>
      <c r="P19" s="120"/>
      <c r="Q19" s="120"/>
      <c r="R19" s="120"/>
      <c r="S19" s="120"/>
      <c r="T19" s="120"/>
      <c r="U19" s="120"/>
      <c r="V19" s="120"/>
      <c r="AA19" s="246">
        <v>33.9</v>
      </c>
      <c r="AB19" s="246"/>
    </row>
    <row r="20" spans="1:28" x14ac:dyDescent="0.25">
      <c r="D20" s="247"/>
      <c r="E20" s="247"/>
      <c r="F20" s="115"/>
      <c r="G20" s="115"/>
      <c r="H20" s="115"/>
      <c r="I20" s="115"/>
      <c r="J20" s="115"/>
      <c r="K20" s="115"/>
      <c r="L20" s="115"/>
      <c r="M20" s="115"/>
      <c r="N20" s="115"/>
      <c r="O20" s="115"/>
      <c r="P20" s="115"/>
      <c r="Q20" s="115"/>
      <c r="R20" s="115"/>
      <c r="S20" s="115"/>
      <c r="T20" s="115"/>
      <c r="U20" s="115"/>
      <c r="V20" s="115"/>
      <c r="AA20" s="246">
        <v>32.5</v>
      </c>
      <c r="AB20" s="246"/>
    </row>
    <row r="21" spans="1:28" x14ac:dyDescent="0.25">
      <c r="D21" s="247"/>
      <c r="E21" s="247"/>
      <c r="F21" s="115"/>
      <c r="G21" s="115"/>
      <c r="H21" s="115"/>
      <c r="I21" s="115"/>
      <c r="J21" s="115"/>
      <c r="K21" s="115"/>
      <c r="L21" s="115"/>
      <c r="M21" s="115"/>
      <c r="N21" s="115"/>
      <c r="O21" s="115"/>
      <c r="P21" s="115"/>
      <c r="Q21" s="115"/>
      <c r="R21" s="115"/>
      <c r="S21" s="115"/>
      <c r="T21" s="115"/>
      <c r="U21" s="115"/>
      <c r="V21" s="115"/>
      <c r="AA21" s="246">
        <v>29.1</v>
      </c>
      <c r="AB21" s="246"/>
    </row>
    <row r="22" spans="1:28" x14ac:dyDescent="0.25">
      <c r="D22" s="247"/>
      <c r="E22" s="247"/>
      <c r="F22" s="115"/>
      <c r="G22" s="115"/>
      <c r="H22" s="115"/>
      <c r="I22" s="115"/>
      <c r="J22" s="115"/>
      <c r="K22" s="115"/>
      <c r="L22" s="115"/>
      <c r="M22" s="115"/>
      <c r="N22" s="115"/>
      <c r="O22" s="115"/>
      <c r="P22" s="115"/>
      <c r="Q22" s="115"/>
      <c r="R22" s="115"/>
      <c r="S22" s="115"/>
      <c r="T22" s="115"/>
      <c r="U22" s="115"/>
      <c r="V22" s="115"/>
      <c r="AA22" s="246">
        <v>26</v>
      </c>
      <c r="AB22" s="246"/>
    </row>
    <row r="23" spans="1:28" x14ac:dyDescent="0.25">
      <c r="D23" s="247"/>
      <c r="E23" s="247"/>
      <c r="F23" s="115"/>
      <c r="G23" s="115"/>
      <c r="H23" s="115"/>
      <c r="I23" s="115"/>
      <c r="J23" s="115"/>
      <c r="K23" s="115"/>
      <c r="L23" s="115"/>
      <c r="M23" s="115"/>
      <c r="N23" s="115"/>
      <c r="O23" s="115"/>
      <c r="P23" s="115"/>
      <c r="Q23" s="115"/>
      <c r="R23" s="115"/>
      <c r="S23" s="115"/>
      <c r="T23" s="115"/>
      <c r="U23" s="115"/>
      <c r="V23" s="115"/>
      <c r="AA23" s="246">
        <v>23</v>
      </c>
      <c r="AB23" s="246"/>
    </row>
    <row r="24" spans="1:28" x14ac:dyDescent="0.25">
      <c r="D24" s="115"/>
      <c r="E24" s="115"/>
      <c r="F24" s="115"/>
      <c r="G24" s="115"/>
      <c r="H24" s="115"/>
      <c r="I24" s="115"/>
      <c r="J24" s="115"/>
      <c r="K24" s="115"/>
      <c r="L24" s="115"/>
      <c r="M24" s="115"/>
      <c r="N24" s="115"/>
      <c r="O24" s="115"/>
      <c r="P24" s="115"/>
      <c r="Q24" s="115"/>
      <c r="R24" s="115"/>
      <c r="S24" s="115"/>
      <c r="T24" s="115"/>
      <c r="U24" s="115"/>
      <c r="V24" s="115"/>
      <c r="AA24" s="246">
        <v>22.9</v>
      </c>
      <c r="AB24" s="246"/>
    </row>
    <row r="25" spans="1:28" x14ac:dyDescent="0.25">
      <c r="D25" s="115"/>
      <c r="E25" s="115"/>
      <c r="F25" s="115"/>
      <c r="G25" s="115"/>
      <c r="H25" s="115"/>
      <c r="I25" s="115"/>
      <c r="J25" s="115"/>
      <c r="K25" s="115"/>
      <c r="L25" s="115"/>
      <c r="M25" s="115"/>
      <c r="N25" s="115"/>
      <c r="O25" s="115"/>
      <c r="P25" s="115"/>
      <c r="Q25" s="115"/>
      <c r="R25" s="115"/>
      <c r="S25" s="115"/>
      <c r="T25" s="115"/>
      <c r="U25" s="115"/>
      <c r="V25" s="115"/>
      <c r="AA25" s="246">
        <v>27.4</v>
      </c>
      <c r="AB25" s="246"/>
    </row>
    <row r="26" spans="1:28" x14ac:dyDescent="0.25">
      <c r="D26" s="115"/>
      <c r="E26" s="115"/>
      <c r="F26" s="115"/>
      <c r="G26" s="115"/>
      <c r="H26" s="115"/>
      <c r="I26" s="115"/>
      <c r="J26" s="115"/>
      <c r="K26" s="115"/>
      <c r="L26" s="115"/>
      <c r="M26" s="115"/>
      <c r="N26" s="115"/>
      <c r="O26" s="115"/>
      <c r="P26" s="115"/>
      <c r="Q26" s="115"/>
      <c r="R26" s="115"/>
      <c r="S26" s="115"/>
      <c r="T26" s="115"/>
      <c r="U26" s="115"/>
      <c r="V26" s="115"/>
      <c r="AA26" s="246">
        <v>29.7</v>
      </c>
      <c r="AB26" s="246"/>
    </row>
    <row r="27" spans="1:28" x14ac:dyDescent="0.25">
      <c r="D27" s="115"/>
      <c r="E27" s="115"/>
      <c r="F27" s="115"/>
      <c r="G27" s="115"/>
      <c r="H27" s="115"/>
      <c r="I27" s="115"/>
      <c r="J27" s="115"/>
      <c r="K27" s="115"/>
      <c r="L27" s="115"/>
      <c r="M27" s="115"/>
      <c r="N27" s="115"/>
      <c r="O27" s="115"/>
      <c r="P27" s="115"/>
      <c r="Q27" s="115"/>
      <c r="R27" s="115"/>
      <c r="S27" s="115"/>
      <c r="T27" s="115"/>
      <c r="U27" s="115"/>
      <c r="V27" s="115"/>
      <c r="AA27" s="246"/>
      <c r="AB27" s="246"/>
    </row>
    <row r="28" spans="1:28" ht="12.75" customHeight="1" x14ac:dyDescent="0.25">
      <c r="A28" s="116">
        <v>6</v>
      </c>
      <c r="B28" s="117" t="s">
        <v>29</v>
      </c>
      <c r="C28" s="116"/>
      <c r="D28" s="4072" t="s">
        <v>154</v>
      </c>
      <c r="E28" s="4073"/>
      <c r="F28" s="4073"/>
      <c r="G28" s="4073"/>
      <c r="H28" s="4073"/>
      <c r="I28" s="4073"/>
      <c r="J28" s="4073"/>
      <c r="K28" s="4073"/>
      <c r="L28" s="4073"/>
      <c r="M28" s="4073"/>
      <c r="N28" s="4073"/>
      <c r="O28" s="4073"/>
      <c r="P28" s="4073"/>
      <c r="Q28" s="4073"/>
      <c r="R28" s="4073"/>
      <c r="S28" s="4073"/>
      <c r="T28" s="4073"/>
      <c r="U28" s="4073"/>
      <c r="V28" s="4073"/>
      <c r="W28" s="4073"/>
      <c r="X28" s="4073"/>
      <c r="Y28" s="4073"/>
      <c r="Z28" s="4074"/>
      <c r="AA28" s="165"/>
      <c r="AB28" s="165"/>
    </row>
    <row r="29" spans="1:28" ht="12.75" customHeight="1" x14ac:dyDescent="0.25">
      <c r="A29" s="143">
        <v>7</v>
      </c>
      <c r="B29" s="144" t="s">
        <v>32</v>
      </c>
      <c r="C29" s="143"/>
      <c r="D29" s="4078" t="s">
        <v>155</v>
      </c>
      <c r="E29" s="4079"/>
      <c r="F29" s="4079"/>
      <c r="G29" s="4079"/>
      <c r="H29" s="4079"/>
      <c r="I29" s="4079"/>
      <c r="J29" s="4079"/>
      <c r="K29" s="4079"/>
      <c r="L29" s="4079"/>
      <c r="M29" s="4079"/>
      <c r="N29" s="4079"/>
      <c r="O29" s="4079"/>
      <c r="P29" s="4079"/>
      <c r="Q29" s="4079"/>
      <c r="R29" s="4079"/>
      <c r="S29" s="4079"/>
      <c r="T29" s="4079"/>
      <c r="U29" s="4079"/>
      <c r="V29" s="4079"/>
      <c r="W29" s="4079"/>
      <c r="X29" s="4079"/>
      <c r="Y29" s="4079"/>
      <c r="Z29" s="4080"/>
      <c r="AA29" s="165"/>
      <c r="AB29" s="165"/>
    </row>
    <row r="30" spans="1:28" ht="12.75" customHeight="1" x14ac:dyDescent="0.25">
      <c r="A30" s="116">
        <v>8</v>
      </c>
      <c r="B30" s="117" t="s">
        <v>31</v>
      </c>
      <c r="C30" s="116"/>
      <c r="D30" s="4072" t="s">
        <v>156</v>
      </c>
      <c r="E30" s="4073"/>
      <c r="F30" s="4073"/>
      <c r="G30" s="4073"/>
      <c r="H30" s="4073"/>
      <c r="I30" s="4073"/>
      <c r="J30" s="4073"/>
      <c r="K30" s="4073"/>
      <c r="L30" s="4073"/>
      <c r="M30" s="4073"/>
      <c r="N30" s="4073"/>
      <c r="O30" s="4073"/>
      <c r="P30" s="4073"/>
      <c r="Q30" s="4073"/>
      <c r="R30" s="4073"/>
      <c r="S30" s="4073"/>
      <c r="T30" s="4073"/>
      <c r="U30" s="4073"/>
      <c r="V30" s="4073"/>
      <c r="W30" s="4073"/>
      <c r="X30" s="4073"/>
      <c r="Y30" s="4073"/>
      <c r="Z30" s="4074"/>
    </row>
    <row r="31" spans="1:28" ht="27" customHeight="1" x14ac:dyDescent="0.25">
      <c r="A31" s="116">
        <v>9</v>
      </c>
      <c r="B31" s="117" t="s">
        <v>157</v>
      </c>
      <c r="C31" s="116"/>
      <c r="D31" s="4072" t="s">
        <v>158</v>
      </c>
      <c r="E31" s="4073"/>
      <c r="F31" s="4073"/>
      <c r="G31" s="4073"/>
      <c r="H31" s="4073"/>
      <c r="I31" s="4073"/>
      <c r="J31" s="4073"/>
      <c r="K31" s="4073"/>
      <c r="L31" s="4073"/>
      <c r="M31" s="4073"/>
      <c r="N31" s="4073"/>
      <c r="O31" s="4073"/>
      <c r="P31" s="4073"/>
      <c r="Q31" s="4073"/>
      <c r="R31" s="4073"/>
      <c r="S31" s="4073"/>
      <c r="T31" s="4073"/>
      <c r="U31" s="4073"/>
      <c r="V31" s="4073"/>
      <c r="W31" s="4073"/>
      <c r="X31" s="4073"/>
      <c r="Y31" s="4073"/>
      <c r="Z31" s="4074"/>
    </row>
    <row r="34" spans="1:28" hidden="1" x14ac:dyDescent="0.25">
      <c r="F34" s="248" t="s">
        <v>131</v>
      </c>
      <c r="G34" s="248" t="s">
        <v>132</v>
      </c>
      <c r="H34" s="248" t="s">
        <v>133</v>
      </c>
      <c r="I34" s="248" t="s">
        <v>134</v>
      </c>
      <c r="J34" s="248" t="s">
        <v>135</v>
      </c>
      <c r="K34" s="248" t="s">
        <v>136</v>
      </c>
      <c r="L34" s="248" t="s">
        <v>137</v>
      </c>
      <c r="M34" s="248" t="s">
        <v>138</v>
      </c>
      <c r="N34" s="248" t="s">
        <v>139</v>
      </c>
      <c r="O34" s="248" t="s">
        <v>140</v>
      </c>
      <c r="P34" s="248" t="s">
        <v>141</v>
      </c>
      <c r="Q34" s="248" t="s">
        <v>142</v>
      </c>
      <c r="R34" s="248" t="s">
        <v>143</v>
      </c>
      <c r="S34" s="248" t="s">
        <v>144</v>
      </c>
      <c r="T34" s="248" t="s">
        <v>145</v>
      </c>
      <c r="U34" s="249" t="s">
        <v>8</v>
      </c>
      <c r="V34" s="249" t="s">
        <v>9</v>
      </c>
      <c r="W34" s="249" t="s">
        <v>10</v>
      </c>
      <c r="X34" s="249" t="s">
        <v>11</v>
      </c>
      <c r="Y34" s="249" t="s">
        <v>12</v>
      </c>
    </row>
    <row r="35" spans="1:28" hidden="1" x14ac:dyDescent="0.25">
      <c r="D35" s="44">
        <v>35.700000000000003</v>
      </c>
      <c r="E35" s="44">
        <v>40.700000000000003</v>
      </c>
      <c r="F35" s="44">
        <v>45.6</v>
      </c>
      <c r="G35" s="44">
        <v>46.7</v>
      </c>
      <c r="H35" s="44">
        <v>46.8</v>
      </c>
      <c r="I35" s="44">
        <v>46.2</v>
      </c>
      <c r="J35" s="44">
        <v>46.1</v>
      </c>
      <c r="K35" s="44">
        <v>43.5</v>
      </c>
      <c r="L35" s="44">
        <v>40.6</v>
      </c>
      <c r="M35" s="44">
        <v>39.4</v>
      </c>
      <c r="N35" s="44">
        <v>33.299999999999997</v>
      </c>
      <c r="O35" s="44">
        <v>32.6</v>
      </c>
      <c r="P35" s="44">
        <v>31.2</v>
      </c>
      <c r="Q35" s="44">
        <v>28</v>
      </c>
      <c r="R35" s="44">
        <v>24.9</v>
      </c>
      <c r="S35" s="44">
        <v>22</v>
      </c>
      <c r="T35" s="44">
        <v>21.8</v>
      </c>
      <c r="U35" s="44">
        <v>26.4</v>
      </c>
      <c r="V35" s="44">
        <v>28.9</v>
      </c>
      <c r="W35" s="44">
        <v>31.9</v>
      </c>
      <c r="X35" s="44">
        <v>34.700000000000003</v>
      </c>
      <c r="Y35" s="44">
        <v>38.200000000000003</v>
      </c>
      <c r="AB35" s="145"/>
    </row>
    <row r="36" spans="1:28" s="53" customFormat="1" hidden="1" x14ac:dyDescent="0.25">
      <c r="A36" s="118"/>
      <c r="B36" s="250"/>
      <c r="C36" s="251"/>
    </row>
    <row r="37" spans="1:28" s="53" customFormat="1" hidden="1" x14ac:dyDescent="0.25">
      <c r="A37" s="118"/>
      <c r="B37" s="4081"/>
      <c r="C37" s="4082"/>
      <c r="D37" s="4082"/>
      <c r="E37" s="4082"/>
      <c r="F37" s="4082"/>
      <c r="G37" s="4082"/>
      <c r="H37" s="4082"/>
      <c r="I37" s="4082"/>
      <c r="J37" s="4082"/>
      <c r="K37" s="4082"/>
      <c r="L37" s="4082"/>
      <c r="M37" s="4082"/>
      <c r="N37" s="4082"/>
      <c r="O37" s="4082"/>
      <c r="P37" s="4083"/>
      <c r="Q37" s="4083"/>
      <c r="R37" s="4083"/>
      <c r="S37" s="4083"/>
      <c r="T37" s="4083"/>
      <c r="U37" s="252"/>
      <c r="V37" s="252"/>
    </row>
    <row r="38" spans="1:28" s="53" customFormat="1" hidden="1" x14ac:dyDescent="0.25">
      <c r="A38" s="118"/>
      <c r="B38" s="253"/>
      <c r="C38" s="251"/>
    </row>
    <row r="39" spans="1:28" hidden="1" x14ac:dyDescent="0.25"/>
    <row r="40" spans="1:28" hidden="1" x14ac:dyDescent="0.25"/>
    <row r="41" spans="1:28" hidden="1" x14ac:dyDescent="0.25"/>
    <row r="42" spans="1:28" hidden="1" x14ac:dyDescent="0.25"/>
    <row r="43" spans="1:28" hidden="1" x14ac:dyDescent="0.25"/>
    <row r="44" spans="1:28" hidden="1" x14ac:dyDescent="0.25"/>
    <row r="45" spans="1:28" hidden="1" x14ac:dyDescent="0.25"/>
    <row r="46" spans="1:28" hidden="1" x14ac:dyDescent="0.25"/>
    <row r="47" spans="1:28" hidden="1" x14ac:dyDescent="0.25"/>
    <row r="48" spans="1:28" hidden="1" x14ac:dyDescent="0.25"/>
    <row r="49" spans="29:29" hidden="1" x14ac:dyDescent="0.25"/>
    <row r="50" spans="29:29" hidden="1" x14ac:dyDescent="0.25"/>
    <row r="51" spans="29:29" hidden="1" x14ac:dyDescent="0.25"/>
    <row r="52" spans="29:29" hidden="1" x14ac:dyDescent="0.25"/>
    <row r="53" spans="29:29" hidden="1" x14ac:dyDescent="0.25"/>
    <row r="54" spans="29:29" hidden="1" x14ac:dyDescent="0.25"/>
    <row r="61" spans="29:29" x14ac:dyDescent="0.25">
      <c r="AC61" s="44" t="s">
        <v>97</v>
      </c>
    </row>
  </sheetData>
  <mergeCells count="9">
    <mergeCell ref="D30:Z30"/>
    <mergeCell ref="D31:Z31"/>
    <mergeCell ref="B37:T37"/>
    <mergeCell ref="D2:AA2"/>
    <mergeCell ref="D3:AA3"/>
    <mergeCell ref="D4:AA4"/>
    <mergeCell ref="D5:AA5"/>
    <mergeCell ref="D28:Z28"/>
    <mergeCell ref="D29:Z29"/>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57"/>
  <sheetViews>
    <sheetView showGridLines="0" view="pageBreakPreview" zoomScaleNormal="100" zoomScaleSheetLayoutView="100" workbookViewId="0">
      <selection activeCell="C41" sqref="C41"/>
    </sheetView>
  </sheetViews>
  <sheetFormatPr defaultColWidth="9.140625" defaultRowHeight="11.25" x14ac:dyDescent="0.2"/>
  <cols>
    <col min="1" max="1" width="3.7109375" style="3365" customWidth="1"/>
    <col min="2" max="2" width="14.42578125" style="3366" customWidth="1"/>
    <col min="3" max="3" width="3.7109375" style="3366" customWidth="1"/>
    <col min="4" max="4" width="36.85546875" style="2702" customWidth="1"/>
    <col min="5" max="5" width="11.7109375" style="2702" customWidth="1"/>
    <col min="6" max="11" width="8.7109375" style="3425" customWidth="1"/>
    <col min="12" max="12" width="8.7109375" style="2702" customWidth="1"/>
    <col min="13" max="13" width="8.7109375" style="2702" bestFit="1" customWidth="1"/>
    <col min="14" max="17" width="9.5703125" style="2702" customWidth="1"/>
    <col min="18" max="20" width="8.7109375" style="2702" bestFit="1" customWidth="1"/>
    <col min="21" max="21" width="9" style="2702" customWidth="1"/>
    <col min="22" max="22" width="7.85546875" style="2702" bestFit="1" customWidth="1"/>
    <col min="23" max="23" width="1.85546875" style="2702" bestFit="1" customWidth="1"/>
    <col min="24" max="259" width="9.140625" style="2702"/>
    <col min="260" max="260" width="3.7109375" style="2702" customWidth="1"/>
    <col min="261" max="261" width="14.42578125" style="2702" customWidth="1"/>
    <col min="262" max="262" width="3.7109375" style="2702" customWidth="1"/>
    <col min="263" max="263" width="33.7109375" style="2702" customWidth="1"/>
    <col min="264" max="264" width="4.140625" style="2702" customWidth="1"/>
    <col min="265" max="271" width="8.7109375" style="2702" customWidth="1"/>
    <col min="272" max="272" width="8.7109375" style="2702" bestFit="1" customWidth="1"/>
    <col min="273" max="273" width="9.5703125" style="2702" customWidth="1"/>
    <col min="274" max="278" width="7.85546875" style="2702" bestFit="1" customWidth="1"/>
    <col min="279" max="279" width="1.85546875" style="2702" bestFit="1" customWidth="1"/>
    <col min="280" max="515" width="9.140625" style="2702"/>
    <col min="516" max="516" width="3.7109375" style="2702" customWidth="1"/>
    <col min="517" max="517" width="14.42578125" style="2702" customWidth="1"/>
    <col min="518" max="518" width="3.7109375" style="2702" customWidth="1"/>
    <col min="519" max="519" width="33.7109375" style="2702" customWidth="1"/>
    <col min="520" max="520" width="4.140625" style="2702" customWidth="1"/>
    <col min="521" max="527" width="8.7109375" style="2702" customWidth="1"/>
    <col min="528" max="528" width="8.7109375" style="2702" bestFit="1" customWidth="1"/>
    <col min="529" max="529" width="9.5703125" style="2702" customWidth="1"/>
    <col min="530" max="534" width="7.85546875" style="2702" bestFit="1" customWidth="1"/>
    <col min="535" max="535" width="1.85546875" style="2702" bestFit="1" customWidth="1"/>
    <col min="536" max="771" width="9.140625" style="2702"/>
    <col min="772" max="772" width="3.7109375" style="2702" customWidth="1"/>
    <col min="773" max="773" width="14.42578125" style="2702" customWidth="1"/>
    <col min="774" max="774" width="3.7109375" style="2702" customWidth="1"/>
    <col min="775" max="775" width="33.7109375" style="2702" customWidth="1"/>
    <col min="776" max="776" width="4.140625" style="2702" customWidth="1"/>
    <col min="777" max="783" width="8.7109375" style="2702" customWidth="1"/>
    <col min="784" max="784" width="8.7109375" style="2702" bestFit="1" customWidth="1"/>
    <col min="785" max="785" width="9.5703125" style="2702" customWidth="1"/>
    <col min="786" max="790" width="7.85546875" style="2702" bestFit="1" customWidth="1"/>
    <col min="791" max="791" width="1.85546875" style="2702" bestFit="1" customWidth="1"/>
    <col min="792" max="1027" width="9.140625" style="2702"/>
    <col min="1028" max="1028" width="3.7109375" style="2702" customWidth="1"/>
    <col min="1029" max="1029" width="14.42578125" style="2702" customWidth="1"/>
    <col min="1030" max="1030" width="3.7109375" style="2702" customWidth="1"/>
    <col min="1031" max="1031" width="33.7109375" style="2702" customWidth="1"/>
    <col min="1032" max="1032" width="4.140625" style="2702" customWidth="1"/>
    <col min="1033" max="1039" width="8.7109375" style="2702" customWidth="1"/>
    <col min="1040" max="1040" width="8.7109375" style="2702" bestFit="1" customWidth="1"/>
    <col min="1041" max="1041" width="9.5703125" style="2702" customWidth="1"/>
    <col min="1042" max="1046" width="7.85546875" style="2702" bestFit="1" customWidth="1"/>
    <col min="1047" max="1047" width="1.85546875" style="2702" bestFit="1" customWidth="1"/>
    <col min="1048" max="1283" width="9.140625" style="2702"/>
    <col min="1284" max="1284" width="3.7109375" style="2702" customWidth="1"/>
    <col min="1285" max="1285" width="14.42578125" style="2702" customWidth="1"/>
    <col min="1286" max="1286" width="3.7109375" style="2702" customWidth="1"/>
    <col min="1287" max="1287" width="33.7109375" style="2702" customWidth="1"/>
    <col min="1288" max="1288" width="4.140625" style="2702" customWidth="1"/>
    <col min="1289" max="1295" width="8.7109375" style="2702" customWidth="1"/>
    <col min="1296" max="1296" width="8.7109375" style="2702" bestFit="1" customWidth="1"/>
    <col min="1297" max="1297" width="9.5703125" style="2702" customWidth="1"/>
    <col min="1298" max="1302" width="7.85546875" style="2702" bestFit="1" customWidth="1"/>
    <col min="1303" max="1303" width="1.85546875" style="2702" bestFit="1" customWidth="1"/>
    <col min="1304" max="1539" width="9.140625" style="2702"/>
    <col min="1540" max="1540" width="3.7109375" style="2702" customWidth="1"/>
    <col min="1541" max="1541" width="14.42578125" style="2702" customWidth="1"/>
    <col min="1542" max="1542" width="3.7109375" style="2702" customWidth="1"/>
    <col min="1543" max="1543" width="33.7109375" style="2702" customWidth="1"/>
    <col min="1544" max="1544" width="4.140625" style="2702" customWidth="1"/>
    <col min="1545" max="1551" width="8.7109375" style="2702" customWidth="1"/>
    <col min="1552" max="1552" width="8.7109375" style="2702" bestFit="1" customWidth="1"/>
    <col min="1553" max="1553" width="9.5703125" style="2702" customWidth="1"/>
    <col min="1554" max="1558" width="7.85546875" style="2702" bestFit="1" customWidth="1"/>
    <col min="1559" max="1559" width="1.85546875" style="2702" bestFit="1" customWidth="1"/>
    <col min="1560" max="1795" width="9.140625" style="2702"/>
    <col min="1796" max="1796" width="3.7109375" style="2702" customWidth="1"/>
    <col min="1797" max="1797" width="14.42578125" style="2702" customWidth="1"/>
    <col min="1798" max="1798" width="3.7109375" style="2702" customWidth="1"/>
    <col min="1799" max="1799" width="33.7109375" style="2702" customWidth="1"/>
    <col min="1800" max="1800" width="4.140625" style="2702" customWidth="1"/>
    <col min="1801" max="1807" width="8.7109375" style="2702" customWidth="1"/>
    <col min="1808" max="1808" width="8.7109375" style="2702" bestFit="1" customWidth="1"/>
    <col min="1809" max="1809" width="9.5703125" style="2702" customWidth="1"/>
    <col min="1810" max="1814" width="7.85546875" style="2702" bestFit="1" customWidth="1"/>
    <col min="1815" max="1815" width="1.85546875" style="2702" bestFit="1" customWidth="1"/>
    <col min="1816" max="2051" width="9.140625" style="2702"/>
    <col min="2052" max="2052" width="3.7109375" style="2702" customWidth="1"/>
    <col min="2053" max="2053" width="14.42578125" style="2702" customWidth="1"/>
    <col min="2054" max="2054" width="3.7109375" style="2702" customWidth="1"/>
    <col min="2055" max="2055" width="33.7109375" style="2702" customWidth="1"/>
    <col min="2056" max="2056" width="4.140625" style="2702" customWidth="1"/>
    <col min="2057" max="2063" width="8.7109375" style="2702" customWidth="1"/>
    <col min="2064" max="2064" width="8.7109375" style="2702" bestFit="1" customWidth="1"/>
    <col min="2065" max="2065" width="9.5703125" style="2702" customWidth="1"/>
    <col min="2066" max="2070" width="7.85546875" style="2702" bestFit="1" customWidth="1"/>
    <col min="2071" max="2071" width="1.85546875" style="2702" bestFit="1" customWidth="1"/>
    <col min="2072" max="2307" width="9.140625" style="2702"/>
    <col min="2308" max="2308" width="3.7109375" style="2702" customWidth="1"/>
    <col min="2309" max="2309" width="14.42578125" style="2702" customWidth="1"/>
    <col min="2310" max="2310" width="3.7109375" style="2702" customWidth="1"/>
    <col min="2311" max="2311" width="33.7109375" style="2702" customWidth="1"/>
    <col min="2312" max="2312" width="4.140625" style="2702" customWidth="1"/>
    <col min="2313" max="2319" width="8.7109375" style="2702" customWidth="1"/>
    <col min="2320" max="2320" width="8.7109375" style="2702" bestFit="1" customWidth="1"/>
    <col min="2321" max="2321" width="9.5703125" style="2702" customWidth="1"/>
    <col min="2322" max="2326" width="7.85546875" style="2702" bestFit="1" customWidth="1"/>
    <col min="2327" max="2327" width="1.85546875" style="2702" bestFit="1" customWidth="1"/>
    <col min="2328" max="2563" width="9.140625" style="2702"/>
    <col min="2564" max="2564" width="3.7109375" style="2702" customWidth="1"/>
    <col min="2565" max="2565" width="14.42578125" style="2702" customWidth="1"/>
    <col min="2566" max="2566" width="3.7109375" style="2702" customWidth="1"/>
    <col min="2567" max="2567" width="33.7109375" style="2702" customWidth="1"/>
    <col min="2568" max="2568" width="4.140625" style="2702" customWidth="1"/>
    <col min="2569" max="2575" width="8.7109375" style="2702" customWidth="1"/>
    <col min="2576" max="2576" width="8.7109375" style="2702" bestFit="1" customWidth="1"/>
    <col min="2577" max="2577" width="9.5703125" style="2702" customWidth="1"/>
    <col min="2578" max="2582" width="7.85546875" style="2702" bestFit="1" customWidth="1"/>
    <col min="2583" max="2583" width="1.85546875" style="2702" bestFit="1" customWidth="1"/>
    <col min="2584" max="2819" width="9.140625" style="2702"/>
    <col min="2820" max="2820" width="3.7109375" style="2702" customWidth="1"/>
    <col min="2821" max="2821" width="14.42578125" style="2702" customWidth="1"/>
    <col min="2822" max="2822" width="3.7109375" style="2702" customWidth="1"/>
    <col min="2823" max="2823" width="33.7109375" style="2702" customWidth="1"/>
    <col min="2824" max="2824" width="4.140625" style="2702" customWidth="1"/>
    <col min="2825" max="2831" width="8.7109375" style="2702" customWidth="1"/>
    <col min="2832" max="2832" width="8.7109375" style="2702" bestFit="1" customWidth="1"/>
    <col min="2833" max="2833" width="9.5703125" style="2702" customWidth="1"/>
    <col min="2834" max="2838" width="7.85546875" style="2702" bestFit="1" customWidth="1"/>
    <col min="2839" max="2839" width="1.85546875" style="2702" bestFit="1" customWidth="1"/>
    <col min="2840" max="3075" width="9.140625" style="2702"/>
    <col min="3076" max="3076" width="3.7109375" style="2702" customWidth="1"/>
    <col min="3077" max="3077" width="14.42578125" style="2702" customWidth="1"/>
    <col min="3078" max="3078" width="3.7109375" style="2702" customWidth="1"/>
    <col min="3079" max="3079" width="33.7109375" style="2702" customWidth="1"/>
    <col min="3080" max="3080" width="4.140625" style="2702" customWidth="1"/>
    <col min="3081" max="3087" width="8.7109375" style="2702" customWidth="1"/>
    <col min="3088" max="3088" width="8.7109375" style="2702" bestFit="1" customWidth="1"/>
    <col min="3089" max="3089" width="9.5703125" style="2702" customWidth="1"/>
    <col min="3090" max="3094" width="7.85546875" style="2702" bestFit="1" customWidth="1"/>
    <col min="3095" max="3095" width="1.85546875" style="2702" bestFit="1" customWidth="1"/>
    <col min="3096" max="3331" width="9.140625" style="2702"/>
    <col min="3332" max="3332" width="3.7109375" style="2702" customWidth="1"/>
    <col min="3333" max="3333" width="14.42578125" style="2702" customWidth="1"/>
    <col min="3334" max="3334" width="3.7109375" style="2702" customWidth="1"/>
    <col min="3335" max="3335" width="33.7109375" style="2702" customWidth="1"/>
    <col min="3336" max="3336" width="4.140625" style="2702" customWidth="1"/>
    <col min="3337" max="3343" width="8.7109375" style="2702" customWidth="1"/>
    <col min="3344" max="3344" width="8.7109375" style="2702" bestFit="1" customWidth="1"/>
    <col min="3345" max="3345" width="9.5703125" style="2702" customWidth="1"/>
    <col min="3346" max="3350" width="7.85546875" style="2702" bestFit="1" customWidth="1"/>
    <col min="3351" max="3351" width="1.85546875" style="2702" bestFit="1" customWidth="1"/>
    <col min="3352" max="3587" width="9.140625" style="2702"/>
    <col min="3588" max="3588" width="3.7109375" style="2702" customWidth="1"/>
    <col min="3589" max="3589" width="14.42578125" style="2702" customWidth="1"/>
    <col min="3590" max="3590" width="3.7109375" style="2702" customWidth="1"/>
    <col min="3591" max="3591" width="33.7109375" style="2702" customWidth="1"/>
    <col min="3592" max="3592" width="4.140625" style="2702" customWidth="1"/>
    <col min="3593" max="3599" width="8.7109375" style="2702" customWidth="1"/>
    <col min="3600" max="3600" width="8.7109375" style="2702" bestFit="1" customWidth="1"/>
    <col min="3601" max="3601" width="9.5703125" style="2702" customWidth="1"/>
    <col min="3602" max="3606" width="7.85546875" style="2702" bestFit="1" customWidth="1"/>
    <col min="3607" max="3607" width="1.85546875" style="2702" bestFit="1" customWidth="1"/>
    <col min="3608" max="3843" width="9.140625" style="2702"/>
    <col min="3844" max="3844" width="3.7109375" style="2702" customWidth="1"/>
    <col min="3845" max="3845" width="14.42578125" style="2702" customWidth="1"/>
    <col min="3846" max="3846" width="3.7109375" style="2702" customWidth="1"/>
    <col min="3847" max="3847" width="33.7109375" style="2702" customWidth="1"/>
    <col min="3848" max="3848" width="4.140625" style="2702" customWidth="1"/>
    <col min="3849" max="3855" width="8.7109375" style="2702" customWidth="1"/>
    <col min="3856" max="3856" width="8.7109375" style="2702" bestFit="1" customWidth="1"/>
    <col min="3857" max="3857" width="9.5703125" style="2702" customWidth="1"/>
    <col min="3858" max="3862" width="7.85546875" style="2702" bestFit="1" customWidth="1"/>
    <col min="3863" max="3863" width="1.85546875" style="2702" bestFit="1" customWidth="1"/>
    <col min="3864" max="4099" width="9.140625" style="2702"/>
    <col min="4100" max="4100" width="3.7109375" style="2702" customWidth="1"/>
    <col min="4101" max="4101" width="14.42578125" style="2702" customWidth="1"/>
    <col min="4102" max="4102" width="3.7109375" style="2702" customWidth="1"/>
    <col min="4103" max="4103" width="33.7109375" style="2702" customWidth="1"/>
    <col min="4104" max="4104" width="4.140625" style="2702" customWidth="1"/>
    <col min="4105" max="4111" width="8.7109375" style="2702" customWidth="1"/>
    <col min="4112" max="4112" width="8.7109375" style="2702" bestFit="1" customWidth="1"/>
    <col min="4113" max="4113" width="9.5703125" style="2702" customWidth="1"/>
    <col min="4114" max="4118" width="7.85546875" style="2702" bestFit="1" customWidth="1"/>
    <col min="4119" max="4119" width="1.85546875" style="2702" bestFit="1" customWidth="1"/>
    <col min="4120" max="4355" width="9.140625" style="2702"/>
    <col min="4356" max="4356" width="3.7109375" style="2702" customWidth="1"/>
    <col min="4357" max="4357" width="14.42578125" style="2702" customWidth="1"/>
    <col min="4358" max="4358" width="3.7109375" style="2702" customWidth="1"/>
    <col min="4359" max="4359" width="33.7109375" style="2702" customWidth="1"/>
    <col min="4360" max="4360" width="4.140625" style="2702" customWidth="1"/>
    <col min="4361" max="4367" width="8.7109375" style="2702" customWidth="1"/>
    <col min="4368" max="4368" width="8.7109375" style="2702" bestFit="1" customWidth="1"/>
    <col min="4369" max="4369" width="9.5703125" style="2702" customWidth="1"/>
    <col min="4370" max="4374" width="7.85546875" style="2702" bestFit="1" customWidth="1"/>
    <col min="4375" max="4375" width="1.85546875" style="2702" bestFit="1" customWidth="1"/>
    <col min="4376" max="4611" width="9.140625" style="2702"/>
    <col min="4612" max="4612" width="3.7109375" style="2702" customWidth="1"/>
    <col min="4613" max="4613" width="14.42578125" style="2702" customWidth="1"/>
    <col min="4614" max="4614" width="3.7109375" style="2702" customWidth="1"/>
    <col min="4615" max="4615" width="33.7109375" style="2702" customWidth="1"/>
    <col min="4616" max="4616" width="4.140625" style="2702" customWidth="1"/>
    <col min="4617" max="4623" width="8.7109375" style="2702" customWidth="1"/>
    <col min="4624" max="4624" width="8.7109375" style="2702" bestFit="1" customWidth="1"/>
    <col min="4625" max="4625" width="9.5703125" style="2702" customWidth="1"/>
    <col min="4626" max="4630" width="7.85546875" style="2702" bestFit="1" customWidth="1"/>
    <col min="4631" max="4631" width="1.85546875" style="2702" bestFit="1" customWidth="1"/>
    <col min="4632" max="4867" width="9.140625" style="2702"/>
    <col min="4868" max="4868" width="3.7109375" style="2702" customWidth="1"/>
    <col min="4869" max="4869" width="14.42578125" style="2702" customWidth="1"/>
    <col min="4870" max="4870" width="3.7109375" style="2702" customWidth="1"/>
    <col min="4871" max="4871" width="33.7109375" style="2702" customWidth="1"/>
    <col min="4872" max="4872" width="4.140625" style="2702" customWidth="1"/>
    <col min="4873" max="4879" width="8.7109375" style="2702" customWidth="1"/>
    <col min="4880" max="4880" width="8.7109375" style="2702" bestFit="1" customWidth="1"/>
    <col min="4881" max="4881" width="9.5703125" style="2702" customWidth="1"/>
    <col min="4882" max="4886" width="7.85546875" style="2702" bestFit="1" customWidth="1"/>
    <col min="4887" max="4887" width="1.85546875" style="2702" bestFit="1" customWidth="1"/>
    <col min="4888" max="5123" width="9.140625" style="2702"/>
    <col min="5124" max="5124" width="3.7109375" style="2702" customWidth="1"/>
    <col min="5125" max="5125" width="14.42578125" style="2702" customWidth="1"/>
    <col min="5126" max="5126" width="3.7109375" style="2702" customWidth="1"/>
    <col min="5127" max="5127" width="33.7109375" style="2702" customWidth="1"/>
    <col min="5128" max="5128" width="4.140625" style="2702" customWidth="1"/>
    <col min="5129" max="5135" width="8.7109375" style="2702" customWidth="1"/>
    <col min="5136" max="5136" width="8.7109375" style="2702" bestFit="1" customWidth="1"/>
    <col min="5137" max="5137" width="9.5703125" style="2702" customWidth="1"/>
    <col min="5138" max="5142" width="7.85546875" style="2702" bestFit="1" customWidth="1"/>
    <col min="5143" max="5143" width="1.85546875" style="2702" bestFit="1" customWidth="1"/>
    <col min="5144" max="5379" width="9.140625" style="2702"/>
    <col min="5380" max="5380" width="3.7109375" style="2702" customWidth="1"/>
    <col min="5381" max="5381" width="14.42578125" style="2702" customWidth="1"/>
    <col min="5382" max="5382" width="3.7109375" style="2702" customWidth="1"/>
    <col min="5383" max="5383" width="33.7109375" style="2702" customWidth="1"/>
    <col min="5384" max="5384" width="4.140625" style="2702" customWidth="1"/>
    <col min="5385" max="5391" width="8.7109375" style="2702" customWidth="1"/>
    <col min="5392" max="5392" width="8.7109375" style="2702" bestFit="1" customWidth="1"/>
    <col min="5393" max="5393" width="9.5703125" style="2702" customWidth="1"/>
    <col min="5394" max="5398" width="7.85546875" style="2702" bestFit="1" customWidth="1"/>
    <col min="5399" max="5399" width="1.85546875" style="2702" bestFit="1" customWidth="1"/>
    <col min="5400" max="5635" width="9.140625" style="2702"/>
    <col min="5636" max="5636" width="3.7109375" style="2702" customWidth="1"/>
    <col min="5637" max="5637" width="14.42578125" style="2702" customWidth="1"/>
    <col min="5638" max="5638" width="3.7109375" style="2702" customWidth="1"/>
    <col min="5639" max="5639" width="33.7109375" style="2702" customWidth="1"/>
    <col min="5640" max="5640" width="4.140625" style="2702" customWidth="1"/>
    <col min="5641" max="5647" width="8.7109375" style="2702" customWidth="1"/>
    <col min="5648" max="5648" width="8.7109375" style="2702" bestFit="1" customWidth="1"/>
    <col min="5649" max="5649" width="9.5703125" style="2702" customWidth="1"/>
    <col min="5650" max="5654" width="7.85546875" style="2702" bestFit="1" customWidth="1"/>
    <col min="5655" max="5655" width="1.85546875" style="2702" bestFit="1" customWidth="1"/>
    <col min="5656" max="5891" width="9.140625" style="2702"/>
    <col min="5892" max="5892" width="3.7109375" style="2702" customWidth="1"/>
    <col min="5893" max="5893" width="14.42578125" style="2702" customWidth="1"/>
    <col min="5894" max="5894" width="3.7109375" style="2702" customWidth="1"/>
    <col min="5895" max="5895" width="33.7109375" style="2702" customWidth="1"/>
    <col min="5896" max="5896" width="4.140625" style="2702" customWidth="1"/>
    <col min="5897" max="5903" width="8.7109375" style="2702" customWidth="1"/>
    <col min="5904" max="5904" width="8.7109375" style="2702" bestFit="1" customWidth="1"/>
    <col min="5905" max="5905" width="9.5703125" style="2702" customWidth="1"/>
    <col min="5906" max="5910" width="7.85546875" style="2702" bestFit="1" customWidth="1"/>
    <col min="5911" max="5911" width="1.85546875" style="2702" bestFit="1" customWidth="1"/>
    <col min="5912" max="6147" width="9.140625" style="2702"/>
    <col min="6148" max="6148" width="3.7109375" style="2702" customWidth="1"/>
    <col min="6149" max="6149" width="14.42578125" style="2702" customWidth="1"/>
    <col min="6150" max="6150" width="3.7109375" style="2702" customWidth="1"/>
    <col min="6151" max="6151" width="33.7109375" style="2702" customWidth="1"/>
    <col min="6152" max="6152" width="4.140625" style="2702" customWidth="1"/>
    <col min="6153" max="6159" width="8.7109375" style="2702" customWidth="1"/>
    <col min="6160" max="6160" width="8.7109375" style="2702" bestFit="1" customWidth="1"/>
    <col min="6161" max="6161" width="9.5703125" style="2702" customWidth="1"/>
    <col min="6162" max="6166" width="7.85546875" style="2702" bestFit="1" customWidth="1"/>
    <col min="6167" max="6167" width="1.85546875" style="2702" bestFit="1" customWidth="1"/>
    <col min="6168" max="6403" width="9.140625" style="2702"/>
    <col min="6404" max="6404" width="3.7109375" style="2702" customWidth="1"/>
    <col min="6405" max="6405" width="14.42578125" style="2702" customWidth="1"/>
    <col min="6406" max="6406" width="3.7109375" style="2702" customWidth="1"/>
    <col min="6407" max="6407" width="33.7109375" style="2702" customWidth="1"/>
    <col min="6408" max="6408" width="4.140625" style="2702" customWidth="1"/>
    <col min="6409" max="6415" width="8.7109375" style="2702" customWidth="1"/>
    <col min="6416" max="6416" width="8.7109375" style="2702" bestFit="1" customWidth="1"/>
    <col min="6417" max="6417" width="9.5703125" style="2702" customWidth="1"/>
    <col min="6418" max="6422" width="7.85546875" style="2702" bestFit="1" customWidth="1"/>
    <col min="6423" max="6423" width="1.85546875" style="2702" bestFit="1" customWidth="1"/>
    <col min="6424" max="6659" width="9.140625" style="2702"/>
    <col min="6660" max="6660" width="3.7109375" style="2702" customWidth="1"/>
    <col min="6661" max="6661" width="14.42578125" style="2702" customWidth="1"/>
    <col min="6662" max="6662" width="3.7109375" style="2702" customWidth="1"/>
    <col min="6663" max="6663" width="33.7109375" style="2702" customWidth="1"/>
    <col min="6664" max="6664" width="4.140625" style="2702" customWidth="1"/>
    <col min="6665" max="6671" width="8.7109375" style="2702" customWidth="1"/>
    <col min="6672" max="6672" width="8.7109375" style="2702" bestFit="1" customWidth="1"/>
    <col min="6673" max="6673" width="9.5703125" style="2702" customWidth="1"/>
    <col min="6674" max="6678" width="7.85546875" style="2702" bestFit="1" customWidth="1"/>
    <col min="6679" max="6679" width="1.85546875" style="2702" bestFit="1" customWidth="1"/>
    <col min="6680" max="6915" width="9.140625" style="2702"/>
    <col min="6916" max="6916" width="3.7109375" style="2702" customWidth="1"/>
    <col min="6917" max="6917" width="14.42578125" style="2702" customWidth="1"/>
    <col min="6918" max="6918" width="3.7109375" style="2702" customWidth="1"/>
    <col min="6919" max="6919" width="33.7109375" style="2702" customWidth="1"/>
    <col min="6920" max="6920" width="4.140625" style="2702" customWidth="1"/>
    <col min="6921" max="6927" width="8.7109375" style="2702" customWidth="1"/>
    <col min="6928" max="6928" width="8.7109375" style="2702" bestFit="1" customWidth="1"/>
    <col min="6929" max="6929" width="9.5703125" style="2702" customWidth="1"/>
    <col min="6930" max="6934" width="7.85546875" style="2702" bestFit="1" customWidth="1"/>
    <col min="6935" max="6935" width="1.85546875" style="2702" bestFit="1" customWidth="1"/>
    <col min="6936" max="7171" width="9.140625" style="2702"/>
    <col min="7172" max="7172" width="3.7109375" style="2702" customWidth="1"/>
    <col min="7173" max="7173" width="14.42578125" style="2702" customWidth="1"/>
    <col min="7174" max="7174" width="3.7109375" style="2702" customWidth="1"/>
    <col min="7175" max="7175" width="33.7109375" style="2702" customWidth="1"/>
    <col min="7176" max="7176" width="4.140625" style="2702" customWidth="1"/>
    <col min="7177" max="7183" width="8.7109375" style="2702" customWidth="1"/>
    <col min="7184" max="7184" width="8.7109375" style="2702" bestFit="1" customWidth="1"/>
    <col min="7185" max="7185" width="9.5703125" style="2702" customWidth="1"/>
    <col min="7186" max="7190" width="7.85546875" style="2702" bestFit="1" customWidth="1"/>
    <col min="7191" max="7191" width="1.85546875" style="2702" bestFit="1" customWidth="1"/>
    <col min="7192" max="7427" width="9.140625" style="2702"/>
    <col min="7428" max="7428" width="3.7109375" style="2702" customWidth="1"/>
    <col min="7429" max="7429" width="14.42578125" style="2702" customWidth="1"/>
    <col min="7430" max="7430" width="3.7109375" style="2702" customWidth="1"/>
    <col min="7431" max="7431" width="33.7109375" style="2702" customWidth="1"/>
    <col min="7432" max="7432" width="4.140625" style="2702" customWidth="1"/>
    <col min="7433" max="7439" width="8.7109375" style="2702" customWidth="1"/>
    <col min="7440" max="7440" width="8.7109375" style="2702" bestFit="1" customWidth="1"/>
    <col min="7441" max="7441" width="9.5703125" style="2702" customWidth="1"/>
    <col min="7442" max="7446" width="7.85546875" style="2702" bestFit="1" customWidth="1"/>
    <col min="7447" max="7447" width="1.85546875" style="2702" bestFit="1" customWidth="1"/>
    <col min="7448" max="7683" width="9.140625" style="2702"/>
    <col min="7684" max="7684" width="3.7109375" style="2702" customWidth="1"/>
    <col min="7685" max="7685" width="14.42578125" style="2702" customWidth="1"/>
    <col min="7686" max="7686" width="3.7109375" style="2702" customWidth="1"/>
    <col min="7687" max="7687" width="33.7109375" style="2702" customWidth="1"/>
    <col min="7688" max="7688" width="4.140625" style="2702" customWidth="1"/>
    <col min="7689" max="7695" width="8.7109375" style="2702" customWidth="1"/>
    <col min="7696" max="7696" width="8.7109375" style="2702" bestFit="1" customWidth="1"/>
    <col min="7697" max="7697" width="9.5703125" style="2702" customWidth="1"/>
    <col min="7698" max="7702" width="7.85546875" style="2702" bestFit="1" customWidth="1"/>
    <col min="7703" max="7703" width="1.85546875" style="2702" bestFit="1" customWidth="1"/>
    <col min="7704" max="7939" width="9.140625" style="2702"/>
    <col min="7940" max="7940" width="3.7109375" style="2702" customWidth="1"/>
    <col min="7941" max="7941" width="14.42578125" style="2702" customWidth="1"/>
    <col min="7942" max="7942" width="3.7109375" style="2702" customWidth="1"/>
    <col min="7943" max="7943" width="33.7109375" style="2702" customWidth="1"/>
    <col min="7944" max="7944" width="4.140625" style="2702" customWidth="1"/>
    <col min="7945" max="7951" width="8.7109375" style="2702" customWidth="1"/>
    <col min="7952" max="7952" width="8.7109375" style="2702" bestFit="1" customWidth="1"/>
    <col min="7953" max="7953" width="9.5703125" style="2702" customWidth="1"/>
    <col min="7954" max="7958" width="7.85546875" style="2702" bestFit="1" customWidth="1"/>
    <col min="7959" max="7959" width="1.85546875" style="2702" bestFit="1" customWidth="1"/>
    <col min="7960" max="8195" width="9.140625" style="2702"/>
    <col min="8196" max="8196" width="3.7109375" style="2702" customWidth="1"/>
    <col min="8197" max="8197" width="14.42578125" style="2702" customWidth="1"/>
    <col min="8198" max="8198" width="3.7109375" style="2702" customWidth="1"/>
    <col min="8199" max="8199" width="33.7109375" style="2702" customWidth="1"/>
    <col min="8200" max="8200" width="4.140625" style="2702" customWidth="1"/>
    <col min="8201" max="8207" width="8.7109375" style="2702" customWidth="1"/>
    <col min="8208" max="8208" width="8.7109375" style="2702" bestFit="1" customWidth="1"/>
    <col min="8209" max="8209" width="9.5703125" style="2702" customWidth="1"/>
    <col min="8210" max="8214" width="7.85546875" style="2702" bestFit="1" customWidth="1"/>
    <col min="8215" max="8215" width="1.85546875" style="2702" bestFit="1" customWidth="1"/>
    <col min="8216" max="8451" width="9.140625" style="2702"/>
    <col min="8452" max="8452" width="3.7109375" style="2702" customWidth="1"/>
    <col min="8453" max="8453" width="14.42578125" style="2702" customWidth="1"/>
    <col min="8454" max="8454" width="3.7109375" style="2702" customWidth="1"/>
    <col min="8455" max="8455" width="33.7109375" style="2702" customWidth="1"/>
    <col min="8456" max="8456" width="4.140625" style="2702" customWidth="1"/>
    <col min="8457" max="8463" width="8.7109375" style="2702" customWidth="1"/>
    <col min="8464" max="8464" width="8.7109375" style="2702" bestFit="1" customWidth="1"/>
    <col min="8465" max="8465" width="9.5703125" style="2702" customWidth="1"/>
    <col min="8466" max="8470" width="7.85546875" style="2702" bestFit="1" customWidth="1"/>
    <col min="8471" max="8471" width="1.85546875" style="2702" bestFit="1" customWidth="1"/>
    <col min="8472" max="8707" width="9.140625" style="2702"/>
    <col min="8708" max="8708" width="3.7109375" style="2702" customWidth="1"/>
    <col min="8709" max="8709" width="14.42578125" style="2702" customWidth="1"/>
    <col min="8710" max="8710" width="3.7109375" style="2702" customWidth="1"/>
    <col min="8711" max="8711" width="33.7109375" style="2702" customWidth="1"/>
    <col min="8712" max="8712" width="4.140625" style="2702" customWidth="1"/>
    <col min="8713" max="8719" width="8.7109375" style="2702" customWidth="1"/>
    <col min="8720" max="8720" width="8.7109375" style="2702" bestFit="1" customWidth="1"/>
    <col min="8721" max="8721" width="9.5703125" style="2702" customWidth="1"/>
    <col min="8722" max="8726" width="7.85546875" style="2702" bestFit="1" customWidth="1"/>
    <col min="8727" max="8727" width="1.85546875" style="2702" bestFit="1" customWidth="1"/>
    <col min="8728" max="8963" width="9.140625" style="2702"/>
    <col min="8964" max="8964" width="3.7109375" style="2702" customWidth="1"/>
    <col min="8965" max="8965" width="14.42578125" style="2702" customWidth="1"/>
    <col min="8966" max="8966" width="3.7109375" style="2702" customWidth="1"/>
    <col min="8967" max="8967" width="33.7109375" style="2702" customWidth="1"/>
    <col min="8968" max="8968" width="4.140625" style="2702" customWidth="1"/>
    <col min="8969" max="8975" width="8.7109375" style="2702" customWidth="1"/>
    <col min="8976" max="8976" width="8.7109375" style="2702" bestFit="1" customWidth="1"/>
    <col min="8977" max="8977" width="9.5703125" style="2702" customWidth="1"/>
    <col min="8978" max="8982" width="7.85546875" style="2702" bestFit="1" customWidth="1"/>
    <col min="8983" max="8983" width="1.85546875" style="2702" bestFit="1" customWidth="1"/>
    <col min="8984" max="9219" width="9.140625" style="2702"/>
    <col min="9220" max="9220" width="3.7109375" style="2702" customWidth="1"/>
    <col min="9221" max="9221" width="14.42578125" style="2702" customWidth="1"/>
    <col min="9222" max="9222" width="3.7109375" style="2702" customWidth="1"/>
    <col min="9223" max="9223" width="33.7109375" style="2702" customWidth="1"/>
    <col min="9224" max="9224" width="4.140625" style="2702" customWidth="1"/>
    <col min="9225" max="9231" width="8.7109375" style="2702" customWidth="1"/>
    <col min="9232" max="9232" width="8.7109375" style="2702" bestFit="1" customWidth="1"/>
    <col min="9233" max="9233" width="9.5703125" style="2702" customWidth="1"/>
    <col min="9234" max="9238" width="7.85546875" style="2702" bestFit="1" customWidth="1"/>
    <col min="9239" max="9239" width="1.85546875" style="2702" bestFit="1" customWidth="1"/>
    <col min="9240" max="9475" width="9.140625" style="2702"/>
    <col min="9476" max="9476" width="3.7109375" style="2702" customWidth="1"/>
    <col min="9477" max="9477" width="14.42578125" style="2702" customWidth="1"/>
    <col min="9478" max="9478" width="3.7109375" style="2702" customWidth="1"/>
    <col min="9479" max="9479" width="33.7109375" style="2702" customWidth="1"/>
    <col min="9480" max="9480" width="4.140625" style="2702" customWidth="1"/>
    <col min="9481" max="9487" width="8.7109375" style="2702" customWidth="1"/>
    <col min="9488" max="9488" width="8.7109375" style="2702" bestFit="1" customWidth="1"/>
    <col min="9489" max="9489" width="9.5703125" style="2702" customWidth="1"/>
    <col min="9490" max="9494" width="7.85546875" style="2702" bestFit="1" customWidth="1"/>
    <col min="9495" max="9495" width="1.85546875" style="2702" bestFit="1" customWidth="1"/>
    <col min="9496" max="9731" width="9.140625" style="2702"/>
    <col min="9732" max="9732" width="3.7109375" style="2702" customWidth="1"/>
    <col min="9733" max="9733" width="14.42578125" style="2702" customWidth="1"/>
    <col min="9734" max="9734" width="3.7109375" style="2702" customWidth="1"/>
    <col min="9735" max="9735" width="33.7109375" style="2702" customWidth="1"/>
    <col min="9736" max="9736" width="4.140625" style="2702" customWidth="1"/>
    <col min="9737" max="9743" width="8.7109375" style="2702" customWidth="1"/>
    <col min="9744" max="9744" width="8.7109375" style="2702" bestFit="1" customWidth="1"/>
    <col min="9745" max="9745" width="9.5703125" style="2702" customWidth="1"/>
    <col min="9746" max="9750" width="7.85546875" style="2702" bestFit="1" customWidth="1"/>
    <col min="9751" max="9751" width="1.85546875" style="2702" bestFit="1" customWidth="1"/>
    <col min="9752" max="9987" width="9.140625" style="2702"/>
    <col min="9988" max="9988" width="3.7109375" style="2702" customWidth="1"/>
    <col min="9989" max="9989" width="14.42578125" style="2702" customWidth="1"/>
    <col min="9990" max="9990" width="3.7109375" style="2702" customWidth="1"/>
    <col min="9991" max="9991" width="33.7109375" style="2702" customWidth="1"/>
    <col min="9992" max="9992" width="4.140625" style="2702" customWidth="1"/>
    <col min="9993" max="9999" width="8.7109375" style="2702" customWidth="1"/>
    <col min="10000" max="10000" width="8.7109375" style="2702" bestFit="1" customWidth="1"/>
    <col min="10001" max="10001" width="9.5703125" style="2702" customWidth="1"/>
    <col min="10002" max="10006" width="7.85546875" style="2702" bestFit="1" customWidth="1"/>
    <col min="10007" max="10007" width="1.85546875" style="2702" bestFit="1" customWidth="1"/>
    <col min="10008" max="10243" width="9.140625" style="2702"/>
    <col min="10244" max="10244" width="3.7109375" style="2702" customWidth="1"/>
    <col min="10245" max="10245" width="14.42578125" style="2702" customWidth="1"/>
    <col min="10246" max="10246" width="3.7109375" style="2702" customWidth="1"/>
    <col min="10247" max="10247" width="33.7109375" style="2702" customWidth="1"/>
    <col min="10248" max="10248" width="4.140625" style="2702" customWidth="1"/>
    <col min="10249" max="10255" width="8.7109375" style="2702" customWidth="1"/>
    <col min="10256" max="10256" width="8.7109375" style="2702" bestFit="1" customWidth="1"/>
    <col min="10257" max="10257" width="9.5703125" style="2702" customWidth="1"/>
    <col min="10258" max="10262" width="7.85546875" style="2702" bestFit="1" customWidth="1"/>
    <col min="10263" max="10263" width="1.85546875" style="2702" bestFit="1" customWidth="1"/>
    <col min="10264" max="10499" width="9.140625" style="2702"/>
    <col min="10500" max="10500" width="3.7109375" style="2702" customWidth="1"/>
    <col min="10501" max="10501" width="14.42578125" style="2702" customWidth="1"/>
    <col min="10502" max="10502" width="3.7109375" style="2702" customWidth="1"/>
    <col min="10503" max="10503" width="33.7109375" style="2702" customWidth="1"/>
    <col min="10504" max="10504" width="4.140625" style="2702" customWidth="1"/>
    <col min="10505" max="10511" width="8.7109375" style="2702" customWidth="1"/>
    <col min="10512" max="10512" width="8.7109375" style="2702" bestFit="1" customWidth="1"/>
    <col min="10513" max="10513" width="9.5703125" style="2702" customWidth="1"/>
    <col min="10514" max="10518" width="7.85546875" style="2702" bestFit="1" customWidth="1"/>
    <col min="10519" max="10519" width="1.85546875" style="2702" bestFit="1" customWidth="1"/>
    <col min="10520" max="10755" width="9.140625" style="2702"/>
    <col min="10756" max="10756" width="3.7109375" style="2702" customWidth="1"/>
    <col min="10757" max="10757" width="14.42578125" style="2702" customWidth="1"/>
    <col min="10758" max="10758" width="3.7109375" style="2702" customWidth="1"/>
    <col min="10759" max="10759" width="33.7109375" style="2702" customWidth="1"/>
    <col min="10760" max="10760" width="4.140625" style="2702" customWidth="1"/>
    <col min="10761" max="10767" width="8.7109375" style="2702" customWidth="1"/>
    <col min="10768" max="10768" width="8.7109375" style="2702" bestFit="1" customWidth="1"/>
    <col min="10769" max="10769" width="9.5703125" style="2702" customWidth="1"/>
    <col min="10770" max="10774" width="7.85546875" style="2702" bestFit="1" customWidth="1"/>
    <col min="10775" max="10775" width="1.85546875" style="2702" bestFit="1" customWidth="1"/>
    <col min="10776" max="11011" width="9.140625" style="2702"/>
    <col min="11012" max="11012" width="3.7109375" style="2702" customWidth="1"/>
    <col min="11013" max="11013" width="14.42578125" style="2702" customWidth="1"/>
    <col min="11014" max="11014" width="3.7109375" style="2702" customWidth="1"/>
    <col min="11015" max="11015" width="33.7109375" style="2702" customWidth="1"/>
    <col min="11016" max="11016" width="4.140625" style="2702" customWidth="1"/>
    <col min="11017" max="11023" width="8.7109375" style="2702" customWidth="1"/>
    <col min="11024" max="11024" width="8.7109375" style="2702" bestFit="1" customWidth="1"/>
    <col min="11025" max="11025" width="9.5703125" style="2702" customWidth="1"/>
    <col min="11026" max="11030" width="7.85546875" style="2702" bestFit="1" customWidth="1"/>
    <col min="11031" max="11031" width="1.85546875" style="2702" bestFit="1" customWidth="1"/>
    <col min="11032" max="11267" width="9.140625" style="2702"/>
    <col min="11268" max="11268" width="3.7109375" style="2702" customWidth="1"/>
    <col min="11269" max="11269" width="14.42578125" style="2702" customWidth="1"/>
    <col min="11270" max="11270" width="3.7109375" style="2702" customWidth="1"/>
    <col min="11271" max="11271" width="33.7109375" style="2702" customWidth="1"/>
    <col min="11272" max="11272" width="4.140625" style="2702" customWidth="1"/>
    <col min="11273" max="11279" width="8.7109375" style="2702" customWidth="1"/>
    <col min="11280" max="11280" width="8.7109375" style="2702" bestFit="1" customWidth="1"/>
    <col min="11281" max="11281" width="9.5703125" style="2702" customWidth="1"/>
    <col min="11282" max="11286" width="7.85546875" style="2702" bestFit="1" customWidth="1"/>
    <col min="11287" max="11287" width="1.85546875" style="2702" bestFit="1" customWidth="1"/>
    <col min="11288" max="11523" width="9.140625" style="2702"/>
    <col min="11524" max="11524" width="3.7109375" style="2702" customWidth="1"/>
    <col min="11525" max="11525" width="14.42578125" style="2702" customWidth="1"/>
    <col min="11526" max="11526" width="3.7109375" style="2702" customWidth="1"/>
    <col min="11527" max="11527" width="33.7109375" style="2702" customWidth="1"/>
    <col min="11528" max="11528" width="4.140625" style="2702" customWidth="1"/>
    <col min="11529" max="11535" width="8.7109375" style="2702" customWidth="1"/>
    <col min="11536" max="11536" width="8.7109375" style="2702" bestFit="1" customWidth="1"/>
    <col min="11537" max="11537" width="9.5703125" style="2702" customWidth="1"/>
    <col min="11538" max="11542" width="7.85546875" style="2702" bestFit="1" customWidth="1"/>
    <col min="11543" max="11543" width="1.85546875" style="2702" bestFit="1" customWidth="1"/>
    <col min="11544" max="11779" width="9.140625" style="2702"/>
    <col min="11780" max="11780" width="3.7109375" style="2702" customWidth="1"/>
    <col min="11781" max="11781" width="14.42578125" style="2702" customWidth="1"/>
    <col min="11782" max="11782" width="3.7109375" style="2702" customWidth="1"/>
    <col min="11783" max="11783" width="33.7109375" style="2702" customWidth="1"/>
    <col min="11784" max="11784" width="4.140625" style="2702" customWidth="1"/>
    <col min="11785" max="11791" width="8.7109375" style="2702" customWidth="1"/>
    <col min="11792" max="11792" width="8.7109375" style="2702" bestFit="1" customWidth="1"/>
    <col min="11793" max="11793" width="9.5703125" style="2702" customWidth="1"/>
    <col min="11794" max="11798" width="7.85546875" style="2702" bestFit="1" customWidth="1"/>
    <col min="11799" max="11799" width="1.85546875" style="2702" bestFit="1" customWidth="1"/>
    <col min="11800" max="12035" width="9.140625" style="2702"/>
    <col min="12036" max="12036" width="3.7109375" style="2702" customWidth="1"/>
    <col min="12037" max="12037" width="14.42578125" style="2702" customWidth="1"/>
    <col min="12038" max="12038" width="3.7109375" style="2702" customWidth="1"/>
    <col min="12039" max="12039" width="33.7109375" style="2702" customWidth="1"/>
    <col min="12040" max="12040" width="4.140625" style="2702" customWidth="1"/>
    <col min="12041" max="12047" width="8.7109375" style="2702" customWidth="1"/>
    <col min="12048" max="12048" width="8.7109375" style="2702" bestFit="1" customWidth="1"/>
    <col min="12049" max="12049" width="9.5703125" style="2702" customWidth="1"/>
    <col min="12050" max="12054" width="7.85546875" style="2702" bestFit="1" customWidth="1"/>
    <col min="12055" max="12055" width="1.85546875" style="2702" bestFit="1" customWidth="1"/>
    <col min="12056" max="12291" width="9.140625" style="2702"/>
    <col min="12292" max="12292" width="3.7109375" style="2702" customWidth="1"/>
    <col min="12293" max="12293" width="14.42578125" style="2702" customWidth="1"/>
    <col min="12294" max="12294" width="3.7109375" style="2702" customWidth="1"/>
    <col min="12295" max="12295" width="33.7109375" style="2702" customWidth="1"/>
    <col min="12296" max="12296" width="4.140625" style="2702" customWidth="1"/>
    <col min="12297" max="12303" width="8.7109375" style="2702" customWidth="1"/>
    <col min="12304" max="12304" width="8.7109375" style="2702" bestFit="1" customWidth="1"/>
    <col min="12305" max="12305" width="9.5703125" style="2702" customWidth="1"/>
    <col min="12306" max="12310" width="7.85546875" style="2702" bestFit="1" customWidth="1"/>
    <col min="12311" max="12311" width="1.85546875" style="2702" bestFit="1" customWidth="1"/>
    <col min="12312" max="12547" width="9.140625" style="2702"/>
    <col min="12548" max="12548" width="3.7109375" style="2702" customWidth="1"/>
    <col min="12549" max="12549" width="14.42578125" style="2702" customWidth="1"/>
    <col min="12550" max="12550" width="3.7109375" style="2702" customWidth="1"/>
    <col min="12551" max="12551" width="33.7109375" style="2702" customWidth="1"/>
    <col min="12552" max="12552" width="4.140625" style="2702" customWidth="1"/>
    <col min="12553" max="12559" width="8.7109375" style="2702" customWidth="1"/>
    <col min="12560" max="12560" width="8.7109375" style="2702" bestFit="1" customWidth="1"/>
    <col min="12561" max="12561" width="9.5703125" style="2702" customWidth="1"/>
    <col min="12562" max="12566" width="7.85546875" style="2702" bestFit="1" customWidth="1"/>
    <col min="12567" max="12567" width="1.85546875" style="2702" bestFit="1" customWidth="1"/>
    <col min="12568" max="12803" width="9.140625" style="2702"/>
    <col min="12804" max="12804" width="3.7109375" style="2702" customWidth="1"/>
    <col min="12805" max="12805" width="14.42578125" style="2702" customWidth="1"/>
    <col min="12806" max="12806" width="3.7109375" style="2702" customWidth="1"/>
    <col min="12807" max="12807" width="33.7109375" style="2702" customWidth="1"/>
    <col min="12808" max="12808" width="4.140625" style="2702" customWidth="1"/>
    <col min="12809" max="12815" width="8.7109375" style="2702" customWidth="1"/>
    <col min="12816" max="12816" width="8.7109375" style="2702" bestFit="1" customWidth="1"/>
    <col min="12817" max="12817" width="9.5703125" style="2702" customWidth="1"/>
    <col min="12818" max="12822" width="7.85546875" style="2702" bestFit="1" customWidth="1"/>
    <col min="12823" max="12823" width="1.85546875" style="2702" bestFit="1" customWidth="1"/>
    <col min="12824" max="13059" width="9.140625" style="2702"/>
    <col min="13060" max="13060" width="3.7109375" style="2702" customWidth="1"/>
    <col min="13061" max="13061" width="14.42578125" style="2702" customWidth="1"/>
    <col min="13062" max="13062" width="3.7109375" style="2702" customWidth="1"/>
    <col min="13063" max="13063" width="33.7109375" style="2702" customWidth="1"/>
    <col min="13064" max="13064" width="4.140625" style="2702" customWidth="1"/>
    <col min="13065" max="13071" width="8.7109375" style="2702" customWidth="1"/>
    <col min="13072" max="13072" width="8.7109375" style="2702" bestFit="1" customWidth="1"/>
    <col min="13073" max="13073" width="9.5703125" style="2702" customWidth="1"/>
    <col min="13074" max="13078" width="7.85546875" style="2702" bestFit="1" customWidth="1"/>
    <col min="13079" max="13079" width="1.85546875" style="2702" bestFit="1" customWidth="1"/>
    <col min="13080" max="13315" width="9.140625" style="2702"/>
    <col min="13316" max="13316" width="3.7109375" style="2702" customWidth="1"/>
    <col min="13317" max="13317" width="14.42578125" style="2702" customWidth="1"/>
    <col min="13318" max="13318" width="3.7109375" style="2702" customWidth="1"/>
    <col min="13319" max="13319" width="33.7109375" style="2702" customWidth="1"/>
    <col min="13320" max="13320" width="4.140625" style="2702" customWidth="1"/>
    <col min="13321" max="13327" width="8.7109375" style="2702" customWidth="1"/>
    <col min="13328" max="13328" width="8.7109375" style="2702" bestFit="1" customWidth="1"/>
    <col min="13329" max="13329" width="9.5703125" style="2702" customWidth="1"/>
    <col min="13330" max="13334" width="7.85546875" style="2702" bestFit="1" customWidth="1"/>
    <col min="13335" max="13335" width="1.85546875" style="2702" bestFit="1" customWidth="1"/>
    <col min="13336" max="13571" width="9.140625" style="2702"/>
    <col min="13572" max="13572" width="3.7109375" style="2702" customWidth="1"/>
    <col min="13573" max="13573" width="14.42578125" style="2702" customWidth="1"/>
    <col min="13574" max="13574" width="3.7109375" style="2702" customWidth="1"/>
    <col min="13575" max="13575" width="33.7109375" style="2702" customWidth="1"/>
    <col min="13576" max="13576" width="4.140625" style="2702" customWidth="1"/>
    <col min="13577" max="13583" width="8.7109375" style="2702" customWidth="1"/>
    <col min="13584" max="13584" width="8.7109375" style="2702" bestFit="1" customWidth="1"/>
    <col min="13585" max="13585" width="9.5703125" style="2702" customWidth="1"/>
    <col min="13586" max="13590" width="7.85546875" style="2702" bestFit="1" customWidth="1"/>
    <col min="13591" max="13591" width="1.85546875" style="2702" bestFit="1" customWidth="1"/>
    <col min="13592" max="13827" width="9.140625" style="2702"/>
    <col min="13828" max="13828" width="3.7109375" style="2702" customWidth="1"/>
    <col min="13829" max="13829" width="14.42578125" style="2702" customWidth="1"/>
    <col min="13830" max="13830" width="3.7109375" style="2702" customWidth="1"/>
    <col min="13831" max="13831" width="33.7109375" style="2702" customWidth="1"/>
    <col min="13832" max="13832" width="4.140625" style="2702" customWidth="1"/>
    <col min="13833" max="13839" width="8.7109375" style="2702" customWidth="1"/>
    <col min="13840" max="13840" width="8.7109375" style="2702" bestFit="1" customWidth="1"/>
    <col min="13841" max="13841" width="9.5703125" style="2702" customWidth="1"/>
    <col min="13842" max="13846" width="7.85546875" style="2702" bestFit="1" customWidth="1"/>
    <col min="13847" max="13847" width="1.85546875" style="2702" bestFit="1" customWidth="1"/>
    <col min="13848" max="14083" width="9.140625" style="2702"/>
    <col min="14084" max="14084" width="3.7109375" style="2702" customWidth="1"/>
    <col min="14085" max="14085" width="14.42578125" style="2702" customWidth="1"/>
    <col min="14086" max="14086" width="3.7109375" style="2702" customWidth="1"/>
    <col min="14087" max="14087" width="33.7109375" style="2702" customWidth="1"/>
    <col min="14088" max="14088" width="4.140625" style="2702" customWidth="1"/>
    <col min="14089" max="14095" width="8.7109375" style="2702" customWidth="1"/>
    <col min="14096" max="14096" width="8.7109375" style="2702" bestFit="1" customWidth="1"/>
    <col min="14097" max="14097" width="9.5703125" style="2702" customWidth="1"/>
    <col min="14098" max="14102" width="7.85546875" style="2702" bestFit="1" customWidth="1"/>
    <col min="14103" max="14103" width="1.85546875" style="2702" bestFit="1" customWidth="1"/>
    <col min="14104" max="14339" width="9.140625" style="2702"/>
    <col min="14340" max="14340" width="3.7109375" style="2702" customWidth="1"/>
    <col min="14341" max="14341" width="14.42578125" style="2702" customWidth="1"/>
    <col min="14342" max="14342" width="3.7109375" style="2702" customWidth="1"/>
    <col min="14343" max="14343" width="33.7109375" style="2702" customWidth="1"/>
    <col min="14344" max="14344" width="4.140625" style="2702" customWidth="1"/>
    <col min="14345" max="14351" width="8.7109375" style="2702" customWidth="1"/>
    <col min="14352" max="14352" width="8.7109375" style="2702" bestFit="1" customWidth="1"/>
    <col min="14353" max="14353" width="9.5703125" style="2702" customWidth="1"/>
    <col min="14354" max="14358" width="7.85546875" style="2702" bestFit="1" customWidth="1"/>
    <col min="14359" max="14359" width="1.85546875" style="2702" bestFit="1" customWidth="1"/>
    <col min="14360" max="14595" width="9.140625" style="2702"/>
    <col min="14596" max="14596" width="3.7109375" style="2702" customWidth="1"/>
    <col min="14597" max="14597" width="14.42578125" style="2702" customWidth="1"/>
    <col min="14598" max="14598" width="3.7109375" style="2702" customWidth="1"/>
    <col min="14599" max="14599" width="33.7109375" style="2702" customWidth="1"/>
    <col min="14600" max="14600" width="4.140625" style="2702" customWidth="1"/>
    <col min="14601" max="14607" width="8.7109375" style="2702" customWidth="1"/>
    <col min="14608" max="14608" width="8.7109375" style="2702" bestFit="1" customWidth="1"/>
    <col min="14609" max="14609" width="9.5703125" style="2702" customWidth="1"/>
    <col min="14610" max="14614" width="7.85546875" style="2702" bestFit="1" customWidth="1"/>
    <col min="14615" max="14615" width="1.85546875" style="2702" bestFit="1" customWidth="1"/>
    <col min="14616" max="14851" width="9.140625" style="2702"/>
    <col min="14852" max="14852" width="3.7109375" style="2702" customWidth="1"/>
    <col min="14853" max="14853" width="14.42578125" style="2702" customWidth="1"/>
    <col min="14854" max="14854" width="3.7109375" style="2702" customWidth="1"/>
    <col min="14855" max="14855" width="33.7109375" style="2702" customWidth="1"/>
    <col min="14856" max="14856" width="4.140625" style="2702" customWidth="1"/>
    <col min="14857" max="14863" width="8.7109375" style="2702" customWidth="1"/>
    <col min="14864" max="14864" width="8.7109375" style="2702" bestFit="1" customWidth="1"/>
    <col min="14865" max="14865" width="9.5703125" style="2702" customWidth="1"/>
    <col min="14866" max="14870" width="7.85546875" style="2702" bestFit="1" customWidth="1"/>
    <col min="14871" max="14871" width="1.85546875" style="2702" bestFit="1" customWidth="1"/>
    <col min="14872" max="15107" width="9.140625" style="2702"/>
    <col min="15108" max="15108" width="3.7109375" style="2702" customWidth="1"/>
    <col min="15109" max="15109" width="14.42578125" style="2702" customWidth="1"/>
    <col min="15110" max="15110" width="3.7109375" style="2702" customWidth="1"/>
    <col min="15111" max="15111" width="33.7109375" style="2702" customWidth="1"/>
    <col min="15112" max="15112" width="4.140625" style="2702" customWidth="1"/>
    <col min="15113" max="15119" width="8.7109375" style="2702" customWidth="1"/>
    <col min="15120" max="15120" width="8.7109375" style="2702" bestFit="1" customWidth="1"/>
    <col min="15121" max="15121" width="9.5703125" style="2702" customWidth="1"/>
    <col min="15122" max="15126" width="7.85546875" style="2702" bestFit="1" customWidth="1"/>
    <col min="15127" max="15127" width="1.85546875" style="2702" bestFit="1" customWidth="1"/>
    <col min="15128" max="15363" width="9.140625" style="2702"/>
    <col min="15364" max="15364" width="3.7109375" style="2702" customWidth="1"/>
    <col min="15365" max="15365" width="14.42578125" style="2702" customWidth="1"/>
    <col min="15366" max="15366" width="3.7109375" style="2702" customWidth="1"/>
    <col min="15367" max="15367" width="33.7109375" style="2702" customWidth="1"/>
    <col min="15368" max="15368" width="4.140625" style="2702" customWidth="1"/>
    <col min="15369" max="15375" width="8.7109375" style="2702" customWidth="1"/>
    <col min="15376" max="15376" width="8.7109375" style="2702" bestFit="1" customWidth="1"/>
    <col min="15377" max="15377" width="9.5703125" style="2702" customWidth="1"/>
    <col min="15378" max="15382" width="7.85546875" style="2702" bestFit="1" customWidth="1"/>
    <col min="15383" max="15383" width="1.85546875" style="2702" bestFit="1" customWidth="1"/>
    <col min="15384" max="15619" width="9.140625" style="2702"/>
    <col min="15620" max="15620" width="3.7109375" style="2702" customWidth="1"/>
    <col min="15621" max="15621" width="14.42578125" style="2702" customWidth="1"/>
    <col min="15622" max="15622" width="3.7109375" style="2702" customWidth="1"/>
    <col min="15623" max="15623" width="33.7109375" style="2702" customWidth="1"/>
    <col min="15624" max="15624" width="4.140625" style="2702" customWidth="1"/>
    <col min="15625" max="15631" width="8.7109375" style="2702" customWidth="1"/>
    <col min="15632" max="15632" width="8.7109375" style="2702" bestFit="1" customWidth="1"/>
    <col min="15633" max="15633" width="9.5703125" style="2702" customWidth="1"/>
    <col min="15634" max="15638" width="7.85546875" style="2702" bestFit="1" customWidth="1"/>
    <col min="15639" max="15639" width="1.85546875" style="2702" bestFit="1" customWidth="1"/>
    <col min="15640" max="15875" width="9.140625" style="2702"/>
    <col min="15876" max="15876" width="3.7109375" style="2702" customWidth="1"/>
    <col min="15877" max="15877" width="14.42578125" style="2702" customWidth="1"/>
    <col min="15878" max="15878" width="3.7109375" style="2702" customWidth="1"/>
    <col min="15879" max="15879" width="33.7109375" style="2702" customWidth="1"/>
    <col min="15880" max="15880" width="4.140625" style="2702" customWidth="1"/>
    <col min="15881" max="15887" width="8.7109375" style="2702" customWidth="1"/>
    <col min="15888" max="15888" width="8.7109375" style="2702" bestFit="1" customWidth="1"/>
    <col min="15889" max="15889" width="9.5703125" style="2702" customWidth="1"/>
    <col min="15890" max="15894" width="7.85546875" style="2702" bestFit="1" customWidth="1"/>
    <col min="15895" max="15895" width="1.85546875" style="2702" bestFit="1" customWidth="1"/>
    <col min="15896" max="16131" width="9.140625" style="2702"/>
    <col min="16132" max="16132" width="3.7109375" style="2702" customWidth="1"/>
    <col min="16133" max="16133" width="14.42578125" style="2702" customWidth="1"/>
    <col min="16134" max="16134" width="3.7109375" style="2702" customWidth="1"/>
    <col min="16135" max="16135" width="33.7109375" style="2702" customWidth="1"/>
    <col min="16136" max="16136" width="4.140625" style="2702" customWidth="1"/>
    <col min="16137" max="16143" width="8.7109375" style="2702" customWidth="1"/>
    <col min="16144" max="16144" width="8.7109375" style="2702" bestFit="1" customWidth="1"/>
    <col min="16145" max="16145" width="9.5703125" style="2702" customWidth="1"/>
    <col min="16146" max="16150" width="7.85546875" style="2702" bestFit="1" customWidth="1"/>
    <col min="16151" max="16151" width="1.85546875" style="2702" bestFit="1" customWidth="1"/>
    <col min="16152" max="16384" width="9.140625" style="2702"/>
  </cols>
  <sheetData>
    <row r="1" spans="1:27" s="2642" customFormat="1" ht="12.75" customHeight="1" x14ac:dyDescent="0.2">
      <c r="A1" s="686"/>
      <c r="B1" s="2641"/>
      <c r="C1" s="2641"/>
      <c r="F1" s="3381"/>
      <c r="G1" s="3381"/>
      <c r="H1" s="3381"/>
      <c r="I1" s="3381"/>
      <c r="J1" s="3381"/>
      <c r="K1" s="3381"/>
    </row>
    <row r="2" spans="1:27" s="2642" customFormat="1" ht="12.75" customHeight="1" x14ac:dyDescent="0.2">
      <c r="A2" s="686">
        <v>1</v>
      </c>
      <c r="B2" s="686" t="s">
        <v>0</v>
      </c>
      <c r="C2" s="686">
        <v>73</v>
      </c>
      <c r="D2" s="1766" t="s">
        <v>1467</v>
      </c>
      <c r="E2" s="1767"/>
      <c r="F2" s="1767"/>
      <c r="G2" s="1767"/>
      <c r="H2" s="1767"/>
      <c r="I2" s="1767"/>
      <c r="J2" s="1767"/>
      <c r="K2" s="1767"/>
      <c r="L2" s="1767"/>
      <c r="M2" s="1767"/>
      <c r="N2" s="1767"/>
      <c r="O2" s="1767"/>
      <c r="P2" s="1767"/>
      <c r="Q2" s="1767"/>
      <c r="R2" s="1767"/>
      <c r="S2" s="1767"/>
      <c r="T2" s="1767"/>
      <c r="U2" s="1768"/>
      <c r="V2" s="688"/>
      <c r="W2" s="1769"/>
    </row>
    <row r="3" spans="1:27" s="2642" customFormat="1" ht="12.75" customHeight="1" x14ac:dyDescent="0.2">
      <c r="A3" s="686">
        <v>2</v>
      </c>
      <c r="B3" s="686" t="s">
        <v>2</v>
      </c>
      <c r="C3" s="686"/>
      <c r="D3" s="4140" t="s">
        <v>1468</v>
      </c>
      <c r="E3" s="4141"/>
      <c r="F3" s="4141"/>
      <c r="G3" s="4141"/>
      <c r="H3" s="4141"/>
      <c r="I3" s="4141"/>
      <c r="J3" s="4141"/>
      <c r="K3" s="4141"/>
      <c r="L3" s="4141"/>
      <c r="M3" s="4141"/>
      <c r="N3" s="4141"/>
      <c r="O3" s="4141"/>
      <c r="P3" s="4141"/>
      <c r="Q3" s="4141"/>
      <c r="R3" s="4141"/>
      <c r="S3" s="4141"/>
      <c r="T3" s="4141"/>
      <c r="U3" s="4142"/>
      <c r="V3" s="1769"/>
      <c r="W3" s="1769"/>
    </row>
    <row r="4" spans="1:27" s="2642" customFormat="1" ht="12.75" customHeight="1" x14ac:dyDescent="0.2">
      <c r="A4" s="686">
        <v>3</v>
      </c>
      <c r="B4" s="686" t="s">
        <v>4</v>
      </c>
      <c r="C4" s="686"/>
      <c r="D4" s="4140" t="s">
        <v>1469</v>
      </c>
      <c r="E4" s="4141"/>
      <c r="F4" s="4141"/>
      <c r="G4" s="4141"/>
      <c r="H4" s="4141"/>
      <c r="I4" s="4141"/>
      <c r="J4" s="4141"/>
      <c r="K4" s="4141"/>
      <c r="L4" s="4141"/>
      <c r="M4" s="4141"/>
      <c r="N4" s="4141"/>
      <c r="O4" s="4141"/>
      <c r="P4" s="4141"/>
      <c r="Q4" s="4141"/>
      <c r="R4" s="4141"/>
      <c r="S4" s="4141"/>
      <c r="T4" s="4141"/>
      <c r="U4" s="4142"/>
      <c r="V4" s="1769"/>
      <c r="W4" s="1769"/>
    </row>
    <row r="5" spans="1:27" s="2642" customFormat="1" ht="13.5" customHeight="1" x14ac:dyDescent="0.2">
      <c r="A5" s="686"/>
      <c r="B5" s="686"/>
      <c r="C5" s="686"/>
      <c r="D5" s="1769"/>
      <c r="E5" s="1769"/>
      <c r="F5" s="3384"/>
      <c r="G5" s="3384"/>
      <c r="H5" s="3384"/>
      <c r="I5" s="3384"/>
      <c r="J5" s="3384"/>
      <c r="K5" s="3384"/>
      <c r="L5" s="688"/>
      <c r="M5" s="688"/>
      <c r="N5" s="688"/>
      <c r="O5" s="688"/>
      <c r="P5" s="688"/>
      <c r="Q5" s="688"/>
      <c r="R5" s="688"/>
      <c r="S5" s="688"/>
      <c r="T5" s="688"/>
      <c r="U5" s="688"/>
      <c r="V5" s="3385"/>
      <c r="W5" s="3383"/>
      <c r="X5" s="3383"/>
    </row>
    <row r="6" spans="1:27" s="2642" customFormat="1" ht="13.5" customHeight="1" x14ac:dyDescent="0.2">
      <c r="C6" s="12"/>
      <c r="F6" s="3381"/>
      <c r="G6" s="3381"/>
      <c r="H6" s="3381"/>
      <c r="I6" s="3381"/>
      <c r="J6" s="3381"/>
      <c r="K6" s="3381"/>
    </row>
    <row r="7" spans="1:27" s="2642" customFormat="1" ht="13.5" customHeight="1" x14ac:dyDescent="0.2">
      <c r="A7" s="686">
        <v>4</v>
      </c>
      <c r="B7" s="12" t="s">
        <v>5</v>
      </c>
      <c r="C7" s="12"/>
      <c r="D7" s="764" t="s">
        <v>6</v>
      </c>
      <c r="E7" s="764"/>
      <c r="F7" s="3386" t="s">
        <v>1470</v>
      </c>
      <c r="G7" s="3387"/>
      <c r="H7" s="3387"/>
      <c r="I7" s="3388"/>
      <c r="J7" s="3388"/>
      <c r="K7" s="3388"/>
      <c r="L7" s="2645"/>
      <c r="M7" s="2645"/>
      <c r="N7" s="2645"/>
      <c r="O7" s="2645"/>
      <c r="P7" s="2645"/>
      <c r="Q7" s="2645"/>
    </row>
    <row r="8" spans="1:27" ht="12" customHeight="1" x14ac:dyDescent="0.2">
      <c r="D8" s="904"/>
      <c r="E8" s="2092"/>
      <c r="F8" s="1775">
        <v>2002</v>
      </c>
      <c r="G8" s="1775">
        <v>2003</v>
      </c>
      <c r="H8" s="1775">
        <v>2004</v>
      </c>
      <c r="I8" s="1775">
        <v>2005</v>
      </c>
      <c r="J8" s="1775">
        <v>2006</v>
      </c>
      <c r="K8" s="1775">
        <v>2007</v>
      </c>
      <c r="L8" s="1775">
        <v>2008</v>
      </c>
      <c r="M8" s="1902">
        <v>2009</v>
      </c>
      <c r="N8" s="2364">
        <v>2010</v>
      </c>
      <c r="O8" s="2364">
        <v>2011</v>
      </c>
      <c r="P8" s="2364">
        <v>2012</v>
      </c>
      <c r="Q8" s="2364">
        <v>2013</v>
      </c>
      <c r="R8" s="2364">
        <v>2014</v>
      </c>
      <c r="S8" s="2364">
        <v>2015</v>
      </c>
      <c r="T8" s="2364">
        <v>2016</v>
      </c>
      <c r="U8" s="3726">
        <v>2017</v>
      </c>
    </row>
    <row r="9" spans="1:27" x14ac:dyDescent="0.2">
      <c r="A9" s="3389"/>
      <c r="C9" s="3390" t="s">
        <v>1471</v>
      </c>
      <c r="D9" s="2287" t="s">
        <v>1472</v>
      </c>
      <c r="E9" s="3391"/>
      <c r="F9" s="1844"/>
      <c r="G9" s="1844"/>
      <c r="H9" s="1844"/>
      <c r="I9" s="1844"/>
      <c r="J9" s="1844"/>
      <c r="K9" s="1844"/>
      <c r="L9" s="1844"/>
      <c r="M9" s="1942">
        <v>7000052</v>
      </c>
      <c r="N9" s="1942">
        <v>7882979</v>
      </c>
      <c r="O9" s="1942">
        <v>8135066</v>
      </c>
      <c r="P9" s="1942">
        <v>8603190</v>
      </c>
      <c r="Q9" s="1942">
        <v>8961565</v>
      </c>
      <c r="R9" s="1942">
        <v>9549236</v>
      </c>
      <c r="S9" s="1942">
        <v>8903773</v>
      </c>
      <c r="T9" s="2312">
        <v>10044163</v>
      </c>
      <c r="U9" s="3727">
        <v>10285197</v>
      </c>
      <c r="V9" s="10"/>
      <c r="W9" s="10"/>
      <c r="X9" s="10"/>
    </row>
    <row r="10" spans="1:27" s="3382" customFormat="1" ht="15" customHeight="1" x14ac:dyDescent="0.2">
      <c r="A10" s="3392"/>
      <c r="B10" s="3393"/>
      <c r="C10" s="3390"/>
      <c r="D10" s="3394" t="s">
        <v>1473</v>
      </c>
      <c r="E10" s="3395"/>
      <c r="F10" s="24"/>
      <c r="G10" s="24"/>
      <c r="H10" s="24"/>
      <c r="I10" s="24"/>
      <c r="J10" s="24"/>
      <c r="K10" s="24"/>
      <c r="L10" s="24"/>
      <c r="M10" s="3396">
        <v>5081011</v>
      </c>
      <c r="N10" s="3396">
        <v>5680356</v>
      </c>
      <c r="O10" s="3396">
        <v>6078000</v>
      </c>
      <c r="P10" s="3396">
        <v>6485058</v>
      </c>
      <c r="Q10" s="3396">
        <v>6732434</v>
      </c>
      <c r="R10" s="3396">
        <v>7279814</v>
      </c>
      <c r="S10" s="3396">
        <v>6746114</v>
      </c>
      <c r="T10" s="3396">
        <v>7501512</v>
      </c>
      <c r="U10" s="3728">
        <v>7559342</v>
      </c>
    </row>
    <row r="11" spans="1:27" s="3382" customFormat="1" ht="16.899999999999999" customHeight="1" x14ac:dyDescent="0.2">
      <c r="A11" s="3392"/>
      <c r="B11" s="3393"/>
      <c r="C11" s="3390"/>
      <c r="D11" s="3394" t="s">
        <v>1474</v>
      </c>
      <c r="E11" s="3395"/>
      <c r="F11" s="24"/>
      <c r="G11" s="24"/>
      <c r="H11" s="24"/>
      <c r="I11" s="24"/>
      <c r="J11" s="24"/>
      <c r="K11" s="24"/>
      <c r="L11" s="3398"/>
      <c r="M11" s="3397">
        <v>1882612</v>
      </c>
      <c r="N11" s="3397">
        <v>2089573</v>
      </c>
      <c r="O11" s="3397">
        <v>2032862</v>
      </c>
      <c r="P11" s="3397">
        <v>2096780</v>
      </c>
      <c r="Q11" s="3397">
        <v>2213134</v>
      </c>
      <c r="R11" s="3397">
        <v>2254709</v>
      </c>
      <c r="S11" s="3397">
        <v>2144988</v>
      </c>
      <c r="T11" s="3396">
        <v>2531046</v>
      </c>
      <c r="U11" s="3728">
        <v>2713133</v>
      </c>
    </row>
    <row r="12" spans="1:27" ht="16.899999999999999" customHeight="1" x14ac:dyDescent="0.2">
      <c r="A12" s="3366"/>
      <c r="C12" s="3390"/>
      <c r="D12" s="2122" t="s">
        <v>1475</v>
      </c>
      <c r="E12" s="3399"/>
      <c r="F12" s="2122"/>
      <c r="G12" s="2122"/>
      <c r="H12" s="2122"/>
      <c r="I12" s="2122"/>
      <c r="J12" s="2122"/>
      <c r="K12" s="2122"/>
      <c r="L12" s="2122"/>
      <c r="M12" s="2122">
        <v>36429</v>
      </c>
      <c r="N12" s="2122">
        <v>113050</v>
      </c>
      <c r="O12" s="2122">
        <v>24204</v>
      </c>
      <c r="P12" s="2122">
        <v>21350</v>
      </c>
      <c r="Q12" s="2122">
        <v>15997</v>
      </c>
      <c r="R12" s="2122">
        <v>14713</v>
      </c>
      <c r="S12" s="2122">
        <v>12671</v>
      </c>
      <c r="T12" s="2122">
        <v>11605</v>
      </c>
      <c r="U12" s="2123">
        <v>12722</v>
      </c>
      <c r="V12" s="10"/>
      <c r="W12" s="10"/>
      <c r="X12" s="10"/>
    </row>
    <row r="13" spans="1:27" ht="16.899999999999999" customHeight="1" x14ac:dyDescent="0.2">
      <c r="C13" s="3390"/>
      <c r="D13" s="749" t="s">
        <v>1476</v>
      </c>
      <c r="E13" s="17"/>
      <c r="F13" s="722"/>
      <c r="G13" s="722"/>
      <c r="H13" s="722"/>
      <c r="I13" s="2702"/>
      <c r="J13" s="2702"/>
      <c r="K13" s="2702"/>
      <c r="M13" s="11"/>
      <c r="N13" s="11"/>
      <c r="O13" s="11"/>
      <c r="P13" s="11"/>
      <c r="Q13" s="11"/>
      <c r="R13" s="11"/>
      <c r="S13" s="11"/>
      <c r="T13" s="17"/>
      <c r="U13" s="28"/>
    </row>
    <row r="14" spans="1:27" s="2439" customFormat="1" ht="16.899999999999999" customHeight="1" x14ac:dyDescent="0.2">
      <c r="A14" s="3400"/>
      <c r="B14" s="3348"/>
      <c r="C14" s="3390" t="s">
        <v>1477</v>
      </c>
      <c r="D14" s="721" t="s">
        <v>1478</v>
      </c>
      <c r="E14" s="706"/>
      <c r="F14" s="3401"/>
      <c r="G14" s="3402"/>
      <c r="H14" s="3403"/>
      <c r="I14" s="3402">
        <v>507384</v>
      </c>
      <c r="J14" s="3402">
        <v>553712</v>
      </c>
      <c r="K14" s="3402">
        <v>569688</v>
      </c>
      <c r="L14" s="3402">
        <v>609021</v>
      </c>
      <c r="M14" s="3126">
        <v>547934</v>
      </c>
      <c r="N14" s="3126">
        <v>603022</v>
      </c>
      <c r="O14" s="3126">
        <v>622929</v>
      </c>
      <c r="P14" s="3126">
        <v>646390</v>
      </c>
      <c r="Q14" s="3126">
        <v>657766</v>
      </c>
      <c r="R14" s="3126">
        <v>681915</v>
      </c>
      <c r="S14" s="3126">
        <v>668651</v>
      </c>
      <c r="T14" s="10">
        <v>686596</v>
      </c>
      <c r="U14" s="28"/>
    </row>
    <row r="15" spans="1:27" ht="25.15" customHeight="1" x14ac:dyDescent="0.2">
      <c r="C15" s="3390"/>
      <c r="D15" s="3404" t="s">
        <v>1479</v>
      </c>
      <c r="E15" s="3405"/>
      <c r="F15" s="3401"/>
      <c r="G15" s="3402"/>
      <c r="H15" s="3402"/>
      <c r="I15" s="3406">
        <v>0.04</v>
      </c>
      <c r="J15" s="3406">
        <v>4.1000000000000002E-2</v>
      </c>
      <c r="K15" s="3406">
        <v>4.2000000000000003E-2</v>
      </c>
      <c r="L15" s="3407">
        <v>4.3999999999999997E-2</v>
      </c>
      <c r="M15" s="3408">
        <v>4.1000000000000002E-2</v>
      </c>
      <c r="N15" s="3408">
        <v>4.3999999999999997E-2</v>
      </c>
      <c r="O15" s="3408">
        <v>4.3999999999999997E-2</v>
      </c>
      <c r="P15" s="3408">
        <v>4.4999999999999998E-2</v>
      </c>
      <c r="Q15" s="3408">
        <v>4.3999999999999997E-2</v>
      </c>
      <c r="R15" s="3408">
        <v>4.4999999999999998E-2</v>
      </c>
      <c r="S15" s="2235">
        <v>4.2000000000000003E-2</v>
      </c>
      <c r="T15" s="2235">
        <v>4.3999999999999997E-2</v>
      </c>
      <c r="U15" s="28"/>
      <c r="AA15" s="2439"/>
    </row>
    <row r="16" spans="1:27" ht="16.899999999999999" customHeight="1" x14ac:dyDescent="0.2">
      <c r="C16" s="3390" t="s">
        <v>1480</v>
      </c>
      <c r="D16" s="721" t="s">
        <v>1481</v>
      </c>
      <c r="E16" s="706"/>
      <c r="F16" s="3401"/>
      <c r="G16" s="3402"/>
      <c r="H16" s="3403"/>
      <c r="I16" s="3403" t="s">
        <v>1482</v>
      </c>
      <c r="J16" s="3403">
        <v>1400900</v>
      </c>
      <c r="K16" s="3403">
        <v>1378100</v>
      </c>
      <c r="L16" s="3402">
        <v>1488300</v>
      </c>
      <c r="M16" s="3126">
        <v>1417900</v>
      </c>
      <c r="N16" s="3126">
        <v>1351300</v>
      </c>
      <c r="O16" s="3126">
        <v>1336800</v>
      </c>
      <c r="P16" s="3126">
        <v>1431000</v>
      </c>
      <c r="Q16" s="3126">
        <v>1446000</v>
      </c>
      <c r="R16" s="3126">
        <v>1492900</v>
      </c>
      <c r="S16" s="3126">
        <v>1543400</v>
      </c>
      <c r="T16" s="10">
        <v>1541900</v>
      </c>
      <c r="U16" s="3727">
        <v>1530300</v>
      </c>
      <c r="AA16" s="2439"/>
    </row>
    <row r="17" spans="1:22" ht="16.899999999999999" customHeight="1" x14ac:dyDescent="0.2">
      <c r="C17" s="3409"/>
      <c r="D17" s="3410" t="s">
        <v>1483</v>
      </c>
      <c r="E17" s="714"/>
      <c r="F17" s="3411"/>
      <c r="G17" s="3412"/>
      <c r="H17" s="3413"/>
      <c r="I17" s="3414">
        <v>9.5000000000000001E-2</v>
      </c>
      <c r="J17" s="3414">
        <v>0.10100000000000001</v>
      </c>
      <c r="K17" s="3414">
        <v>9.9000000000000005E-2</v>
      </c>
      <c r="L17" s="3415">
        <v>0.10199999999999999</v>
      </c>
      <c r="M17" s="3416">
        <v>0.1</v>
      </c>
      <c r="N17" s="3416">
        <v>9.8000000000000004E-2</v>
      </c>
      <c r="O17" s="3416">
        <v>9.5000000000000001E-2</v>
      </c>
      <c r="P17" s="3416">
        <v>9.9000000000000005E-2</v>
      </c>
      <c r="Q17" s="3416">
        <v>9.7000000000000003E-2</v>
      </c>
      <c r="R17" s="3416">
        <v>9.9000000000000005E-2</v>
      </c>
      <c r="S17" s="3416">
        <v>9.8000000000000004E-2</v>
      </c>
      <c r="T17" s="3416">
        <v>9.8000000000000004E-2</v>
      </c>
      <c r="U17" s="3729">
        <v>9.5000000000000001E-2</v>
      </c>
      <c r="V17" s="2439"/>
    </row>
    <row r="18" spans="1:22" ht="18" customHeight="1" x14ac:dyDescent="0.2">
      <c r="C18" s="3390" t="s">
        <v>1484</v>
      </c>
      <c r="D18" s="1738" t="s">
        <v>1485</v>
      </c>
      <c r="E18" s="722"/>
      <c r="F18" s="2281"/>
      <c r="G18" s="2281"/>
      <c r="H18" s="24"/>
      <c r="I18" s="2019"/>
      <c r="J18" s="2019"/>
      <c r="K18" s="2019"/>
      <c r="L18" s="3417"/>
      <c r="M18" s="3418"/>
      <c r="N18" s="3418"/>
      <c r="O18" s="3418"/>
      <c r="P18" s="3419"/>
      <c r="Q18" s="3418"/>
      <c r="R18" s="3418"/>
      <c r="S18" s="772"/>
      <c r="T18" s="17"/>
      <c r="U18" s="3732"/>
    </row>
    <row r="19" spans="1:22" ht="16.899999999999999" customHeight="1" x14ac:dyDescent="0.2">
      <c r="D19" s="3391" t="s">
        <v>1486</v>
      </c>
      <c r="E19" s="3391" t="s">
        <v>113</v>
      </c>
      <c r="F19" s="1999"/>
      <c r="G19" s="1999"/>
      <c r="H19" s="1999"/>
      <c r="I19" s="3420">
        <v>44.9</v>
      </c>
      <c r="J19" s="3420">
        <v>54.4</v>
      </c>
      <c r="K19" s="3420">
        <v>59.8</v>
      </c>
      <c r="L19" s="3420">
        <v>67.2</v>
      </c>
      <c r="M19" s="3420">
        <v>68.8</v>
      </c>
      <c r="N19" s="3420">
        <v>88.4</v>
      </c>
      <c r="O19" s="3420">
        <v>83.9</v>
      </c>
      <c r="P19" s="3420">
        <v>93.8</v>
      </c>
      <c r="Q19" s="3421">
        <v>103.3</v>
      </c>
      <c r="R19" s="3421">
        <v>112.6</v>
      </c>
      <c r="S19" s="17">
        <v>108.7</v>
      </c>
      <c r="T19" s="11">
        <v>125.1</v>
      </c>
      <c r="U19" s="28"/>
    </row>
    <row r="20" spans="1:22" ht="27" customHeight="1" x14ac:dyDescent="0.2">
      <c r="A20" s="3366"/>
      <c r="B20" s="3422"/>
      <c r="D20" s="3391" t="s">
        <v>1487</v>
      </c>
      <c r="E20" s="3391"/>
      <c r="F20" s="722"/>
      <c r="G20" s="1999"/>
      <c r="H20" s="1999"/>
      <c r="I20" s="1970">
        <v>2.9000000000000001E-2</v>
      </c>
      <c r="J20" s="1970">
        <v>0.03</v>
      </c>
      <c r="K20" s="1970">
        <v>0.03</v>
      </c>
      <c r="L20" s="1970">
        <v>0.03</v>
      </c>
      <c r="M20" s="1970">
        <v>2.9000000000000001E-2</v>
      </c>
      <c r="N20" s="1970">
        <v>0.03</v>
      </c>
      <c r="O20" s="2154">
        <v>2.8000000000000001E-2</v>
      </c>
      <c r="P20" s="2154">
        <v>2.9000000000000001E-2</v>
      </c>
      <c r="Q20" s="2154">
        <v>2.9000000000000001E-2</v>
      </c>
      <c r="R20" s="2154">
        <v>0.03</v>
      </c>
      <c r="S20" s="2235">
        <v>2.7E-2</v>
      </c>
      <c r="T20" s="2235">
        <v>2.9000000000000001E-2</v>
      </c>
      <c r="U20" s="28"/>
    </row>
    <row r="21" spans="1:22" ht="24.75" customHeight="1" x14ac:dyDescent="0.2">
      <c r="A21" s="3366"/>
      <c r="C21" s="3390" t="s">
        <v>1488</v>
      </c>
      <c r="D21" s="2085" t="s">
        <v>1489</v>
      </c>
      <c r="E21" s="3391" t="s">
        <v>113</v>
      </c>
      <c r="F21" s="722"/>
      <c r="G21" s="1999"/>
      <c r="H21" s="1999"/>
      <c r="I21" s="3423">
        <v>330.5</v>
      </c>
      <c r="J21" s="3423">
        <v>374.9</v>
      </c>
      <c r="K21" s="3423">
        <v>384.9</v>
      </c>
      <c r="L21" s="3423">
        <v>381.4</v>
      </c>
      <c r="M21" s="3423">
        <v>369.8</v>
      </c>
      <c r="N21" s="3423">
        <v>370.3</v>
      </c>
      <c r="O21" s="1999">
        <v>361.6</v>
      </c>
      <c r="P21" s="1999">
        <v>392.4</v>
      </c>
      <c r="Q21" s="1999">
        <v>405.2</v>
      </c>
      <c r="R21" s="1999">
        <v>418.5</v>
      </c>
      <c r="S21" s="772">
        <v>415.6</v>
      </c>
      <c r="T21" s="17">
        <v>422.6</v>
      </c>
      <c r="U21" s="28">
        <v>412.5</v>
      </c>
    </row>
    <row r="22" spans="1:22" ht="28.5" customHeight="1" x14ac:dyDescent="0.2">
      <c r="A22" s="3366"/>
      <c r="B22" s="3422"/>
      <c r="C22" s="3422"/>
      <c r="D22" s="2096" t="s">
        <v>1490</v>
      </c>
      <c r="E22" s="2097"/>
      <c r="F22" s="767"/>
      <c r="G22" s="3730"/>
      <c r="H22" s="3730"/>
      <c r="I22" s="3031">
        <v>9.4E-2</v>
      </c>
      <c r="J22" s="3031">
        <v>0.10100000000000001</v>
      </c>
      <c r="K22" s="3031">
        <v>9.8000000000000004E-2</v>
      </c>
      <c r="L22" s="3031">
        <v>9.5000000000000001E-2</v>
      </c>
      <c r="M22" s="3031">
        <v>9.2999999999999999E-2</v>
      </c>
      <c r="N22" s="3031">
        <v>0.09</v>
      </c>
      <c r="O22" s="3731">
        <v>8.5999999999999993E-2</v>
      </c>
      <c r="P22" s="3731">
        <v>9.0999999999999998E-2</v>
      </c>
      <c r="Q22" s="3731">
        <v>9.1999999999999998E-2</v>
      </c>
      <c r="R22" s="1868">
        <v>9.2999999999999999E-2</v>
      </c>
      <c r="S22" s="3416">
        <v>9.0999999999999998E-2</v>
      </c>
      <c r="T22" s="3416">
        <v>9.1999999999999998E-2</v>
      </c>
      <c r="U22" s="3729">
        <v>8.8999999999999996E-2</v>
      </c>
    </row>
    <row r="23" spans="1:22" x14ac:dyDescent="0.2">
      <c r="A23" s="3366"/>
      <c r="D23" s="17"/>
      <c r="E23" s="17"/>
      <c r="F23" s="722"/>
      <c r="G23" s="722"/>
      <c r="H23" s="722"/>
      <c r="I23" s="1999"/>
      <c r="J23" s="1999"/>
      <c r="K23" s="1999"/>
      <c r="L23" s="2439"/>
      <c r="M23" s="2439"/>
      <c r="N23" s="2439"/>
      <c r="O23" s="2439"/>
      <c r="P23" s="2439"/>
      <c r="Q23" s="2439"/>
      <c r="R23" s="2439"/>
    </row>
    <row r="24" spans="1:22" x14ac:dyDescent="0.2">
      <c r="A24" s="3366"/>
      <c r="D24" s="17"/>
      <c r="E24" s="17"/>
      <c r="F24" s="722"/>
      <c r="G24" s="722"/>
      <c r="H24" s="722"/>
      <c r="I24" s="1999"/>
      <c r="J24" s="1999"/>
      <c r="K24" s="1999"/>
      <c r="L24" s="2439"/>
      <c r="M24" s="2439"/>
      <c r="N24" s="2439"/>
      <c r="O24" s="2439"/>
      <c r="P24" s="2439"/>
      <c r="Q24" s="2439"/>
      <c r="R24" s="2439"/>
    </row>
    <row r="25" spans="1:22" x14ac:dyDescent="0.2">
      <c r="A25" s="3366"/>
      <c r="D25" s="17"/>
      <c r="E25" s="17"/>
      <c r="F25" s="722"/>
      <c r="G25" s="722"/>
      <c r="H25" s="722"/>
      <c r="I25" s="1999"/>
      <c r="J25" s="1999"/>
      <c r="K25" s="1999"/>
      <c r="L25" s="2439"/>
      <c r="M25" s="2439"/>
      <c r="N25" s="2439"/>
      <c r="O25" s="2439"/>
      <c r="P25" s="2439"/>
      <c r="Q25" s="2439"/>
      <c r="R25" s="2439"/>
    </row>
    <row r="26" spans="1:22" x14ac:dyDescent="0.2">
      <c r="A26" s="3366"/>
      <c r="D26" s="17"/>
      <c r="E26" s="17"/>
      <c r="F26" s="722"/>
      <c r="G26" s="722"/>
      <c r="H26" s="722"/>
      <c r="I26" s="1999"/>
      <c r="J26" s="1999"/>
      <c r="K26" s="1999"/>
      <c r="L26" s="2439"/>
      <c r="M26" s="2439"/>
      <c r="N26" s="2439"/>
      <c r="O26" s="2439"/>
      <c r="P26" s="2439"/>
      <c r="Q26" s="2439"/>
      <c r="R26" s="2439"/>
    </row>
    <row r="27" spans="1:22" x14ac:dyDescent="0.2">
      <c r="A27" s="3366"/>
      <c r="D27" s="17"/>
      <c r="E27" s="17"/>
      <c r="F27" s="722"/>
      <c r="G27" s="722"/>
      <c r="H27" s="722"/>
      <c r="I27" s="1999"/>
      <c r="J27" s="1999"/>
      <c r="K27" s="1999"/>
      <c r="L27" s="2439"/>
      <c r="M27" s="2439"/>
      <c r="N27" s="2439"/>
      <c r="O27" s="2439"/>
      <c r="P27" s="2439"/>
      <c r="Q27" s="2439"/>
      <c r="R27" s="2439"/>
    </row>
    <row r="28" spans="1:22" x14ac:dyDescent="0.2">
      <c r="A28" s="3366"/>
      <c r="D28" s="17"/>
      <c r="E28" s="17"/>
      <c r="F28" s="722"/>
      <c r="G28" s="722"/>
      <c r="H28" s="722"/>
      <c r="I28" s="1999"/>
      <c r="J28" s="1999"/>
      <c r="K28" s="1999"/>
      <c r="L28" s="2439"/>
      <c r="M28" s="2439"/>
      <c r="N28" s="2439"/>
      <c r="O28" s="2439"/>
      <c r="P28" s="2439"/>
      <c r="Q28" s="2439"/>
      <c r="R28" s="2439"/>
    </row>
    <row r="29" spans="1:22" x14ac:dyDescent="0.2">
      <c r="A29" s="3366"/>
      <c r="D29" s="17"/>
      <c r="E29" s="17"/>
      <c r="F29" s="722"/>
      <c r="G29" s="722"/>
      <c r="H29" s="722"/>
      <c r="I29" s="1999"/>
      <c r="J29" s="1999"/>
      <c r="K29" s="1999"/>
      <c r="L29" s="2439"/>
      <c r="M29" s="2439"/>
      <c r="N29" s="2439"/>
      <c r="O29" s="2439"/>
      <c r="P29" s="2439"/>
      <c r="Q29" s="2439"/>
      <c r="R29" s="2439"/>
    </row>
    <row r="30" spans="1:22" x14ac:dyDescent="0.2">
      <c r="A30" s="3366"/>
      <c r="D30" s="17"/>
      <c r="E30" s="17"/>
      <c r="F30" s="722"/>
      <c r="G30" s="722"/>
      <c r="H30" s="722"/>
      <c r="I30" s="1999"/>
      <c r="J30" s="1999"/>
      <c r="K30" s="1999"/>
      <c r="L30" s="2439"/>
      <c r="M30" s="2439"/>
      <c r="N30" s="2439"/>
      <c r="O30" s="2439"/>
      <c r="P30" s="2439"/>
      <c r="Q30" s="2439"/>
      <c r="R30" s="2439"/>
    </row>
    <row r="31" spans="1:22" ht="12.75" x14ac:dyDescent="0.2">
      <c r="A31" s="686">
        <v>5</v>
      </c>
      <c r="B31" s="686" t="s">
        <v>90</v>
      </c>
      <c r="C31" s="686"/>
    </row>
    <row r="32" spans="1:22" x14ac:dyDescent="0.2">
      <c r="R32" s="3380"/>
    </row>
    <row r="33" spans="18:18" x14ac:dyDescent="0.2">
      <c r="R33" s="3380"/>
    </row>
    <row r="34" spans="18:18" x14ac:dyDescent="0.2">
      <c r="R34" s="3380"/>
    </row>
    <row r="35" spans="18:18" x14ac:dyDescent="0.2">
      <c r="R35" s="3380"/>
    </row>
    <row r="36" spans="18:18" x14ac:dyDescent="0.2">
      <c r="R36" s="3380"/>
    </row>
    <row r="37" spans="18:18" x14ac:dyDescent="0.2">
      <c r="R37" s="3380"/>
    </row>
    <row r="38" spans="18:18" x14ac:dyDescent="0.2">
      <c r="R38" s="3380"/>
    </row>
    <row r="39" spans="18:18" x14ac:dyDescent="0.2">
      <c r="R39" s="3380"/>
    </row>
    <row r="40" spans="18:18" x14ac:dyDescent="0.2">
      <c r="R40" s="3380"/>
    </row>
    <row r="41" spans="18:18" x14ac:dyDescent="0.2">
      <c r="R41" s="3380"/>
    </row>
    <row r="42" spans="18:18" x14ac:dyDescent="0.2">
      <c r="R42" s="3380"/>
    </row>
    <row r="43" spans="18:18" x14ac:dyDescent="0.2">
      <c r="R43" s="3380"/>
    </row>
    <row r="44" spans="18:18" x14ac:dyDescent="0.2">
      <c r="R44" s="3380"/>
    </row>
    <row r="53" spans="1:23" s="2642" customFormat="1" ht="12.75" customHeight="1" x14ac:dyDescent="0.2">
      <c r="A53" s="3365"/>
      <c r="B53" s="3366"/>
      <c r="C53" s="3366"/>
      <c r="D53" s="2702"/>
      <c r="E53" s="2702"/>
      <c r="F53" s="3425"/>
      <c r="G53" s="3425"/>
      <c r="H53" s="3425"/>
      <c r="I53" s="3425"/>
      <c r="J53" s="3425"/>
      <c r="K53" s="3425"/>
      <c r="L53" s="3426"/>
      <c r="M53" s="3426"/>
      <c r="N53" s="3426"/>
      <c r="O53" s="3426"/>
      <c r="P53" s="3426"/>
      <c r="Q53" s="3426"/>
      <c r="R53" s="3426"/>
      <c r="S53" s="3426"/>
      <c r="T53" s="3426"/>
      <c r="U53" s="3426"/>
      <c r="V53" s="1769"/>
      <c r="W53" s="1769"/>
    </row>
    <row r="54" spans="1:23" s="2642" customFormat="1" ht="12.75" x14ac:dyDescent="0.2">
      <c r="A54" s="686">
        <v>6</v>
      </c>
      <c r="B54" s="686" t="s">
        <v>29</v>
      </c>
      <c r="C54" s="686"/>
      <c r="D54" s="4140" t="s">
        <v>1491</v>
      </c>
      <c r="E54" s="4141"/>
      <c r="F54" s="4141"/>
      <c r="G54" s="4141"/>
      <c r="H54" s="4141"/>
      <c r="I54" s="4141"/>
      <c r="J54" s="4141"/>
      <c r="K54" s="4141"/>
      <c r="L54" s="4141"/>
      <c r="M54" s="4141"/>
      <c r="N54" s="4141"/>
      <c r="O54" s="4141"/>
      <c r="P54" s="4141"/>
      <c r="Q54" s="4141"/>
      <c r="R54" s="4141"/>
      <c r="S54" s="4141"/>
      <c r="T54" s="4141"/>
      <c r="U54" s="4142"/>
      <c r="V54" s="1769"/>
      <c r="W54" s="1769"/>
    </row>
    <row r="55" spans="1:23" s="2642" customFormat="1" ht="36.75" customHeight="1" x14ac:dyDescent="0.2">
      <c r="A55" s="686">
        <v>7</v>
      </c>
      <c r="B55" s="686" t="s">
        <v>31</v>
      </c>
      <c r="C55" s="686"/>
      <c r="D55" s="4140" t="s">
        <v>1492</v>
      </c>
      <c r="E55" s="4141"/>
      <c r="F55" s="4141"/>
      <c r="G55" s="4141"/>
      <c r="H55" s="4141"/>
      <c r="I55" s="4141"/>
      <c r="J55" s="4141"/>
      <c r="K55" s="4141"/>
      <c r="L55" s="4141"/>
      <c r="M55" s="4141"/>
      <c r="N55" s="4141"/>
      <c r="O55" s="4141"/>
      <c r="P55" s="4141"/>
      <c r="Q55" s="4141"/>
      <c r="R55" s="4141"/>
      <c r="S55" s="4141"/>
      <c r="T55" s="4141"/>
      <c r="U55" s="4142"/>
      <c r="V55" s="1769"/>
      <c r="W55" s="1769"/>
    </row>
    <row r="56" spans="1:23" ht="12.75" x14ac:dyDescent="0.2">
      <c r="A56" s="686">
        <v>8</v>
      </c>
      <c r="B56" s="752" t="s">
        <v>34</v>
      </c>
      <c r="C56" s="752"/>
      <c r="D56" s="4140" t="s">
        <v>1493</v>
      </c>
      <c r="E56" s="4141"/>
      <c r="F56" s="4141"/>
      <c r="G56" s="4141"/>
      <c r="H56" s="4141"/>
      <c r="I56" s="4141"/>
      <c r="J56" s="4141"/>
      <c r="K56" s="4141"/>
      <c r="L56" s="4141"/>
      <c r="M56" s="4141"/>
      <c r="N56" s="4141"/>
      <c r="O56" s="4141"/>
      <c r="P56" s="4141"/>
      <c r="Q56" s="4141"/>
      <c r="R56" s="4141"/>
      <c r="S56" s="4141"/>
      <c r="T56" s="4141"/>
      <c r="U56" s="4142"/>
    </row>
    <row r="57" spans="1:23" s="2642" customFormat="1" ht="66" customHeight="1" x14ac:dyDescent="0.2">
      <c r="A57" s="686">
        <v>9</v>
      </c>
      <c r="B57" s="686" t="s">
        <v>32</v>
      </c>
      <c r="C57" s="686"/>
      <c r="D57" s="4140" t="s">
        <v>1494</v>
      </c>
      <c r="E57" s="4141"/>
      <c r="F57" s="4141"/>
      <c r="G57" s="4141"/>
      <c r="H57" s="4141"/>
      <c r="I57" s="4141"/>
      <c r="J57" s="4141"/>
      <c r="K57" s="4141"/>
      <c r="L57" s="4141"/>
      <c r="M57" s="4141"/>
      <c r="N57" s="4141"/>
      <c r="O57" s="4141"/>
      <c r="P57" s="4141"/>
      <c r="Q57" s="4141"/>
      <c r="R57" s="4141"/>
      <c r="S57" s="4141"/>
      <c r="T57" s="4141"/>
      <c r="U57" s="4142"/>
      <c r="V57" s="1769"/>
      <c r="W57" s="1769"/>
    </row>
  </sheetData>
  <mergeCells count="6">
    <mergeCell ref="D57:U57"/>
    <mergeCell ref="D3:U3"/>
    <mergeCell ref="D4:U4"/>
    <mergeCell ref="D54:U54"/>
    <mergeCell ref="D55:U55"/>
    <mergeCell ref="D56:U56"/>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72"/>
  <sheetViews>
    <sheetView showGridLines="0" view="pageBreakPreview" zoomScaleNormal="100" zoomScaleSheetLayoutView="100" workbookViewId="0">
      <selection activeCell="I60" sqref="I60"/>
    </sheetView>
  </sheetViews>
  <sheetFormatPr defaultColWidth="9.140625" defaultRowHeight="11.25" x14ac:dyDescent="0.2"/>
  <cols>
    <col min="1" max="1" width="3.7109375" style="3365" customWidth="1"/>
    <col min="2" max="2" width="14.42578125" style="3366" customWidth="1"/>
    <col min="3" max="3" width="3.7109375" style="3366" customWidth="1"/>
    <col min="4" max="4" width="17.28515625" style="2702" customWidth="1"/>
    <col min="5" max="14" width="8.7109375" style="2702" customWidth="1"/>
    <col min="15" max="15" width="7.42578125" style="2702" customWidth="1"/>
    <col min="16" max="16" width="7.85546875" style="2702" customWidth="1"/>
    <col min="17" max="17" width="7.5703125" style="2702" customWidth="1"/>
    <col min="18" max="257" width="9.140625" style="2702"/>
    <col min="258" max="258" width="3.7109375" style="2702" customWidth="1"/>
    <col min="259" max="259" width="14.42578125" style="2702" customWidth="1"/>
    <col min="260" max="260" width="3.7109375" style="2702" customWidth="1"/>
    <col min="261" max="261" width="22.5703125" style="2702" customWidth="1"/>
    <col min="262" max="271" width="8.7109375" style="2702" customWidth="1"/>
    <col min="272" max="513" width="9.140625" style="2702"/>
    <col min="514" max="514" width="3.7109375" style="2702" customWidth="1"/>
    <col min="515" max="515" width="14.42578125" style="2702" customWidth="1"/>
    <col min="516" max="516" width="3.7109375" style="2702" customWidth="1"/>
    <col min="517" max="517" width="22.5703125" style="2702" customWidth="1"/>
    <col min="518" max="527" width="8.7109375" style="2702" customWidth="1"/>
    <col min="528" max="769" width="9.140625" style="2702"/>
    <col min="770" max="770" width="3.7109375" style="2702" customWidth="1"/>
    <col min="771" max="771" width="14.42578125" style="2702" customWidth="1"/>
    <col min="772" max="772" width="3.7109375" style="2702" customWidth="1"/>
    <col min="773" max="773" width="22.5703125" style="2702" customWidth="1"/>
    <col min="774" max="783" width="8.7109375" style="2702" customWidth="1"/>
    <col min="784" max="1025" width="9.140625" style="2702"/>
    <col min="1026" max="1026" width="3.7109375" style="2702" customWidth="1"/>
    <col min="1027" max="1027" width="14.42578125" style="2702" customWidth="1"/>
    <col min="1028" max="1028" width="3.7109375" style="2702" customWidth="1"/>
    <col min="1029" max="1029" width="22.5703125" style="2702" customWidth="1"/>
    <col min="1030" max="1039" width="8.7109375" style="2702" customWidth="1"/>
    <col min="1040" max="1281" width="9.140625" style="2702"/>
    <col min="1282" max="1282" width="3.7109375" style="2702" customWidth="1"/>
    <col min="1283" max="1283" width="14.42578125" style="2702" customWidth="1"/>
    <col min="1284" max="1284" width="3.7109375" style="2702" customWidth="1"/>
    <col min="1285" max="1285" width="22.5703125" style="2702" customWidth="1"/>
    <col min="1286" max="1295" width="8.7109375" style="2702" customWidth="1"/>
    <col min="1296" max="1537" width="9.140625" style="2702"/>
    <col min="1538" max="1538" width="3.7109375" style="2702" customWidth="1"/>
    <col min="1539" max="1539" width="14.42578125" style="2702" customWidth="1"/>
    <col min="1540" max="1540" width="3.7109375" style="2702" customWidth="1"/>
    <col min="1541" max="1541" width="22.5703125" style="2702" customWidth="1"/>
    <col min="1542" max="1551" width="8.7109375" style="2702" customWidth="1"/>
    <col min="1552" max="1793" width="9.140625" style="2702"/>
    <col min="1794" max="1794" width="3.7109375" style="2702" customWidth="1"/>
    <col min="1795" max="1795" width="14.42578125" style="2702" customWidth="1"/>
    <col min="1796" max="1796" width="3.7109375" style="2702" customWidth="1"/>
    <col min="1797" max="1797" width="22.5703125" style="2702" customWidth="1"/>
    <col min="1798" max="1807" width="8.7109375" style="2702" customWidth="1"/>
    <col min="1808" max="2049" width="9.140625" style="2702"/>
    <col min="2050" max="2050" width="3.7109375" style="2702" customWidth="1"/>
    <col min="2051" max="2051" width="14.42578125" style="2702" customWidth="1"/>
    <col min="2052" max="2052" width="3.7109375" style="2702" customWidth="1"/>
    <col min="2053" max="2053" width="22.5703125" style="2702" customWidth="1"/>
    <col min="2054" max="2063" width="8.7109375" style="2702" customWidth="1"/>
    <col min="2064" max="2305" width="9.140625" style="2702"/>
    <col min="2306" max="2306" width="3.7109375" style="2702" customWidth="1"/>
    <col min="2307" max="2307" width="14.42578125" style="2702" customWidth="1"/>
    <col min="2308" max="2308" width="3.7109375" style="2702" customWidth="1"/>
    <col min="2309" max="2309" width="22.5703125" style="2702" customWidth="1"/>
    <col min="2310" max="2319" width="8.7109375" style="2702" customWidth="1"/>
    <col min="2320" max="2561" width="9.140625" style="2702"/>
    <col min="2562" max="2562" width="3.7109375" style="2702" customWidth="1"/>
    <col min="2563" max="2563" width="14.42578125" style="2702" customWidth="1"/>
    <col min="2564" max="2564" width="3.7109375" style="2702" customWidth="1"/>
    <col min="2565" max="2565" width="22.5703125" style="2702" customWidth="1"/>
    <col min="2566" max="2575" width="8.7109375" style="2702" customWidth="1"/>
    <col min="2576" max="2817" width="9.140625" style="2702"/>
    <col min="2818" max="2818" width="3.7109375" style="2702" customWidth="1"/>
    <col min="2819" max="2819" width="14.42578125" style="2702" customWidth="1"/>
    <col min="2820" max="2820" width="3.7109375" style="2702" customWidth="1"/>
    <col min="2821" max="2821" width="22.5703125" style="2702" customWidth="1"/>
    <col min="2822" max="2831" width="8.7109375" style="2702" customWidth="1"/>
    <col min="2832" max="3073" width="9.140625" style="2702"/>
    <col min="3074" max="3074" width="3.7109375" style="2702" customWidth="1"/>
    <col min="3075" max="3075" width="14.42578125" style="2702" customWidth="1"/>
    <col min="3076" max="3076" width="3.7109375" style="2702" customWidth="1"/>
    <col min="3077" max="3077" width="22.5703125" style="2702" customWidth="1"/>
    <col min="3078" max="3087" width="8.7109375" style="2702" customWidth="1"/>
    <col min="3088" max="3329" width="9.140625" style="2702"/>
    <col min="3330" max="3330" width="3.7109375" style="2702" customWidth="1"/>
    <col min="3331" max="3331" width="14.42578125" style="2702" customWidth="1"/>
    <col min="3332" max="3332" width="3.7109375" style="2702" customWidth="1"/>
    <col min="3333" max="3333" width="22.5703125" style="2702" customWidth="1"/>
    <col min="3334" max="3343" width="8.7109375" style="2702" customWidth="1"/>
    <col min="3344" max="3585" width="9.140625" style="2702"/>
    <col min="3586" max="3586" width="3.7109375" style="2702" customWidth="1"/>
    <col min="3587" max="3587" width="14.42578125" style="2702" customWidth="1"/>
    <col min="3588" max="3588" width="3.7109375" style="2702" customWidth="1"/>
    <col min="3589" max="3589" width="22.5703125" style="2702" customWidth="1"/>
    <col min="3590" max="3599" width="8.7109375" style="2702" customWidth="1"/>
    <col min="3600" max="3841" width="9.140625" style="2702"/>
    <col min="3842" max="3842" width="3.7109375" style="2702" customWidth="1"/>
    <col min="3843" max="3843" width="14.42578125" style="2702" customWidth="1"/>
    <col min="3844" max="3844" width="3.7109375" style="2702" customWidth="1"/>
    <col min="3845" max="3845" width="22.5703125" style="2702" customWidth="1"/>
    <col min="3846" max="3855" width="8.7109375" style="2702" customWidth="1"/>
    <col min="3856" max="4097" width="9.140625" style="2702"/>
    <col min="4098" max="4098" width="3.7109375" style="2702" customWidth="1"/>
    <col min="4099" max="4099" width="14.42578125" style="2702" customWidth="1"/>
    <col min="4100" max="4100" width="3.7109375" style="2702" customWidth="1"/>
    <col min="4101" max="4101" width="22.5703125" style="2702" customWidth="1"/>
    <col min="4102" max="4111" width="8.7109375" style="2702" customWidth="1"/>
    <col min="4112" max="4353" width="9.140625" style="2702"/>
    <col min="4354" max="4354" width="3.7109375" style="2702" customWidth="1"/>
    <col min="4355" max="4355" width="14.42578125" style="2702" customWidth="1"/>
    <col min="4356" max="4356" width="3.7109375" style="2702" customWidth="1"/>
    <col min="4357" max="4357" width="22.5703125" style="2702" customWidth="1"/>
    <col min="4358" max="4367" width="8.7109375" style="2702" customWidth="1"/>
    <col min="4368" max="4609" width="9.140625" style="2702"/>
    <col min="4610" max="4610" width="3.7109375" style="2702" customWidth="1"/>
    <col min="4611" max="4611" width="14.42578125" style="2702" customWidth="1"/>
    <col min="4612" max="4612" width="3.7109375" style="2702" customWidth="1"/>
    <col min="4613" max="4613" width="22.5703125" style="2702" customWidth="1"/>
    <col min="4614" max="4623" width="8.7109375" style="2702" customWidth="1"/>
    <col min="4624" max="4865" width="9.140625" style="2702"/>
    <col min="4866" max="4866" width="3.7109375" style="2702" customWidth="1"/>
    <col min="4867" max="4867" width="14.42578125" style="2702" customWidth="1"/>
    <col min="4868" max="4868" width="3.7109375" style="2702" customWidth="1"/>
    <col min="4869" max="4869" width="22.5703125" style="2702" customWidth="1"/>
    <col min="4870" max="4879" width="8.7109375" style="2702" customWidth="1"/>
    <col min="4880" max="5121" width="9.140625" style="2702"/>
    <col min="5122" max="5122" width="3.7109375" style="2702" customWidth="1"/>
    <col min="5123" max="5123" width="14.42578125" style="2702" customWidth="1"/>
    <col min="5124" max="5124" width="3.7109375" style="2702" customWidth="1"/>
    <col min="5125" max="5125" width="22.5703125" style="2702" customWidth="1"/>
    <col min="5126" max="5135" width="8.7109375" style="2702" customWidth="1"/>
    <col min="5136" max="5377" width="9.140625" style="2702"/>
    <col min="5378" max="5378" width="3.7109375" style="2702" customWidth="1"/>
    <col min="5379" max="5379" width="14.42578125" style="2702" customWidth="1"/>
    <col min="5380" max="5380" width="3.7109375" style="2702" customWidth="1"/>
    <col min="5381" max="5381" width="22.5703125" style="2702" customWidth="1"/>
    <col min="5382" max="5391" width="8.7109375" style="2702" customWidth="1"/>
    <col min="5392" max="5633" width="9.140625" style="2702"/>
    <col min="5634" max="5634" width="3.7109375" style="2702" customWidth="1"/>
    <col min="5635" max="5635" width="14.42578125" style="2702" customWidth="1"/>
    <col min="5636" max="5636" width="3.7109375" style="2702" customWidth="1"/>
    <col min="5637" max="5637" width="22.5703125" style="2702" customWidth="1"/>
    <col min="5638" max="5647" width="8.7109375" style="2702" customWidth="1"/>
    <col min="5648" max="5889" width="9.140625" style="2702"/>
    <col min="5890" max="5890" width="3.7109375" style="2702" customWidth="1"/>
    <col min="5891" max="5891" width="14.42578125" style="2702" customWidth="1"/>
    <col min="5892" max="5892" width="3.7109375" style="2702" customWidth="1"/>
    <col min="5893" max="5893" width="22.5703125" style="2702" customWidth="1"/>
    <col min="5894" max="5903" width="8.7109375" style="2702" customWidth="1"/>
    <col min="5904" max="6145" width="9.140625" style="2702"/>
    <col min="6146" max="6146" width="3.7109375" style="2702" customWidth="1"/>
    <col min="6147" max="6147" width="14.42578125" style="2702" customWidth="1"/>
    <col min="6148" max="6148" width="3.7109375" style="2702" customWidth="1"/>
    <col min="6149" max="6149" width="22.5703125" style="2702" customWidth="1"/>
    <col min="6150" max="6159" width="8.7109375" style="2702" customWidth="1"/>
    <col min="6160" max="6401" width="9.140625" style="2702"/>
    <col min="6402" max="6402" width="3.7109375" style="2702" customWidth="1"/>
    <col min="6403" max="6403" width="14.42578125" style="2702" customWidth="1"/>
    <col min="6404" max="6404" width="3.7109375" style="2702" customWidth="1"/>
    <col min="6405" max="6405" width="22.5703125" style="2702" customWidth="1"/>
    <col min="6406" max="6415" width="8.7109375" style="2702" customWidth="1"/>
    <col min="6416" max="6657" width="9.140625" style="2702"/>
    <col min="6658" max="6658" width="3.7109375" style="2702" customWidth="1"/>
    <col min="6659" max="6659" width="14.42578125" style="2702" customWidth="1"/>
    <col min="6660" max="6660" width="3.7109375" style="2702" customWidth="1"/>
    <col min="6661" max="6661" width="22.5703125" style="2702" customWidth="1"/>
    <col min="6662" max="6671" width="8.7109375" style="2702" customWidth="1"/>
    <col min="6672" max="6913" width="9.140625" style="2702"/>
    <col min="6914" max="6914" width="3.7109375" style="2702" customWidth="1"/>
    <col min="6915" max="6915" width="14.42578125" style="2702" customWidth="1"/>
    <col min="6916" max="6916" width="3.7109375" style="2702" customWidth="1"/>
    <col min="6917" max="6917" width="22.5703125" style="2702" customWidth="1"/>
    <col min="6918" max="6927" width="8.7109375" style="2702" customWidth="1"/>
    <col min="6928" max="7169" width="9.140625" style="2702"/>
    <col min="7170" max="7170" width="3.7109375" style="2702" customWidth="1"/>
    <col min="7171" max="7171" width="14.42578125" style="2702" customWidth="1"/>
    <col min="7172" max="7172" width="3.7109375" style="2702" customWidth="1"/>
    <col min="7173" max="7173" width="22.5703125" style="2702" customWidth="1"/>
    <col min="7174" max="7183" width="8.7109375" style="2702" customWidth="1"/>
    <col min="7184" max="7425" width="9.140625" style="2702"/>
    <col min="7426" max="7426" width="3.7109375" style="2702" customWidth="1"/>
    <col min="7427" max="7427" width="14.42578125" style="2702" customWidth="1"/>
    <col min="7428" max="7428" width="3.7109375" style="2702" customWidth="1"/>
    <col min="7429" max="7429" width="22.5703125" style="2702" customWidth="1"/>
    <col min="7430" max="7439" width="8.7109375" style="2702" customWidth="1"/>
    <col min="7440" max="7681" width="9.140625" style="2702"/>
    <col min="7682" max="7682" width="3.7109375" style="2702" customWidth="1"/>
    <col min="7683" max="7683" width="14.42578125" style="2702" customWidth="1"/>
    <col min="7684" max="7684" width="3.7109375" style="2702" customWidth="1"/>
    <col min="7685" max="7685" width="22.5703125" style="2702" customWidth="1"/>
    <col min="7686" max="7695" width="8.7109375" style="2702" customWidth="1"/>
    <col min="7696" max="7937" width="9.140625" style="2702"/>
    <col min="7938" max="7938" width="3.7109375" style="2702" customWidth="1"/>
    <col min="7939" max="7939" width="14.42578125" style="2702" customWidth="1"/>
    <col min="7940" max="7940" width="3.7109375" style="2702" customWidth="1"/>
    <col min="7941" max="7941" width="22.5703125" style="2702" customWidth="1"/>
    <col min="7942" max="7951" width="8.7109375" style="2702" customWidth="1"/>
    <col min="7952" max="8193" width="9.140625" style="2702"/>
    <col min="8194" max="8194" width="3.7109375" style="2702" customWidth="1"/>
    <col min="8195" max="8195" width="14.42578125" style="2702" customWidth="1"/>
    <col min="8196" max="8196" width="3.7109375" style="2702" customWidth="1"/>
    <col min="8197" max="8197" width="22.5703125" style="2702" customWidth="1"/>
    <col min="8198" max="8207" width="8.7109375" style="2702" customWidth="1"/>
    <col min="8208" max="8449" width="9.140625" style="2702"/>
    <col min="8450" max="8450" width="3.7109375" style="2702" customWidth="1"/>
    <col min="8451" max="8451" width="14.42578125" style="2702" customWidth="1"/>
    <col min="8452" max="8452" width="3.7109375" style="2702" customWidth="1"/>
    <col min="8453" max="8453" width="22.5703125" style="2702" customWidth="1"/>
    <col min="8454" max="8463" width="8.7109375" style="2702" customWidth="1"/>
    <col min="8464" max="8705" width="9.140625" style="2702"/>
    <col min="8706" max="8706" width="3.7109375" style="2702" customWidth="1"/>
    <col min="8707" max="8707" width="14.42578125" style="2702" customWidth="1"/>
    <col min="8708" max="8708" width="3.7109375" style="2702" customWidth="1"/>
    <col min="8709" max="8709" width="22.5703125" style="2702" customWidth="1"/>
    <col min="8710" max="8719" width="8.7109375" style="2702" customWidth="1"/>
    <col min="8720" max="8961" width="9.140625" style="2702"/>
    <col min="8962" max="8962" width="3.7109375" style="2702" customWidth="1"/>
    <col min="8963" max="8963" width="14.42578125" style="2702" customWidth="1"/>
    <col min="8964" max="8964" width="3.7109375" style="2702" customWidth="1"/>
    <col min="8965" max="8965" width="22.5703125" style="2702" customWidth="1"/>
    <col min="8966" max="8975" width="8.7109375" style="2702" customWidth="1"/>
    <col min="8976" max="9217" width="9.140625" style="2702"/>
    <col min="9218" max="9218" width="3.7109375" style="2702" customWidth="1"/>
    <col min="9219" max="9219" width="14.42578125" style="2702" customWidth="1"/>
    <col min="9220" max="9220" width="3.7109375" style="2702" customWidth="1"/>
    <col min="9221" max="9221" width="22.5703125" style="2702" customWidth="1"/>
    <col min="9222" max="9231" width="8.7109375" style="2702" customWidth="1"/>
    <col min="9232" max="9473" width="9.140625" style="2702"/>
    <col min="9474" max="9474" width="3.7109375" style="2702" customWidth="1"/>
    <col min="9475" max="9475" width="14.42578125" style="2702" customWidth="1"/>
    <col min="9476" max="9476" width="3.7109375" style="2702" customWidth="1"/>
    <col min="9477" max="9477" width="22.5703125" style="2702" customWidth="1"/>
    <col min="9478" max="9487" width="8.7109375" style="2702" customWidth="1"/>
    <col min="9488" max="9729" width="9.140625" style="2702"/>
    <col min="9730" max="9730" width="3.7109375" style="2702" customWidth="1"/>
    <col min="9731" max="9731" width="14.42578125" style="2702" customWidth="1"/>
    <col min="9732" max="9732" width="3.7109375" style="2702" customWidth="1"/>
    <col min="9733" max="9733" width="22.5703125" style="2702" customWidth="1"/>
    <col min="9734" max="9743" width="8.7109375" style="2702" customWidth="1"/>
    <col min="9744" max="9985" width="9.140625" style="2702"/>
    <col min="9986" max="9986" width="3.7109375" style="2702" customWidth="1"/>
    <col min="9987" max="9987" width="14.42578125" style="2702" customWidth="1"/>
    <col min="9988" max="9988" width="3.7109375" style="2702" customWidth="1"/>
    <col min="9989" max="9989" width="22.5703125" style="2702" customWidth="1"/>
    <col min="9990" max="9999" width="8.7109375" style="2702" customWidth="1"/>
    <col min="10000" max="10241" width="9.140625" style="2702"/>
    <col min="10242" max="10242" width="3.7109375" style="2702" customWidth="1"/>
    <col min="10243" max="10243" width="14.42578125" style="2702" customWidth="1"/>
    <col min="10244" max="10244" width="3.7109375" style="2702" customWidth="1"/>
    <col min="10245" max="10245" width="22.5703125" style="2702" customWidth="1"/>
    <col min="10246" max="10255" width="8.7109375" style="2702" customWidth="1"/>
    <col min="10256" max="10497" width="9.140625" style="2702"/>
    <col min="10498" max="10498" width="3.7109375" style="2702" customWidth="1"/>
    <col min="10499" max="10499" width="14.42578125" style="2702" customWidth="1"/>
    <col min="10500" max="10500" width="3.7109375" style="2702" customWidth="1"/>
    <col min="10501" max="10501" width="22.5703125" style="2702" customWidth="1"/>
    <col min="10502" max="10511" width="8.7109375" style="2702" customWidth="1"/>
    <col min="10512" max="10753" width="9.140625" style="2702"/>
    <col min="10754" max="10754" width="3.7109375" style="2702" customWidth="1"/>
    <col min="10755" max="10755" width="14.42578125" style="2702" customWidth="1"/>
    <col min="10756" max="10756" width="3.7109375" style="2702" customWidth="1"/>
    <col min="10757" max="10757" width="22.5703125" style="2702" customWidth="1"/>
    <col min="10758" max="10767" width="8.7109375" style="2702" customWidth="1"/>
    <col min="10768" max="11009" width="9.140625" style="2702"/>
    <col min="11010" max="11010" width="3.7109375" style="2702" customWidth="1"/>
    <col min="11011" max="11011" width="14.42578125" style="2702" customWidth="1"/>
    <col min="11012" max="11012" width="3.7109375" style="2702" customWidth="1"/>
    <col min="11013" max="11013" width="22.5703125" style="2702" customWidth="1"/>
    <col min="11014" max="11023" width="8.7109375" style="2702" customWidth="1"/>
    <col min="11024" max="11265" width="9.140625" style="2702"/>
    <col min="11266" max="11266" width="3.7109375" style="2702" customWidth="1"/>
    <col min="11267" max="11267" width="14.42578125" style="2702" customWidth="1"/>
    <col min="11268" max="11268" width="3.7109375" style="2702" customWidth="1"/>
    <col min="11269" max="11269" width="22.5703125" style="2702" customWidth="1"/>
    <col min="11270" max="11279" width="8.7109375" style="2702" customWidth="1"/>
    <col min="11280" max="11521" width="9.140625" style="2702"/>
    <col min="11522" max="11522" width="3.7109375" style="2702" customWidth="1"/>
    <col min="11523" max="11523" width="14.42578125" style="2702" customWidth="1"/>
    <col min="11524" max="11524" width="3.7109375" style="2702" customWidth="1"/>
    <col min="11525" max="11525" width="22.5703125" style="2702" customWidth="1"/>
    <col min="11526" max="11535" width="8.7109375" style="2702" customWidth="1"/>
    <col min="11536" max="11777" width="9.140625" style="2702"/>
    <col min="11778" max="11778" width="3.7109375" style="2702" customWidth="1"/>
    <col min="11779" max="11779" width="14.42578125" style="2702" customWidth="1"/>
    <col min="11780" max="11780" width="3.7109375" style="2702" customWidth="1"/>
    <col min="11781" max="11781" width="22.5703125" style="2702" customWidth="1"/>
    <col min="11782" max="11791" width="8.7109375" style="2702" customWidth="1"/>
    <col min="11792" max="12033" width="9.140625" style="2702"/>
    <col min="12034" max="12034" width="3.7109375" style="2702" customWidth="1"/>
    <col min="12035" max="12035" width="14.42578125" style="2702" customWidth="1"/>
    <col min="12036" max="12036" width="3.7109375" style="2702" customWidth="1"/>
    <col min="12037" max="12037" width="22.5703125" style="2702" customWidth="1"/>
    <col min="12038" max="12047" width="8.7109375" style="2702" customWidth="1"/>
    <col min="12048" max="12289" width="9.140625" style="2702"/>
    <col min="12290" max="12290" width="3.7109375" style="2702" customWidth="1"/>
    <col min="12291" max="12291" width="14.42578125" style="2702" customWidth="1"/>
    <col min="12292" max="12292" width="3.7109375" style="2702" customWidth="1"/>
    <col min="12293" max="12293" width="22.5703125" style="2702" customWidth="1"/>
    <col min="12294" max="12303" width="8.7109375" style="2702" customWidth="1"/>
    <col min="12304" max="12545" width="9.140625" style="2702"/>
    <col min="12546" max="12546" width="3.7109375" style="2702" customWidth="1"/>
    <col min="12547" max="12547" width="14.42578125" style="2702" customWidth="1"/>
    <col min="12548" max="12548" width="3.7109375" style="2702" customWidth="1"/>
    <col min="12549" max="12549" width="22.5703125" style="2702" customWidth="1"/>
    <col min="12550" max="12559" width="8.7109375" style="2702" customWidth="1"/>
    <col min="12560" max="12801" width="9.140625" style="2702"/>
    <col min="12802" max="12802" width="3.7109375" style="2702" customWidth="1"/>
    <col min="12803" max="12803" width="14.42578125" style="2702" customWidth="1"/>
    <col min="12804" max="12804" width="3.7109375" style="2702" customWidth="1"/>
    <col min="12805" max="12805" width="22.5703125" style="2702" customWidth="1"/>
    <col min="12806" max="12815" width="8.7109375" style="2702" customWidth="1"/>
    <col min="12816" max="13057" width="9.140625" style="2702"/>
    <col min="13058" max="13058" width="3.7109375" style="2702" customWidth="1"/>
    <col min="13059" max="13059" width="14.42578125" style="2702" customWidth="1"/>
    <col min="13060" max="13060" width="3.7109375" style="2702" customWidth="1"/>
    <col min="13061" max="13061" width="22.5703125" style="2702" customWidth="1"/>
    <col min="13062" max="13071" width="8.7109375" style="2702" customWidth="1"/>
    <col min="13072" max="13313" width="9.140625" style="2702"/>
    <col min="13314" max="13314" width="3.7109375" style="2702" customWidth="1"/>
    <col min="13315" max="13315" width="14.42578125" style="2702" customWidth="1"/>
    <col min="13316" max="13316" width="3.7109375" style="2702" customWidth="1"/>
    <col min="13317" max="13317" width="22.5703125" style="2702" customWidth="1"/>
    <col min="13318" max="13327" width="8.7109375" style="2702" customWidth="1"/>
    <col min="13328" max="13569" width="9.140625" style="2702"/>
    <col min="13570" max="13570" width="3.7109375" style="2702" customWidth="1"/>
    <col min="13571" max="13571" width="14.42578125" style="2702" customWidth="1"/>
    <col min="13572" max="13572" width="3.7109375" style="2702" customWidth="1"/>
    <col min="13573" max="13573" width="22.5703125" style="2702" customWidth="1"/>
    <col min="13574" max="13583" width="8.7109375" style="2702" customWidth="1"/>
    <col min="13584" max="13825" width="9.140625" style="2702"/>
    <col min="13826" max="13826" width="3.7109375" style="2702" customWidth="1"/>
    <col min="13827" max="13827" width="14.42578125" style="2702" customWidth="1"/>
    <col min="13828" max="13828" width="3.7109375" style="2702" customWidth="1"/>
    <col min="13829" max="13829" width="22.5703125" style="2702" customWidth="1"/>
    <col min="13830" max="13839" width="8.7109375" style="2702" customWidth="1"/>
    <col min="13840" max="14081" width="9.140625" style="2702"/>
    <col min="14082" max="14082" width="3.7109375" style="2702" customWidth="1"/>
    <col min="14083" max="14083" width="14.42578125" style="2702" customWidth="1"/>
    <col min="14084" max="14084" width="3.7109375" style="2702" customWidth="1"/>
    <col min="14085" max="14085" width="22.5703125" style="2702" customWidth="1"/>
    <col min="14086" max="14095" width="8.7109375" style="2702" customWidth="1"/>
    <col min="14096" max="14337" width="9.140625" style="2702"/>
    <col min="14338" max="14338" width="3.7109375" style="2702" customWidth="1"/>
    <col min="14339" max="14339" width="14.42578125" style="2702" customWidth="1"/>
    <col min="14340" max="14340" width="3.7109375" style="2702" customWidth="1"/>
    <col min="14341" max="14341" width="22.5703125" style="2702" customWidth="1"/>
    <col min="14342" max="14351" width="8.7109375" style="2702" customWidth="1"/>
    <col min="14352" max="14593" width="9.140625" style="2702"/>
    <col min="14594" max="14594" width="3.7109375" style="2702" customWidth="1"/>
    <col min="14595" max="14595" width="14.42578125" style="2702" customWidth="1"/>
    <col min="14596" max="14596" width="3.7109375" style="2702" customWidth="1"/>
    <col min="14597" max="14597" width="22.5703125" style="2702" customWidth="1"/>
    <col min="14598" max="14607" width="8.7109375" style="2702" customWidth="1"/>
    <col min="14608" max="14849" width="9.140625" style="2702"/>
    <col min="14850" max="14850" width="3.7109375" style="2702" customWidth="1"/>
    <col min="14851" max="14851" width="14.42578125" style="2702" customWidth="1"/>
    <col min="14852" max="14852" width="3.7109375" style="2702" customWidth="1"/>
    <col min="14853" max="14853" width="22.5703125" style="2702" customWidth="1"/>
    <col min="14854" max="14863" width="8.7109375" style="2702" customWidth="1"/>
    <col min="14864" max="15105" width="9.140625" style="2702"/>
    <col min="15106" max="15106" width="3.7109375" style="2702" customWidth="1"/>
    <col min="15107" max="15107" width="14.42578125" style="2702" customWidth="1"/>
    <col min="15108" max="15108" width="3.7109375" style="2702" customWidth="1"/>
    <col min="15109" max="15109" width="22.5703125" style="2702" customWidth="1"/>
    <col min="15110" max="15119" width="8.7109375" style="2702" customWidth="1"/>
    <col min="15120" max="15361" width="9.140625" style="2702"/>
    <col min="15362" max="15362" width="3.7109375" style="2702" customWidth="1"/>
    <col min="15363" max="15363" width="14.42578125" style="2702" customWidth="1"/>
    <col min="15364" max="15364" width="3.7109375" style="2702" customWidth="1"/>
    <col min="15365" max="15365" width="22.5703125" style="2702" customWidth="1"/>
    <col min="15366" max="15375" width="8.7109375" style="2702" customWidth="1"/>
    <col min="15376" max="15617" width="9.140625" style="2702"/>
    <col min="15618" max="15618" width="3.7109375" style="2702" customWidth="1"/>
    <col min="15619" max="15619" width="14.42578125" style="2702" customWidth="1"/>
    <col min="15620" max="15620" width="3.7109375" style="2702" customWidth="1"/>
    <col min="15621" max="15621" width="22.5703125" style="2702" customWidth="1"/>
    <col min="15622" max="15631" width="8.7109375" style="2702" customWidth="1"/>
    <col min="15632" max="15873" width="9.140625" style="2702"/>
    <col min="15874" max="15874" width="3.7109375" style="2702" customWidth="1"/>
    <col min="15875" max="15875" width="14.42578125" style="2702" customWidth="1"/>
    <col min="15876" max="15876" width="3.7109375" style="2702" customWidth="1"/>
    <col min="15877" max="15877" width="22.5703125" style="2702" customWidth="1"/>
    <col min="15878" max="15887" width="8.7109375" style="2702" customWidth="1"/>
    <col min="15888" max="16129" width="9.140625" style="2702"/>
    <col min="16130" max="16130" width="3.7109375" style="2702" customWidth="1"/>
    <col min="16131" max="16131" width="14.42578125" style="2702" customWidth="1"/>
    <col min="16132" max="16132" width="3.7109375" style="2702" customWidth="1"/>
    <col min="16133" max="16133" width="22.5703125" style="2702" customWidth="1"/>
    <col min="16134" max="16143" width="8.7109375" style="2702" customWidth="1"/>
    <col min="16144" max="16384" width="9.140625" style="2702"/>
  </cols>
  <sheetData>
    <row r="1" spans="1:22" ht="12.75" customHeight="1" x14ac:dyDescent="0.2">
      <c r="A1" s="686"/>
      <c r="B1" s="2641"/>
      <c r="C1" s="2641"/>
      <c r="D1" s="2642"/>
      <c r="E1" s="2642"/>
      <c r="F1" s="2642"/>
      <c r="G1" s="2642"/>
      <c r="H1" s="2642"/>
      <c r="I1" s="2642"/>
      <c r="J1" s="2642"/>
      <c r="K1" s="2642"/>
      <c r="L1" s="2642"/>
      <c r="M1" s="2642"/>
      <c r="N1" s="2642"/>
      <c r="O1" s="2642"/>
      <c r="P1" s="2642"/>
      <c r="Q1" s="2642"/>
      <c r="R1" s="2642"/>
      <c r="S1" s="2642"/>
      <c r="T1" s="2642"/>
      <c r="U1" s="2642"/>
    </row>
    <row r="2" spans="1:22" ht="12.75" customHeight="1" x14ac:dyDescent="0.2">
      <c r="A2" s="686">
        <v>1</v>
      </c>
      <c r="B2" s="686" t="s">
        <v>100</v>
      </c>
      <c r="C2" s="686">
        <v>74</v>
      </c>
      <c r="D2" s="4140" t="s">
        <v>1495</v>
      </c>
      <c r="E2" s="4141"/>
      <c r="F2" s="4141"/>
      <c r="G2" s="4141"/>
      <c r="H2" s="4141"/>
      <c r="I2" s="4141"/>
      <c r="J2" s="4141"/>
      <c r="K2" s="4141"/>
      <c r="L2" s="4141"/>
      <c r="M2" s="4141"/>
      <c r="N2" s="4141"/>
      <c r="O2" s="4141"/>
      <c r="P2" s="4141"/>
      <c r="Q2" s="4141"/>
      <c r="R2" s="4141"/>
      <c r="S2" s="4141"/>
      <c r="T2" s="4142"/>
      <c r="U2" s="1355"/>
      <c r="V2" s="3364"/>
    </row>
    <row r="3" spans="1:22" ht="15.75" customHeight="1" x14ac:dyDescent="0.2">
      <c r="A3" s="686">
        <v>2</v>
      </c>
      <c r="B3" s="686" t="s">
        <v>102</v>
      </c>
      <c r="C3" s="686"/>
      <c r="D3" s="4140" t="s">
        <v>1496</v>
      </c>
      <c r="E3" s="4141"/>
      <c r="F3" s="4141"/>
      <c r="G3" s="4141"/>
      <c r="H3" s="4141"/>
      <c r="I3" s="4141"/>
      <c r="J3" s="4141"/>
      <c r="K3" s="4141"/>
      <c r="L3" s="4141"/>
      <c r="M3" s="4141"/>
      <c r="N3" s="4141"/>
      <c r="O3" s="4141"/>
      <c r="P3" s="4141"/>
      <c r="Q3" s="4141"/>
      <c r="R3" s="4141"/>
      <c r="S3" s="4141"/>
      <c r="T3" s="4142"/>
      <c r="U3" s="17"/>
    </row>
    <row r="4" spans="1:22" ht="30.75" customHeight="1" x14ac:dyDescent="0.2">
      <c r="A4" s="686">
        <v>3</v>
      </c>
      <c r="B4" s="686" t="s">
        <v>4</v>
      </c>
      <c r="C4" s="686"/>
      <c r="D4" s="4140" t="s">
        <v>1497</v>
      </c>
      <c r="E4" s="4141"/>
      <c r="F4" s="4141"/>
      <c r="G4" s="4141"/>
      <c r="H4" s="4141"/>
      <c r="I4" s="4141"/>
      <c r="J4" s="4141"/>
      <c r="K4" s="4141"/>
      <c r="L4" s="4141"/>
      <c r="M4" s="4141"/>
      <c r="N4" s="4141"/>
      <c r="O4" s="4141"/>
      <c r="P4" s="4141"/>
      <c r="Q4" s="4141"/>
      <c r="R4" s="4141"/>
      <c r="S4" s="4141"/>
      <c r="T4" s="4142"/>
      <c r="U4" s="17"/>
    </row>
    <row r="5" spans="1:22" ht="12.75" customHeight="1" x14ac:dyDescent="0.2">
      <c r="A5" s="3367"/>
      <c r="B5" s="12"/>
      <c r="C5" s="12"/>
      <c r="D5" s="3"/>
      <c r="E5" s="3"/>
      <c r="F5" s="3"/>
      <c r="G5" s="3"/>
      <c r="H5" s="3"/>
      <c r="I5" s="3"/>
      <c r="J5" s="3"/>
      <c r="K5" s="3"/>
      <c r="L5" s="3"/>
      <c r="M5" s="3"/>
      <c r="N5" s="3"/>
      <c r="O5" s="3"/>
      <c r="P5" s="3"/>
      <c r="Q5" s="3"/>
      <c r="R5" s="3"/>
      <c r="S5" s="3"/>
      <c r="T5" s="2642"/>
      <c r="U5" s="2642"/>
    </row>
    <row r="6" spans="1:22" ht="12.75" customHeight="1" x14ac:dyDescent="0.2">
      <c r="A6" s="686">
        <v>4</v>
      </c>
      <c r="B6" s="12" t="s">
        <v>5</v>
      </c>
      <c r="D6" s="3386" t="s">
        <v>548</v>
      </c>
      <c r="E6" s="1738" t="s">
        <v>1498</v>
      </c>
      <c r="F6" s="1858"/>
      <c r="G6" s="1858"/>
      <c r="H6" s="1858"/>
      <c r="I6" s="1858"/>
      <c r="J6" s="1858"/>
      <c r="K6" s="1858"/>
      <c r="L6" s="1858"/>
      <c r="M6" s="3427"/>
      <c r="N6" s="3427"/>
      <c r="O6" s="3427"/>
      <c r="P6" s="17"/>
      <c r="Q6" s="17"/>
      <c r="R6" s="17"/>
      <c r="S6" s="17"/>
    </row>
    <row r="7" spans="1:22" ht="19.5" customHeight="1" x14ac:dyDescent="0.2">
      <c r="D7" s="3336"/>
      <c r="E7" s="2436" t="s">
        <v>138</v>
      </c>
      <c r="F7" s="2436" t="s">
        <v>139</v>
      </c>
      <c r="G7" s="2436" t="s">
        <v>140</v>
      </c>
      <c r="H7" s="2436" t="s">
        <v>141</v>
      </c>
      <c r="I7" s="2436" t="s">
        <v>142</v>
      </c>
      <c r="J7" s="1775" t="s">
        <v>143</v>
      </c>
      <c r="K7" s="1775" t="s">
        <v>144</v>
      </c>
      <c r="L7" s="1775" t="s">
        <v>145</v>
      </c>
      <c r="M7" s="1775" t="s">
        <v>8</v>
      </c>
      <c r="N7" s="3428" t="s">
        <v>9</v>
      </c>
      <c r="O7" s="1776" t="s">
        <v>10</v>
      </c>
      <c r="P7" s="3428" t="s">
        <v>11</v>
      </c>
      <c r="Q7" s="3428" t="s">
        <v>12</v>
      </c>
      <c r="R7" s="3428" t="s">
        <v>13</v>
      </c>
      <c r="S7" s="3428" t="s">
        <v>14</v>
      </c>
      <c r="T7" s="3733" t="s">
        <v>333</v>
      </c>
    </row>
    <row r="8" spans="1:22" ht="13.5" customHeight="1" x14ac:dyDescent="0.2">
      <c r="D8" s="932" t="s">
        <v>1499</v>
      </c>
      <c r="E8" s="2439">
        <v>27</v>
      </c>
      <c r="F8" s="2439">
        <v>28</v>
      </c>
      <c r="G8" s="2439">
        <v>32</v>
      </c>
      <c r="H8" s="2439">
        <v>37</v>
      </c>
      <c r="I8" s="2439">
        <v>38</v>
      </c>
      <c r="J8" s="2439">
        <v>39</v>
      </c>
      <c r="K8" s="17">
        <v>43</v>
      </c>
      <c r="L8" s="17">
        <v>46</v>
      </c>
      <c r="M8" s="17">
        <v>46</v>
      </c>
      <c r="N8" s="614">
        <v>47</v>
      </c>
      <c r="O8" s="614">
        <v>47</v>
      </c>
      <c r="P8" s="2439">
        <v>47</v>
      </c>
      <c r="Q8" s="2439">
        <v>47</v>
      </c>
      <c r="R8" s="17">
        <v>47</v>
      </c>
      <c r="S8" s="17">
        <v>47</v>
      </c>
      <c r="T8" s="28">
        <v>47</v>
      </c>
    </row>
    <row r="9" spans="1:22" ht="13.5" customHeight="1" x14ac:dyDescent="0.2">
      <c r="D9" s="932" t="s">
        <v>1500</v>
      </c>
      <c r="E9" s="2439">
        <v>10</v>
      </c>
      <c r="F9" s="2439">
        <v>10</v>
      </c>
      <c r="G9" s="2439">
        <v>10</v>
      </c>
      <c r="H9" s="2439">
        <v>10</v>
      </c>
      <c r="I9" s="2439">
        <v>10</v>
      </c>
      <c r="J9" s="2439">
        <v>11</v>
      </c>
      <c r="K9" s="17">
        <v>11</v>
      </c>
      <c r="L9" s="17">
        <v>11</v>
      </c>
      <c r="M9" s="17">
        <v>11</v>
      </c>
      <c r="N9" s="614">
        <v>11</v>
      </c>
      <c r="O9" s="614">
        <v>11</v>
      </c>
      <c r="P9" s="2439">
        <v>11</v>
      </c>
      <c r="Q9" s="2439">
        <v>11</v>
      </c>
      <c r="R9" s="17">
        <v>11</v>
      </c>
      <c r="S9" s="17">
        <v>11</v>
      </c>
      <c r="T9" s="28">
        <v>11</v>
      </c>
    </row>
    <row r="10" spans="1:22" ht="13.5" customHeight="1" x14ac:dyDescent="0.2">
      <c r="D10" s="932" t="s">
        <v>1501</v>
      </c>
      <c r="E10" s="2439">
        <v>22</v>
      </c>
      <c r="F10" s="2439">
        <v>26</v>
      </c>
      <c r="G10" s="2439">
        <v>27</v>
      </c>
      <c r="H10" s="2439">
        <v>27</v>
      </c>
      <c r="I10" s="2439">
        <v>28</v>
      </c>
      <c r="J10" s="2439">
        <v>30</v>
      </c>
      <c r="K10" s="17">
        <v>31</v>
      </c>
      <c r="L10" s="17">
        <v>32</v>
      </c>
      <c r="M10" s="17">
        <v>32</v>
      </c>
      <c r="N10" s="614">
        <v>32</v>
      </c>
      <c r="O10" s="614">
        <v>32</v>
      </c>
      <c r="P10" s="2439">
        <v>32</v>
      </c>
      <c r="Q10" s="2439">
        <v>32</v>
      </c>
      <c r="R10" s="17">
        <v>32</v>
      </c>
      <c r="S10" s="17">
        <v>32</v>
      </c>
      <c r="T10" s="28">
        <v>32</v>
      </c>
    </row>
    <row r="11" spans="1:22" ht="13.5" customHeight="1" x14ac:dyDescent="0.2">
      <c r="D11" s="932" t="s">
        <v>1502</v>
      </c>
      <c r="E11" s="2439">
        <v>6</v>
      </c>
      <c r="F11" s="2439">
        <v>6</v>
      </c>
      <c r="G11" s="2439">
        <v>6</v>
      </c>
      <c r="H11" s="2439">
        <v>7</v>
      </c>
      <c r="I11" s="2439">
        <v>7</v>
      </c>
      <c r="J11" s="2439">
        <v>7</v>
      </c>
      <c r="K11" s="17">
        <v>7</v>
      </c>
      <c r="L11" s="17">
        <v>7</v>
      </c>
      <c r="M11" s="17">
        <v>7</v>
      </c>
      <c r="N11" s="614">
        <v>7</v>
      </c>
      <c r="O11" s="614">
        <v>7</v>
      </c>
      <c r="P11" s="2439">
        <v>7</v>
      </c>
      <c r="Q11" s="2439">
        <v>7</v>
      </c>
      <c r="R11" s="17">
        <v>7</v>
      </c>
      <c r="S11" s="17">
        <v>7</v>
      </c>
      <c r="T11" s="28">
        <v>7</v>
      </c>
    </row>
    <row r="12" spans="1:22" ht="13.5" customHeight="1" x14ac:dyDescent="0.2">
      <c r="D12" s="932" t="s">
        <v>1503</v>
      </c>
      <c r="E12" s="2439">
        <v>26</v>
      </c>
      <c r="F12" s="2439">
        <v>26</v>
      </c>
      <c r="G12" s="2439">
        <v>26</v>
      </c>
      <c r="H12" s="2439">
        <v>26</v>
      </c>
      <c r="I12" s="2439">
        <v>26</v>
      </c>
      <c r="J12" s="2439">
        <v>27</v>
      </c>
      <c r="K12" s="17">
        <v>27</v>
      </c>
      <c r="L12" s="2063">
        <v>28</v>
      </c>
      <c r="M12" s="2063">
        <v>28</v>
      </c>
      <c r="N12" s="741">
        <v>28</v>
      </c>
      <c r="O12" s="741">
        <v>28</v>
      </c>
      <c r="P12" s="741">
        <v>28</v>
      </c>
      <c r="Q12" s="2063">
        <v>28</v>
      </c>
      <c r="R12" s="2063">
        <v>28</v>
      </c>
      <c r="S12" s="2063">
        <v>27</v>
      </c>
      <c r="T12" s="3734">
        <v>27</v>
      </c>
    </row>
    <row r="13" spans="1:22" ht="13.5" customHeight="1" x14ac:dyDescent="0.2">
      <c r="C13" s="3429"/>
      <c r="D13" s="3430" t="s">
        <v>1504</v>
      </c>
      <c r="E13" s="2637">
        <v>91</v>
      </c>
      <c r="F13" s="2637">
        <v>96</v>
      </c>
      <c r="G13" s="2637">
        <v>101</v>
      </c>
      <c r="H13" s="2637">
        <v>107</v>
      </c>
      <c r="I13" s="2637">
        <v>109</v>
      </c>
      <c r="J13" s="2637">
        <v>114</v>
      </c>
      <c r="K13" s="2637">
        <v>119</v>
      </c>
      <c r="L13" s="1770">
        <v>124</v>
      </c>
      <c r="M13" s="1770">
        <v>124</v>
      </c>
      <c r="N13" s="3431">
        <f>SUM(N8:N12)</f>
        <v>125</v>
      </c>
      <c r="O13" s="3431">
        <f>SUM(O8:O12)</f>
        <v>125</v>
      </c>
      <c r="P13" s="3431">
        <f>SUM(P8:P12)</f>
        <v>125</v>
      </c>
      <c r="Q13" s="3431">
        <f>SUM(Q8:Q12)</f>
        <v>125</v>
      </c>
      <c r="R13" s="1770">
        <f>SUM(R8:R12)</f>
        <v>125</v>
      </c>
      <c r="S13" s="1770">
        <v>124</v>
      </c>
      <c r="T13" s="3735">
        <v>124</v>
      </c>
    </row>
    <row r="14" spans="1:22" ht="12.75" customHeight="1" x14ac:dyDescent="0.2">
      <c r="C14" s="3429"/>
      <c r="D14" s="7"/>
      <c r="E14" s="749"/>
      <c r="F14" s="749"/>
      <c r="G14" s="749"/>
      <c r="H14" s="749"/>
      <c r="I14" s="749"/>
      <c r="J14" s="749"/>
      <c r="K14" s="749"/>
      <c r="L14" s="17"/>
      <c r="M14" s="17"/>
      <c r="N14" s="614"/>
      <c r="O14" s="614"/>
      <c r="P14" s="17"/>
      <c r="Q14" s="932"/>
      <c r="R14" s="17"/>
      <c r="S14" s="17"/>
      <c r="T14" s="11"/>
    </row>
    <row r="15" spans="1:22" ht="12.75" customHeight="1" x14ac:dyDescent="0.2">
      <c r="C15" s="3429"/>
      <c r="D15" s="755" t="s">
        <v>550</v>
      </c>
      <c r="E15" s="755" t="s">
        <v>1505</v>
      </c>
      <c r="F15" s="755"/>
      <c r="G15" s="756"/>
      <c r="H15" s="755"/>
      <c r="I15" s="755"/>
      <c r="J15" s="755"/>
      <c r="K15" s="749"/>
      <c r="L15" s="17"/>
      <c r="M15" s="17"/>
      <c r="N15" s="614"/>
      <c r="O15" s="614"/>
      <c r="P15" s="17"/>
      <c r="Q15" s="932"/>
      <c r="R15" s="17"/>
      <c r="S15" s="17"/>
      <c r="T15" s="11"/>
    </row>
    <row r="16" spans="1:22" ht="15" customHeight="1" x14ac:dyDescent="0.2">
      <c r="C16" s="3429"/>
      <c r="D16" s="3432"/>
      <c r="E16" s="2435"/>
      <c r="F16" s="2435"/>
      <c r="G16" s="2436">
        <v>2004</v>
      </c>
      <c r="H16" s="2436">
        <v>2005</v>
      </c>
      <c r="I16" s="2436">
        <v>2006</v>
      </c>
      <c r="J16" s="2436">
        <v>2007</v>
      </c>
      <c r="K16" s="2436">
        <v>2008</v>
      </c>
      <c r="L16" s="2436">
        <v>2009</v>
      </c>
      <c r="M16" s="2897">
        <v>2010</v>
      </c>
      <c r="N16" s="2897">
        <v>2011</v>
      </c>
      <c r="O16" s="2897">
        <v>2012</v>
      </c>
      <c r="P16" s="2897">
        <v>2013</v>
      </c>
      <c r="Q16" s="2897">
        <v>2014</v>
      </c>
      <c r="R16" s="3428">
        <v>2015</v>
      </c>
      <c r="S16" s="3428">
        <v>2016</v>
      </c>
      <c r="T16" s="3733">
        <v>2017</v>
      </c>
    </row>
    <row r="17" spans="1:20" ht="13.5" customHeight="1" x14ac:dyDescent="0.2">
      <c r="C17" s="3429"/>
      <c r="D17" s="932" t="s">
        <v>1506</v>
      </c>
      <c r="E17" s="932"/>
      <c r="F17" s="932"/>
      <c r="G17" s="722">
        <v>47</v>
      </c>
      <c r="H17" s="722">
        <v>59</v>
      </c>
      <c r="I17" s="722">
        <v>69</v>
      </c>
      <c r="J17" s="722">
        <v>93</v>
      </c>
      <c r="K17" s="17">
        <v>130</v>
      </c>
      <c r="L17" s="17">
        <v>133</v>
      </c>
      <c r="M17" s="614">
        <v>83</v>
      </c>
      <c r="N17" s="614">
        <f>17+20</f>
        <v>37</v>
      </c>
      <c r="O17" s="614">
        <f>18+16</f>
        <v>34</v>
      </c>
      <c r="P17" s="614">
        <f>19+0</f>
        <v>19</v>
      </c>
      <c r="Q17" s="614">
        <f>20+21</f>
        <v>41</v>
      </c>
      <c r="R17" s="3433" t="s">
        <v>1507</v>
      </c>
      <c r="S17" s="3433">
        <v>47</v>
      </c>
      <c r="T17" s="3736">
        <v>46</v>
      </c>
    </row>
    <row r="18" spans="1:20" ht="13.5" customHeight="1" x14ac:dyDescent="0.2">
      <c r="C18" s="3429"/>
      <c r="D18" s="932" t="s">
        <v>1508</v>
      </c>
      <c r="E18" s="932"/>
      <c r="F18" s="932"/>
      <c r="G18" s="722">
        <v>17</v>
      </c>
      <c r="H18" s="722">
        <v>20</v>
      </c>
      <c r="I18" s="722">
        <v>8</v>
      </c>
      <c r="J18" s="722">
        <v>15</v>
      </c>
      <c r="K18" s="17">
        <v>14</v>
      </c>
      <c r="L18" s="17">
        <v>19</v>
      </c>
      <c r="M18" s="614">
        <v>18</v>
      </c>
      <c r="N18" s="614">
        <v>11</v>
      </c>
      <c r="O18" s="614">
        <v>38</v>
      </c>
      <c r="P18" s="614">
        <v>16</v>
      </c>
      <c r="Q18" s="614">
        <v>17</v>
      </c>
      <c r="R18" s="3433">
        <v>20</v>
      </c>
      <c r="S18" s="3433">
        <v>14</v>
      </c>
      <c r="T18" s="3736">
        <v>31</v>
      </c>
    </row>
    <row r="19" spans="1:20" ht="13.5" customHeight="1" x14ac:dyDescent="0.25">
      <c r="A19" s="2702"/>
      <c r="B19" s="2702"/>
      <c r="C19" s="3429"/>
      <c r="D19" s="4447" t="s">
        <v>1509</v>
      </c>
      <c r="E19" s="4448"/>
      <c r="F19" s="4448"/>
      <c r="G19" s="767">
        <v>44</v>
      </c>
      <c r="H19" s="767">
        <v>95</v>
      </c>
      <c r="I19" s="767">
        <v>82</v>
      </c>
      <c r="J19" s="767">
        <v>256</v>
      </c>
      <c r="K19" s="767">
        <v>817</v>
      </c>
      <c r="L19" s="767">
        <v>747</v>
      </c>
      <c r="M19" s="714">
        <v>980</v>
      </c>
      <c r="N19" s="714">
        <v>508</v>
      </c>
      <c r="O19" s="714">
        <v>594</v>
      </c>
      <c r="P19" s="714">
        <v>629</v>
      </c>
      <c r="Q19" s="714"/>
      <c r="R19" s="767">
        <v>740</v>
      </c>
      <c r="S19" s="767">
        <v>486</v>
      </c>
      <c r="T19" s="3725">
        <v>284</v>
      </c>
    </row>
    <row r="20" spans="1:20" ht="13.5" customHeight="1" x14ac:dyDescent="0.25">
      <c r="A20" s="2702"/>
      <c r="B20" s="2702"/>
      <c r="C20" s="3429"/>
      <c r="D20" s="3349"/>
      <c r="E20" s="2700"/>
      <c r="F20" s="2700"/>
      <c r="G20" s="2439"/>
      <c r="H20" s="722"/>
      <c r="I20" s="722"/>
      <c r="J20" s="722"/>
      <c r="K20" s="722"/>
      <c r="L20" s="722"/>
      <c r="M20" s="722"/>
      <c r="N20" s="706"/>
      <c r="O20" s="706"/>
      <c r="P20" s="722"/>
      <c r="Q20" s="932"/>
      <c r="R20" s="17"/>
      <c r="S20" s="17"/>
    </row>
    <row r="21" spans="1:20" ht="13.5" customHeight="1" x14ac:dyDescent="0.25">
      <c r="A21" s="2702"/>
      <c r="B21" s="2702"/>
      <c r="C21" s="3429"/>
      <c r="D21" s="3349"/>
      <c r="E21" s="2700"/>
      <c r="F21" s="2700"/>
      <c r="G21" s="2439"/>
      <c r="H21" s="722"/>
      <c r="I21" s="722"/>
      <c r="J21" s="722"/>
      <c r="K21" s="722"/>
      <c r="L21" s="722"/>
      <c r="M21" s="722"/>
      <c r="N21" s="706"/>
      <c r="O21" s="706"/>
      <c r="P21" s="722"/>
      <c r="Q21" s="932"/>
      <c r="R21" s="17"/>
      <c r="S21" s="17"/>
    </row>
    <row r="22" spans="1:20" ht="13.5" customHeight="1" x14ac:dyDescent="0.2">
      <c r="A22" s="2702"/>
      <c r="B22" s="2702"/>
      <c r="C22" s="3429"/>
      <c r="D22" s="755" t="s">
        <v>258</v>
      </c>
      <c r="E22" s="755" t="s">
        <v>1510</v>
      </c>
      <c r="F22" s="755"/>
      <c r="G22" s="756"/>
      <c r="H22" s="755"/>
      <c r="I22" s="755"/>
      <c r="J22" s="755"/>
      <c r="K22" s="749"/>
      <c r="L22" s="17"/>
      <c r="M22" s="17"/>
      <c r="N22" s="614"/>
      <c r="O22" s="614"/>
      <c r="P22" s="722"/>
      <c r="Q22" s="932"/>
      <c r="R22" s="17"/>
      <c r="S22" s="17"/>
    </row>
    <row r="23" spans="1:20" ht="13.5" customHeight="1" x14ac:dyDescent="0.2">
      <c r="A23" s="2702"/>
      <c r="B23" s="2702"/>
      <c r="C23" s="3429"/>
      <c r="D23" s="3432"/>
      <c r="E23" s="2435"/>
      <c r="F23" s="3432" t="s">
        <v>130</v>
      </c>
      <c r="G23" s="3434" t="s">
        <v>141</v>
      </c>
      <c r="H23" s="2438" t="s">
        <v>142</v>
      </c>
      <c r="I23" s="2438" t="s">
        <v>143</v>
      </c>
      <c r="J23" s="2438" t="s">
        <v>144</v>
      </c>
      <c r="K23" s="2437" t="s">
        <v>145</v>
      </c>
      <c r="L23" s="2437" t="s">
        <v>8</v>
      </c>
      <c r="M23" s="2437" t="s">
        <v>9</v>
      </c>
      <c r="N23" s="3428" t="s">
        <v>10</v>
      </c>
      <c r="O23" s="3428" t="s">
        <v>11</v>
      </c>
      <c r="P23" s="3428" t="s">
        <v>12</v>
      </c>
      <c r="Q23" s="3428" t="s">
        <v>13</v>
      </c>
      <c r="R23" s="3428" t="s">
        <v>14</v>
      </c>
      <c r="S23" s="3428" t="s">
        <v>15</v>
      </c>
      <c r="T23" s="3733" t="s">
        <v>333</v>
      </c>
    </row>
    <row r="24" spans="1:20" ht="13.5" customHeight="1" x14ac:dyDescent="0.2">
      <c r="A24" s="2702"/>
      <c r="B24" s="2702"/>
      <c r="C24" s="3429"/>
      <c r="D24" s="2439" t="s">
        <v>1511</v>
      </c>
      <c r="E24" s="2439"/>
      <c r="F24" s="3435"/>
      <c r="G24" s="3436">
        <v>113</v>
      </c>
      <c r="H24" s="3437">
        <v>118</v>
      </c>
      <c r="I24" s="3437">
        <v>122</v>
      </c>
      <c r="J24" s="3437">
        <v>121</v>
      </c>
      <c r="K24" s="3437">
        <v>121</v>
      </c>
      <c r="L24" s="3437">
        <v>122</v>
      </c>
      <c r="M24" s="3437">
        <v>125</v>
      </c>
      <c r="N24" s="3438">
        <v>129</v>
      </c>
      <c r="O24" s="3438">
        <v>133</v>
      </c>
      <c r="P24" s="3438">
        <v>136</v>
      </c>
      <c r="Q24" s="3438">
        <v>136</v>
      </c>
      <c r="R24" s="3438">
        <v>150</v>
      </c>
      <c r="S24" s="3438">
        <v>142</v>
      </c>
      <c r="T24" s="3738">
        <v>142</v>
      </c>
    </row>
    <row r="25" spans="1:20" ht="13.5" customHeight="1" x14ac:dyDescent="0.2">
      <c r="A25" s="2702"/>
      <c r="B25" s="2702"/>
      <c r="C25" s="3429"/>
      <c r="D25" s="2439" t="s">
        <v>1512</v>
      </c>
      <c r="E25" s="2439"/>
      <c r="F25" s="3435"/>
      <c r="G25" s="3436">
        <v>16</v>
      </c>
      <c r="H25" s="3437">
        <v>11</v>
      </c>
      <c r="I25" s="3437">
        <v>11</v>
      </c>
      <c r="J25" s="3437">
        <v>11</v>
      </c>
      <c r="K25" s="3437" t="s">
        <v>1513</v>
      </c>
      <c r="L25" s="3437">
        <v>16</v>
      </c>
      <c r="M25" s="3437">
        <v>18</v>
      </c>
      <c r="N25" s="3438">
        <v>19</v>
      </c>
      <c r="O25" s="3438">
        <v>19</v>
      </c>
      <c r="P25" s="3438">
        <v>19</v>
      </c>
      <c r="Q25" s="3438">
        <v>19</v>
      </c>
      <c r="R25" s="3438">
        <v>21</v>
      </c>
      <c r="S25" s="3438">
        <v>20</v>
      </c>
      <c r="T25" s="3738">
        <v>20</v>
      </c>
    </row>
    <row r="26" spans="1:20" ht="13.5" customHeight="1" x14ac:dyDescent="0.2">
      <c r="A26" s="2702"/>
      <c r="B26" s="2702"/>
      <c r="C26" s="3429"/>
      <c r="D26" s="932" t="s">
        <v>1514</v>
      </c>
      <c r="E26" s="932"/>
      <c r="F26" s="3439"/>
      <c r="G26" s="3435">
        <v>53</v>
      </c>
      <c r="H26" s="2281">
        <v>53</v>
      </c>
      <c r="I26" s="2281">
        <v>53</v>
      </c>
      <c r="J26" s="2281">
        <v>53</v>
      </c>
      <c r="K26" s="2281">
        <v>53</v>
      </c>
      <c r="L26" s="2065">
        <v>53</v>
      </c>
      <c r="M26" s="2065">
        <v>52</v>
      </c>
      <c r="N26" s="3440">
        <v>50</v>
      </c>
      <c r="O26" s="3438">
        <v>50</v>
      </c>
      <c r="P26" s="3438">
        <v>57</v>
      </c>
      <c r="Q26" s="3438">
        <v>57</v>
      </c>
      <c r="R26" s="3438">
        <v>57</v>
      </c>
      <c r="S26" s="3438">
        <v>53</v>
      </c>
      <c r="T26" s="3738">
        <v>53</v>
      </c>
    </row>
    <row r="27" spans="1:20" ht="13.5" customHeight="1" x14ac:dyDescent="0.2">
      <c r="A27" s="2702"/>
      <c r="B27" s="2702"/>
      <c r="C27" s="3429"/>
      <c r="D27" s="932" t="s">
        <v>1515</v>
      </c>
      <c r="E27" s="932"/>
      <c r="F27" s="3439"/>
      <c r="G27" s="3435">
        <v>73</v>
      </c>
      <c r="H27" s="2281">
        <v>73</v>
      </c>
      <c r="I27" s="2281">
        <v>73</v>
      </c>
      <c r="J27" s="2281">
        <v>73</v>
      </c>
      <c r="K27" s="2281">
        <v>73</v>
      </c>
      <c r="L27" s="2065">
        <v>73</v>
      </c>
      <c r="M27" s="2065">
        <v>80</v>
      </c>
      <c r="N27" s="3440">
        <v>82</v>
      </c>
      <c r="O27" s="3438">
        <v>82</v>
      </c>
      <c r="P27" s="3438">
        <v>82</v>
      </c>
      <c r="Q27" s="3438">
        <v>82</v>
      </c>
      <c r="R27" s="3438">
        <v>82</v>
      </c>
      <c r="S27" s="3438">
        <v>79</v>
      </c>
      <c r="T27" s="3738">
        <v>79</v>
      </c>
    </row>
    <row r="28" spans="1:20" ht="13.5" customHeight="1" x14ac:dyDescent="0.2">
      <c r="A28" s="2702"/>
      <c r="B28" s="2702"/>
      <c r="C28" s="3429"/>
      <c r="D28" s="932" t="s">
        <v>1516</v>
      </c>
      <c r="E28" s="932"/>
      <c r="F28" s="3439"/>
      <c r="G28" s="3435">
        <v>22</v>
      </c>
      <c r="H28" s="2281">
        <v>23</v>
      </c>
      <c r="I28" s="2281">
        <v>23</v>
      </c>
      <c r="J28" s="2281">
        <v>26</v>
      </c>
      <c r="K28" s="2281">
        <v>28</v>
      </c>
      <c r="L28" s="2065">
        <v>31</v>
      </c>
      <c r="M28" s="2065">
        <v>30</v>
      </c>
      <c r="N28" s="3440">
        <v>30</v>
      </c>
      <c r="O28" s="3438">
        <v>30</v>
      </c>
      <c r="P28" s="3438">
        <v>31</v>
      </c>
      <c r="Q28" s="3438">
        <v>31</v>
      </c>
      <c r="R28" s="3438">
        <v>30</v>
      </c>
      <c r="S28" s="3438">
        <v>30</v>
      </c>
      <c r="T28" s="3738">
        <v>30</v>
      </c>
    </row>
    <row r="29" spans="1:20" ht="13.5" customHeight="1" x14ac:dyDescent="0.2">
      <c r="A29" s="2702"/>
      <c r="B29" s="2702"/>
      <c r="C29" s="3429"/>
      <c r="D29" s="932" t="s">
        <v>1517</v>
      </c>
      <c r="E29" s="932"/>
      <c r="F29" s="3439"/>
      <c r="G29" s="3435">
        <v>1</v>
      </c>
      <c r="H29" s="2281">
        <v>1</v>
      </c>
      <c r="I29" s="2281">
        <v>1</v>
      </c>
      <c r="J29" s="2281">
        <v>1</v>
      </c>
      <c r="K29" s="2281">
        <v>1</v>
      </c>
      <c r="L29" s="2065">
        <v>1</v>
      </c>
      <c r="M29" s="2065">
        <v>1</v>
      </c>
      <c r="N29" s="3440">
        <v>1</v>
      </c>
      <c r="O29" s="3438">
        <v>1</v>
      </c>
      <c r="P29" s="3438">
        <v>1</v>
      </c>
      <c r="Q29" s="3438">
        <v>1</v>
      </c>
      <c r="R29" s="3438">
        <v>1</v>
      </c>
      <c r="S29" s="3438">
        <v>1</v>
      </c>
      <c r="T29" s="3738">
        <v>1</v>
      </c>
    </row>
    <row r="30" spans="1:20" ht="23.25" customHeight="1" x14ac:dyDescent="0.2">
      <c r="A30" s="2702"/>
      <c r="B30" s="2702"/>
      <c r="C30" s="3429"/>
      <c r="D30" s="3430" t="s">
        <v>1518</v>
      </c>
      <c r="E30" s="3430"/>
      <c r="F30" s="3441">
        <v>68</v>
      </c>
      <c r="G30" s="3442">
        <f>SUM(G24:G29)</f>
        <v>278</v>
      </c>
      <c r="H30" s="3442">
        <f t="shared" ref="H30:N30" si="0">SUM(H24:H29)</f>
        <v>279</v>
      </c>
      <c r="I30" s="3442">
        <f t="shared" si="0"/>
        <v>283</v>
      </c>
      <c r="J30" s="3442">
        <f t="shared" si="0"/>
        <v>285</v>
      </c>
      <c r="K30" s="3442">
        <v>292</v>
      </c>
      <c r="L30" s="3442">
        <f t="shared" si="0"/>
        <v>296</v>
      </c>
      <c r="M30" s="3442">
        <v>307</v>
      </c>
      <c r="N30" s="3442">
        <f t="shared" si="0"/>
        <v>311</v>
      </c>
      <c r="O30" s="3737">
        <f>SUM(O24:O29)</f>
        <v>315</v>
      </c>
      <c r="P30" s="3737">
        <f>SUM(P24:P29)</f>
        <v>326</v>
      </c>
      <c r="Q30" s="3737">
        <f>SUM(Q24:Q29)</f>
        <v>326</v>
      </c>
      <c r="R30" s="3737">
        <v>341</v>
      </c>
      <c r="S30" s="3737">
        <v>325</v>
      </c>
      <c r="T30" s="3739">
        <v>325</v>
      </c>
    </row>
    <row r="31" spans="1:20" ht="13.5" customHeight="1" x14ac:dyDescent="0.25">
      <c r="A31" s="2702"/>
      <c r="B31" s="2702"/>
      <c r="C31" s="3429"/>
      <c r="D31" s="3349"/>
      <c r="E31" s="2700"/>
      <c r="F31" s="2700"/>
      <c r="G31" s="2439"/>
      <c r="H31" s="722"/>
      <c r="I31" s="722"/>
      <c r="J31" s="722"/>
      <c r="K31" s="722"/>
      <c r="L31" s="722"/>
      <c r="M31" s="722"/>
      <c r="N31" s="706"/>
      <c r="O31" s="706"/>
      <c r="P31" s="722"/>
      <c r="Q31" s="3443"/>
      <c r="R31" s="17"/>
      <c r="S31" s="17"/>
    </row>
    <row r="32" spans="1:20" ht="13.5" customHeight="1" x14ac:dyDescent="0.25">
      <c r="A32" s="2702"/>
      <c r="B32" s="2702"/>
      <c r="C32" s="3429"/>
      <c r="D32" s="3349"/>
      <c r="E32" s="2700"/>
      <c r="F32" s="2700"/>
      <c r="G32" s="2439"/>
      <c r="H32" s="722"/>
      <c r="I32" s="722"/>
      <c r="J32" s="722"/>
      <c r="K32" s="722"/>
      <c r="L32" s="722"/>
      <c r="M32" s="722"/>
      <c r="N32" s="706"/>
      <c r="O32" s="706"/>
      <c r="P32" s="722"/>
      <c r="Q32" s="932"/>
      <c r="R32" s="17"/>
      <c r="S32" s="17"/>
    </row>
    <row r="33" spans="1:20" ht="13.5" customHeight="1" x14ac:dyDescent="0.25">
      <c r="A33" s="2702"/>
      <c r="B33" s="2702"/>
      <c r="C33" s="3429"/>
      <c r="D33" s="3349"/>
      <c r="E33" s="2700"/>
      <c r="F33" s="2700"/>
      <c r="G33" s="2439"/>
      <c r="H33" s="722"/>
      <c r="I33" s="722"/>
      <c r="J33" s="722"/>
      <c r="K33" s="722"/>
      <c r="L33" s="722"/>
      <c r="M33" s="722"/>
      <c r="N33" s="706"/>
      <c r="O33" s="706"/>
      <c r="P33" s="722"/>
      <c r="Q33" s="932"/>
      <c r="R33" s="17"/>
      <c r="S33" s="17"/>
    </row>
    <row r="34" spans="1:20" ht="13.5" customHeight="1" x14ac:dyDescent="0.25">
      <c r="A34" s="2702"/>
      <c r="B34" s="2702"/>
      <c r="C34" s="3429"/>
      <c r="D34" s="3349"/>
      <c r="E34" s="2700"/>
      <c r="F34" s="2700"/>
      <c r="G34" s="2439"/>
      <c r="H34" s="722"/>
      <c r="I34" s="722"/>
      <c r="J34" s="722"/>
      <c r="K34" s="722"/>
      <c r="L34" s="722"/>
      <c r="M34" s="722"/>
      <c r="N34" s="706"/>
      <c r="O34" s="706"/>
      <c r="P34" s="722"/>
      <c r="Q34" s="932"/>
      <c r="R34" s="17"/>
      <c r="S34" s="17"/>
    </row>
    <row r="35" spans="1:20" ht="13.5" customHeight="1" x14ac:dyDescent="0.25">
      <c r="A35" s="2702"/>
      <c r="B35" s="2702"/>
      <c r="C35" s="3429"/>
      <c r="D35" s="3349"/>
      <c r="E35" s="2700"/>
      <c r="F35" s="2700"/>
      <c r="G35" s="2439"/>
      <c r="H35" s="722"/>
      <c r="I35" s="722"/>
      <c r="J35" s="722"/>
      <c r="K35" s="722"/>
      <c r="L35" s="722"/>
      <c r="M35" s="722"/>
      <c r="N35" s="706"/>
      <c r="O35" s="706"/>
      <c r="P35" s="722"/>
      <c r="Q35" s="932"/>
      <c r="R35" s="17"/>
      <c r="S35" s="17"/>
    </row>
    <row r="36" spans="1:20" ht="13.5" customHeight="1" x14ac:dyDescent="0.25">
      <c r="A36" s="2702"/>
      <c r="B36" s="2702"/>
      <c r="C36" s="3429"/>
      <c r="D36" s="3349"/>
      <c r="E36" s="2700"/>
      <c r="F36" s="2700"/>
      <c r="G36" s="2439"/>
      <c r="H36" s="722"/>
      <c r="I36" s="722"/>
      <c r="J36" s="722"/>
      <c r="K36" s="722"/>
      <c r="L36" s="722"/>
      <c r="M36" s="722"/>
      <c r="N36" s="706"/>
      <c r="O36" s="706"/>
      <c r="P36" s="722"/>
      <c r="Q36" s="932"/>
      <c r="R36" s="17"/>
      <c r="S36" s="17"/>
    </row>
    <row r="37" spans="1:20" ht="13.5" customHeight="1" x14ac:dyDescent="0.25">
      <c r="A37" s="2702"/>
      <c r="B37" s="2702"/>
      <c r="C37" s="3429"/>
      <c r="D37" s="3349"/>
      <c r="E37" s="2700"/>
      <c r="F37" s="2700"/>
      <c r="G37" s="2439"/>
      <c r="H37" s="722"/>
      <c r="I37" s="722"/>
      <c r="J37" s="722"/>
      <c r="K37" s="722"/>
      <c r="L37" s="722"/>
      <c r="M37" s="722"/>
      <c r="N37" s="706"/>
      <c r="O37" s="706"/>
      <c r="P37" s="722"/>
      <c r="Q37" s="932"/>
      <c r="R37" s="17"/>
      <c r="S37" s="17"/>
    </row>
    <row r="38" spans="1:20" ht="13.5" customHeight="1" x14ac:dyDescent="0.25">
      <c r="A38" s="2702"/>
      <c r="B38" s="2702"/>
      <c r="C38" s="3429"/>
      <c r="D38" s="3349"/>
      <c r="E38" s="2700"/>
      <c r="F38" s="2700"/>
      <c r="G38" s="2439"/>
      <c r="H38" s="722"/>
      <c r="I38" s="722"/>
      <c r="J38" s="722"/>
      <c r="K38" s="722"/>
      <c r="L38" s="722"/>
      <c r="M38" s="722"/>
      <c r="N38" s="706"/>
      <c r="O38" s="706"/>
      <c r="P38" s="722"/>
      <c r="Q38" s="932"/>
      <c r="R38" s="17"/>
      <c r="S38" s="17"/>
    </row>
    <row r="39" spans="1:20" ht="13.5" customHeight="1" x14ac:dyDescent="0.25">
      <c r="A39" s="2702"/>
      <c r="B39" s="2702"/>
      <c r="C39" s="3429"/>
      <c r="D39" s="3349"/>
      <c r="E39" s="2700"/>
      <c r="F39" s="2700"/>
      <c r="G39" s="2439"/>
      <c r="H39" s="722"/>
      <c r="I39" s="722"/>
      <c r="J39" s="722"/>
      <c r="K39" s="722"/>
      <c r="L39" s="722"/>
      <c r="M39" s="722"/>
      <c r="N39" s="706"/>
      <c r="O39" s="706"/>
      <c r="P39" s="722"/>
      <c r="Q39" s="932"/>
      <c r="R39" s="17"/>
      <c r="S39" s="17"/>
    </row>
    <row r="40" spans="1:20" ht="13.5" customHeight="1" x14ac:dyDescent="0.25">
      <c r="A40" s="2702"/>
      <c r="B40" s="2702"/>
      <c r="C40" s="3429"/>
      <c r="D40" s="3349"/>
      <c r="E40" s="2700"/>
      <c r="F40" s="2700"/>
      <c r="G40" s="2439"/>
      <c r="H40" s="722"/>
      <c r="I40" s="722"/>
      <c r="J40" s="722"/>
      <c r="K40" s="722"/>
      <c r="L40" s="722"/>
      <c r="M40" s="722"/>
      <c r="N40" s="706"/>
      <c r="O40" s="706"/>
      <c r="P40" s="722"/>
      <c r="Q40" s="932"/>
      <c r="R40" s="17"/>
      <c r="S40" s="17"/>
    </row>
    <row r="41" spans="1:20" ht="13.5" customHeight="1" x14ac:dyDescent="0.25">
      <c r="A41" s="2702"/>
      <c r="B41" s="2702"/>
      <c r="C41" s="3429"/>
      <c r="D41" s="3349"/>
      <c r="E41" s="2700"/>
      <c r="F41" s="2700"/>
      <c r="G41" s="2439"/>
      <c r="H41" s="722"/>
      <c r="I41" s="722"/>
      <c r="J41" s="722"/>
      <c r="K41" s="722"/>
      <c r="L41" s="722"/>
      <c r="M41" s="722"/>
      <c r="N41" s="706"/>
      <c r="O41" s="706"/>
      <c r="P41" s="722"/>
      <c r="Q41" s="932"/>
      <c r="R41" s="17"/>
      <c r="S41" s="17"/>
    </row>
    <row r="42" spans="1:20" ht="13.5" customHeight="1" x14ac:dyDescent="0.25">
      <c r="A42" s="2702"/>
      <c r="B42" s="2702"/>
      <c r="C42" s="3429"/>
      <c r="D42" s="3349"/>
      <c r="E42" s="2700"/>
      <c r="F42" s="2700"/>
      <c r="G42" s="2439"/>
      <c r="H42" s="722"/>
      <c r="I42" s="722"/>
      <c r="J42" s="722"/>
      <c r="K42" s="722"/>
      <c r="L42" s="722"/>
      <c r="M42" s="722"/>
      <c r="N42" s="706"/>
      <c r="O42" s="706"/>
      <c r="P42" s="722"/>
      <c r="Q42" s="932"/>
      <c r="R42" s="17"/>
      <c r="S42" s="17"/>
    </row>
    <row r="43" spans="1:20" ht="13.5" customHeight="1" x14ac:dyDescent="0.25">
      <c r="C43" s="3429"/>
      <c r="D43" s="3349"/>
      <c r="E43" s="2700"/>
      <c r="F43" s="2700"/>
      <c r="G43" s="2439"/>
      <c r="H43" s="722"/>
      <c r="I43" s="722"/>
      <c r="J43" s="722"/>
      <c r="K43" s="722"/>
      <c r="L43" s="722"/>
      <c r="M43" s="722"/>
      <c r="N43" s="706"/>
      <c r="O43" s="706"/>
      <c r="P43" s="722"/>
      <c r="Q43" s="932"/>
      <c r="R43" s="17"/>
      <c r="S43" s="17"/>
    </row>
    <row r="44" spans="1:20" ht="13.5" customHeight="1" x14ac:dyDescent="0.25">
      <c r="C44" s="3429"/>
      <c r="D44" s="3349"/>
      <c r="E44" s="2700"/>
      <c r="F44" s="2700"/>
      <c r="G44" s="2439"/>
      <c r="H44" s="722"/>
      <c r="I44" s="722"/>
      <c r="J44" s="722"/>
      <c r="K44" s="722"/>
      <c r="L44" s="722"/>
      <c r="M44" s="722"/>
      <c r="N44" s="706"/>
      <c r="O44" s="706"/>
      <c r="P44" s="722"/>
      <c r="Q44" s="932"/>
      <c r="R44" s="17"/>
      <c r="S44" s="17"/>
    </row>
    <row r="45" spans="1:20" ht="13.5" customHeight="1" x14ac:dyDescent="0.25">
      <c r="C45" s="3429"/>
      <c r="D45" s="3349"/>
      <c r="E45" s="2700"/>
      <c r="F45" s="2700"/>
      <c r="G45" s="2439"/>
      <c r="H45" s="722"/>
      <c r="I45" s="722"/>
      <c r="J45" s="722"/>
      <c r="K45" s="722"/>
      <c r="L45" s="722"/>
      <c r="M45" s="722"/>
      <c r="N45" s="706"/>
      <c r="O45" s="706"/>
      <c r="P45" s="722"/>
      <c r="Q45" s="932"/>
      <c r="R45" s="17"/>
      <c r="S45" s="17"/>
    </row>
    <row r="46" spans="1:20" ht="12.75" customHeight="1" x14ac:dyDescent="0.2">
      <c r="D46" s="17"/>
      <c r="G46" s="17"/>
      <c r="H46" s="17"/>
      <c r="I46" s="17"/>
      <c r="J46" s="17"/>
      <c r="K46" s="749"/>
      <c r="L46" s="749"/>
      <c r="M46" s="17"/>
      <c r="N46" s="17"/>
      <c r="O46" s="17"/>
      <c r="P46" s="17"/>
      <c r="Q46" s="17"/>
      <c r="R46" s="17"/>
      <c r="S46" s="17"/>
      <c r="T46" s="2439"/>
    </row>
    <row r="47" spans="1:20" ht="14.25" customHeight="1" x14ac:dyDescent="0.2">
      <c r="D47" s="17"/>
      <c r="E47" s="17"/>
      <c r="F47" s="17"/>
      <c r="G47" s="17"/>
      <c r="H47" s="17"/>
      <c r="I47" s="17"/>
      <c r="J47" s="17"/>
      <c r="K47" s="17"/>
      <c r="L47" s="17"/>
      <c r="M47" s="17"/>
      <c r="N47" s="17"/>
      <c r="O47" s="17"/>
      <c r="P47" s="17"/>
      <c r="Q47" s="17"/>
      <c r="R47" s="17"/>
      <c r="S47" s="17"/>
      <c r="T47" s="2439"/>
    </row>
    <row r="48" spans="1:20" s="2642" customFormat="1" ht="12.75" customHeight="1" x14ac:dyDescent="0.2">
      <c r="A48" s="686">
        <v>5</v>
      </c>
      <c r="B48" s="686" t="s">
        <v>29</v>
      </c>
      <c r="C48" s="686"/>
      <c r="D48" s="4140" t="s">
        <v>1519</v>
      </c>
      <c r="E48" s="4141"/>
      <c r="F48" s="4141"/>
      <c r="G48" s="4141"/>
      <c r="H48" s="4141"/>
      <c r="I48" s="4141"/>
      <c r="J48" s="4141"/>
      <c r="K48" s="4141"/>
      <c r="L48" s="4141"/>
      <c r="M48" s="4141"/>
      <c r="N48" s="4141"/>
      <c r="O48" s="4141"/>
      <c r="P48" s="4141"/>
      <c r="Q48" s="4141"/>
      <c r="R48" s="4141"/>
      <c r="S48" s="4141"/>
      <c r="T48" s="4142"/>
    </row>
    <row r="49" spans="1:20" s="2642" customFormat="1" ht="56.25" customHeight="1" x14ac:dyDescent="0.2">
      <c r="A49" s="752">
        <v>6</v>
      </c>
      <c r="B49" s="752" t="s">
        <v>32</v>
      </c>
      <c r="C49" s="752"/>
      <c r="D49" s="4140" t="s">
        <v>1520</v>
      </c>
      <c r="E49" s="4141"/>
      <c r="F49" s="4141"/>
      <c r="G49" s="4141"/>
      <c r="H49" s="4141"/>
      <c r="I49" s="4141"/>
      <c r="J49" s="4141"/>
      <c r="K49" s="4141"/>
      <c r="L49" s="4141"/>
      <c r="M49" s="4141"/>
      <c r="N49" s="4141"/>
      <c r="O49" s="4141"/>
      <c r="P49" s="4141"/>
      <c r="Q49" s="4141"/>
      <c r="R49" s="4141"/>
      <c r="S49" s="4141"/>
      <c r="T49" s="4142"/>
    </row>
    <row r="50" spans="1:20" ht="12" customHeight="1" x14ac:dyDescent="0.2">
      <c r="A50" s="752">
        <v>7</v>
      </c>
      <c r="B50" s="752" t="s">
        <v>95</v>
      </c>
      <c r="D50" s="4140" t="s">
        <v>1744</v>
      </c>
      <c r="E50" s="4141"/>
      <c r="F50" s="4141"/>
      <c r="G50" s="4141"/>
      <c r="H50" s="4141"/>
      <c r="I50" s="4141"/>
      <c r="J50" s="4141"/>
      <c r="K50" s="4141"/>
      <c r="L50" s="4141"/>
      <c r="M50" s="4141"/>
      <c r="N50" s="4141"/>
      <c r="O50" s="4141"/>
      <c r="P50" s="4141"/>
      <c r="Q50" s="4141"/>
      <c r="R50" s="4141"/>
      <c r="S50" s="4141"/>
      <c r="T50" s="4142"/>
    </row>
    <row r="51" spans="1:20" s="2642" customFormat="1" ht="15.75" customHeight="1" x14ac:dyDescent="0.2">
      <c r="A51" s="752">
        <v>8</v>
      </c>
      <c r="B51" s="752" t="s">
        <v>31</v>
      </c>
      <c r="C51" s="686"/>
      <c r="D51" s="4140" t="s">
        <v>1521</v>
      </c>
      <c r="E51" s="4141"/>
      <c r="F51" s="4141"/>
      <c r="G51" s="4141"/>
      <c r="H51" s="4141"/>
      <c r="I51" s="4141"/>
      <c r="J51" s="4141"/>
      <c r="K51" s="4141"/>
      <c r="L51" s="4141"/>
      <c r="M51" s="4141"/>
      <c r="N51" s="4141"/>
      <c r="O51" s="4141"/>
      <c r="P51" s="4141"/>
      <c r="Q51" s="4141"/>
      <c r="R51" s="4141"/>
      <c r="S51" s="4141"/>
      <c r="T51" s="4142"/>
    </row>
    <row r="52" spans="1:20" x14ac:dyDescent="0.2">
      <c r="D52" s="11"/>
      <c r="E52" s="11"/>
      <c r="F52" s="11"/>
      <c r="G52" s="11"/>
      <c r="H52" s="11"/>
      <c r="I52" s="11"/>
      <c r="J52" s="11"/>
      <c r="K52" s="11"/>
      <c r="L52" s="11"/>
      <c r="M52" s="11"/>
      <c r="N52" s="11"/>
      <c r="O52" s="11"/>
      <c r="P52" s="17"/>
      <c r="Q52" s="17"/>
      <c r="R52" s="17"/>
      <c r="S52" s="17"/>
      <c r="T52" s="2439"/>
    </row>
    <row r="53" spans="1:20" x14ac:dyDescent="0.2">
      <c r="D53" s="11"/>
      <c r="E53" s="11"/>
      <c r="F53" s="11"/>
      <c r="G53" s="11"/>
      <c r="H53" s="11"/>
      <c r="I53" s="11"/>
      <c r="J53" s="11"/>
      <c r="K53" s="11"/>
      <c r="L53" s="11"/>
      <c r="M53" s="11"/>
      <c r="N53" s="11"/>
      <c r="O53" s="11"/>
      <c r="P53" s="11"/>
      <c r="Q53" s="11"/>
      <c r="R53" s="11"/>
      <c r="S53" s="11"/>
    </row>
    <row r="54" spans="1:20" x14ac:dyDescent="0.2">
      <c r="D54" s="11"/>
      <c r="E54" s="11"/>
      <c r="F54" s="11"/>
      <c r="G54" s="11"/>
      <c r="H54" s="11"/>
      <c r="I54" s="11"/>
      <c r="J54" s="11"/>
      <c r="K54" s="11"/>
      <c r="L54" s="11"/>
      <c r="M54" s="11"/>
      <c r="N54" s="11"/>
      <c r="O54" s="11"/>
      <c r="P54" s="11"/>
      <c r="Q54" s="11"/>
      <c r="R54" s="11"/>
      <c r="S54" s="11"/>
    </row>
    <row r="62" spans="1:20" x14ac:dyDescent="0.2">
      <c r="D62" s="755" t="s">
        <v>258</v>
      </c>
      <c r="E62" s="755" t="s">
        <v>1510</v>
      </c>
      <c r="F62" s="755"/>
      <c r="G62" s="756"/>
      <c r="H62" s="755"/>
      <c r="I62" s="755"/>
      <c r="J62" s="755"/>
      <c r="K62" s="749"/>
      <c r="L62" s="17"/>
      <c r="M62" s="17"/>
      <c r="N62" s="614"/>
      <c r="O62" s="614"/>
    </row>
    <row r="63" spans="1:20" x14ac:dyDescent="0.2">
      <c r="D63" s="3432"/>
      <c r="E63" s="2435"/>
      <c r="F63" s="3432" t="s">
        <v>130</v>
      </c>
      <c r="G63" s="3444" t="s">
        <v>138</v>
      </c>
      <c r="H63" s="3444" t="s">
        <v>139</v>
      </c>
      <c r="I63" s="3444" t="s">
        <v>140</v>
      </c>
      <c r="J63" s="3434" t="s">
        <v>141</v>
      </c>
      <c r="K63" s="2438" t="s">
        <v>142</v>
      </c>
      <c r="L63" s="2438" t="s">
        <v>143</v>
      </c>
      <c r="M63" s="2438" t="s">
        <v>144</v>
      </c>
      <c r="N63" s="2437" t="s">
        <v>145</v>
      </c>
      <c r="O63" s="2437" t="s">
        <v>8</v>
      </c>
      <c r="P63" s="2437" t="s">
        <v>9</v>
      </c>
      <c r="Q63" s="3428" t="s">
        <v>10</v>
      </c>
      <c r="R63" s="3428" t="s">
        <v>11</v>
      </c>
      <c r="S63" s="3428" t="s">
        <v>12</v>
      </c>
      <c r="T63" s="3428" t="s">
        <v>13</v>
      </c>
    </row>
    <row r="64" spans="1:20" x14ac:dyDescent="0.2">
      <c r="A64" s="2702"/>
      <c r="B64" s="2702"/>
      <c r="C64" s="2702"/>
      <c r="D64" s="2439" t="s">
        <v>1511</v>
      </c>
      <c r="E64" s="2439"/>
      <c r="F64" s="3435"/>
      <c r="J64" s="3436">
        <v>113</v>
      </c>
      <c r="K64" s="3437">
        <v>118</v>
      </c>
      <c r="L64" s="3437">
        <v>122</v>
      </c>
      <c r="M64" s="3437">
        <v>121</v>
      </c>
      <c r="N64" s="3437">
        <v>121</v>
      </c>
      <c r="O64" s="3437">
        <v>122</v>
      </c>
      <c r="P64" s="3437">
        <v>125</v>
      </c>
      <c r="Q64" s="3438">
        <v>129</v>
      </c>
      <c r="R64" s="3438"/>
      <c r="S64" s="3438">
        <v>136</v>
      </c>
      <c r="T64" s="3438">
        <v>136</v>
      </c>
    </row>
    <row r="65" spans="1:20" x14ac:dyDescent="0.2">
      <c r="A65" s="2702"/>
      <c r="B65" s="2702"/>
      <c r="C65" s="2702"/>
      <c r="D65" s="2439" t="s">
        <v>1512</v>
      </c>
      <c r="E65" s="2439"/>
      <c r="F65" s="3435"/>
      <c r="J65" s="3436">
        <v>16</v>
      </c>
      <c r="K65" s="3437">
        <v>11</v>
      </c>
      <c r="L65" s="3437">
        <v>11</v>
      </c>
      <c r="M65" s="3437">
        <v>11</v>
      </c>
      <c r="N65" s="3437" t="s">
        <v>1513</v>
      </c>
      <c r="O65" s="3437">
        <v>16</v>
      </c>
      <c r="P65" s="3437">
        <v>18</v>
      </c>
      <c r="Q65" s="3438">
        <v>19</v>
      </c>
      <c r="R65" s="3438"/>
      <c r="S65" s="3438">
        <v>19</v>
      </c>
      <c r="T65" s="3438">
        <v>19</v>
      </c>
    </row>
    <row r="66" spans="1:20" x14ac:dyDescent="0.2">
      <c r="A66" s="2702"/>
      <c r="B66" s="2702"/>
      <c r="C66" s="2702"/>
      <c r="D66" s="932" t="s">
        <v>1514</v>
      </c>
      <c r="E66" s="932"/>
      <c r="F66" s="3439"/>
      <c r="J66" s="3435">
        <v>53</v>
      </c>
      <c r="K66" s="2281">
        <v>53</v>
      </c>
      <c r="L66" s="2281">
        <v>53</v>
      </c>
      <c r="M66" s="2281">
        <v>53</v>
      </c>
      <c r="N66" s="2281">
        <v>53</v>
      </c>
      <c r="O66" s="2065">
        <v>53</v>
      </c>
      <c r="P66" s="2065">
        <v>52</v>
      </c>
      <c r="Q66" s="3440">
        <v>50</v>
      </c>
      <c r="R66" s="3440"/>
      <c r="S66" s="3440">
        <v>57</v>
      </c>
      <c r="T66" s="3440">
        <v>57</v>
      </c>
    </row>
    <row r="67" spans="1:20" x14ac:dyDescent="0.2">
      <c r="A67" s="2702"/>
      <c r="B67" s="2702"/>
      <c r="C67" s="2702"/>
      <c r="D67" s="932" t="s">
        <v>1515</v>
      </c>
      <c r="E67" s="932"/>
      <c r="F67" s="3439"/>
      <c r="J67" s="3435">
        <v>73</v>
      </c>
      <c r="K67" s="2281">
        <v>73</v>
      </c>
      <c r="L67" s="2281">
        <v>73</v>
      </c>
      <c r="M67" s="2281">
        <v>73</v>
      </c>
      <c r="N67" s="2281">
        <v>73</v>
      </c>
      <c r="O67" s="2065">
        <v>73</v>
      </c>
      <c r="P67" s="2065">
        <v>80</v>
      </c>
      <c r="Q67" s="3440">
        <v>82</v>
      </c>
      <c r="R67" s="3440"/>
      <c r="S67" s="3440">
        <v>82</v>
      </c>
      <c r="T67" s="3440">
        <v>82</v>
      </c>
    </row>
    <row r="68" spans="1:20" x14ac:dyDescent="0.2">
      <c r="A68" s="2702"/>
      <c r="B68" s="2702"/>
      <c r="C68" s="2702"/>
      <c r="D68" s="932" t="s">
        <v>1516</v>
      </c>
      <c r="E68" s="932"/>
      <c r="F68" s="3439"/>
      <c r="J68" s="3435">
        <v>22</v>
      </c>
      <c r="K68" s="2281">
        <v>23</v>
      </c>
      <c r="L68" s="2281">
        <v>23</v>
      </c>
      <c r="M68" s="2281">
        <v>26</v>
      </c>
      <c r="N68" s="2281">
        <v>28</v>
      </c>
      <c r="O68" s="2065">
        <v>31</v>
      </c>
      <c r="P68" s="2065">
        <v>30</v>
      </c>
      <c r="Q68" s="3440">
        <v>30</v>
      </c>
      <c r="R68" s="3440"/>
      <c r="S68" s="3440">
        <v>31</v>
      </c>
      <c r="T68" s="3440">
        <v>31</v>
      </c>
    </row>
    <row r="69" spans="1:20" x14ac:dyDescent="0.2">
      <c r="A69" s="2702"/>
      <c r="B69" s="2702"/>
      <c r="C69" s="2702"/>
      <c r="D69" s="932" t="s">
        <v>1517</v>
      </c>
      <c r="E69" s="932"/>
      <c r="F69" s="3439"/>
      <c r="J69" s="3435">
        <v>1</v>
      </c>
      <c r="K69" s="2281">
        <v>1</v>
      </c>
      <c r="L69" s="2281">
        <v>1</v>
      </c>
      <c r="M69" s="2281">
        <v>1</v>
      </c>
      <c r="N69" s="2281">
        <v>1</v>
      </c>
      <c r="O69" s="2065">
        <v>1</v>
      </c>
      <c r="P69" s="2065">
        <v>1</v>
      </c>
      <c r="Q69" s="3440">
        <v>1</v>
      </c>
      <c r="R69" s="3440"/>
      <c r="S69" s="3440">
        <v>1</v>
      </c>
      <c r="T69" s="3440">
        <v>1</v>
      </c>
    </row>
    <row r="70" spans="1:20" ht="22.5" x14ac:dyDescent="0.2">
      <c r="A70" s="2702"/>
      <c r="B70" s="2702"/>
      <c r="C70" s="2702"/>
      <c r="D70" s="3430" t="s">
        <v>1518</v>
      </c>
      <c r="E70" s="3430"/>
      <c r="F70" s="3441">
        <v>68</v>
      </c>
      <c r="J70" s="3442">
        <f>SUM(J64:J69)</f>
        <v>278</v>
      </c>
      <c r="K70" s="3442">
        <f>SUM(K64:K69)</f>
        <v>279</v>
      </c>
      <c r="L70" s="3442">
        <f>SUM(L64:L69)</f>
        <v>283</v>
      </c>
      <c r="M70" s="3442">
        <f>SUM(M64:M69)</f>
        <v>285</v>
      </c>
      <c r="N70" s="3442">
        <v>292</v>
      </c>
      <c r="O70" s="3442">
        <f>SUM(O64:O69)</f>
        <v>296</v>
      </c>
      <c r="P70" s="3442">
        <v>307</v>
      </c>
      <c r="Q70" s="3442">
        <f>SUM(Q64:Q69)</f>
        <v>311</v>
      </c>
      <c r="R70" s="3442"/>
      <c r="S70" s="3442">
        <f>SUM(S64:S69)</f>
        <v>326</v>
      </c>
      <c r="T70" s="3442">
        <f>SUM(T64:T69)</f>
        <v>326</v>
      </c>
    </row>
    <row r="71" spans="1:20" x14ac:dyDescent="0.2">
      <c r="A71" s="2702"/>
      <c r="B71" s="2702"/>
      <c r="C71" s="2702"/>
      <c r="D71" s="2702" t="s">
        <v>1522</v>
      </c>
      <c r="G71" s="2702">
        <v>91</v>
      </c>
      <c r="H71" s="2702">
        <v>96</v>
      </c>
      <c r="I71" s="2702">
        <v>101</v>
      </c>
      <c r="J71" s="2702">
        <v>107</v>
      </c>
      <c r="K71" s="2702">
        <v>109</v>
      </c>
      <c r="L71" s="2702">
        <v>114</v>
      </c>
      <c r="M71" s="2702">
        <v>119</v>
      </c>
      <c r="N71" s="2702">
        <v>124</v>
      </c>
      <c r="O71" s="2702">
        <v>124</v>
      </c>
      <c r="P71" s="2702">
        <v>125</v>
      </c>
      <c r="Q71" s="2702">
        <v>125</v>
      </c>
      <c r="R71" s="2702">
        <v>125</v>
      </c>
      <c r="S71" s="2702">
        <v>125</v>
      </c>
      <c r="T71" s="2702">
        <v>125</v>
      </c>
    </row>
    <row r="72" spans="1:20" x14ac:dyDescent="0.2">
      <c r="A72" s="2702"/>
      <c r="B72" s="2702"/>
      <c r="C72" s="2702"/>
      <c r="H72" s="2637"/>
      <c r="I72" s="2637"/>
      <c r="J72" s="2637"/>
      <c r="K72" s="2637"/>
      <c r="L72" s="2637"/>
      <c r="M72" s="2637"/>
      <c r="N72" s="2637"/>
      <c r="O72" s="1770"/>
      <c r="P72" s="1770"/>
      <c r="Q72" s="3431"/>
      <c r="R72" s="3445"/>
      <c r="S72" s="3445"/>
      <c r="T72" s="3445"/>
    </row>
  </sheetData>
  <mergeCells count="8">
    <mergeCell ref="D51:T51"/>
    <mergeCell ref="D19:F19"/>
    <mergeCell ref="D2:T2"/>
    <mergeCell ref="D3:T3"/>
    <mergeCell ref="D4:T4"/>
    <mergeCell ref="D48:T48"/>
    <mergeCell ref="D49:T49"/>
    <mergeCell ref="D50:T50"/>
  </mergeCells>
  <pageMargins left="0.74803149606299213" right="0.74803149606299213" top="0.98425196850393704" bottom="0.98425196850393704" header="0.51181102362204722" footer="0.51181102362204722"/>
  <pageSetup paperSize="9" scale="6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40"/>
  <sheetViews>
    <sheetView showGridLines="0" view="pageBreakPreview" zoomScaleNormal="100" zoomScaleSheetLayoutView="100" workbookViewId="0">
      <selection activeCell="W32" sqref="W32"/>
    </sheetView>
  </sheetViews>
  <sheetFormatPr defaultColWidth="9.140625" defaultRowHeight="11.25" x14ac:dyDescent="0.2"/>
  <cols>
    <col min="1" max="1" width="3.7109375" style="3365" customWidth="1"/>
    <col min="2" max="2" width="14.42578125" style="3366" customWidth="1"/>
    <col min="3" max="3" width="5.42578125" style="3366" customWidth="1"/>
    <col min="4" max="4" width="14.140625" style="2702" customWidth="1"/>
    <col min="5" max="19" width="6" style="2702" customWidth="1"/>
    <col min="20" max="20" width="8.85546875" style="2702" customWidth="1"/>
    <col min="21" max="257" width="9.140625" style="2702"/>
    <col min="258" max="258" width="3.7109375" style="2702" customWidth="1"/>
    <col min="259" max="259" width="14.42578125" style="2702" customWidth="1"/>
    <col min="260" max="260" width="5.42578125" style="2702" customWidth="1"/>
    <col min="261" max="261" width="14.140625" style="2702" customWidth="1"/>
    <col min="262" max="275" width="6" style="2702" customWidth="1"/>
    <col min="276" max="513" width="9.140625" style="2702"/>
    <col min="514" max="514" width="3.7109375" style="2702" customWidth="1"/>
    <col min="515" max="515" width="14.42578125" style="2702" customWidth="1"/>
    <col min="516" max="516" width="5.42578125" style="2702" customWidth="1"/>
    <col min="517" max="517" width="14.140625" style="2702" customWidth="1"/>
    <col min="518" max="531" width="6" style="2702" customWidth="1"/>
    <col min="532" max="769" width="9.140625" style="2702"/>
    <col min="770" max="770" width="3.7109375" style="2702" customWidth="1"/>
    <col min="771" max="771" width="14.42578125" style="2702" customWidth="1"/>
    <col min="772" max="772" width="5.42578125" style="2702" customWidth="1"/>
    <col min="773" max="773" width="14.140625" style="2702" customWidth="1"/>
    <col min="774" max="787" width="6" style="2702" customWidth="1"/>
    <col min="788" max="1025" width="9.140625" style="2702"/>
    <col min="1026" max="1026" width="3.7109375" style="2702" customWidth="1"/>
    <col min="1027" max="1027" width="14.42578125" style="2702" customWidth="1"/>
    <col min="1028" max="1028" width="5.42578125" style="2702" customWidth="1"/>
    <col min="1029" max="1029" width="14.140625" style="2702" customWidth="1"/>
    <col min="1030" max="1043" width="6" style="2702" customWidth="1"/>
    <col min="1044" max="1281" width="9.140625" style="2702"/>
    <col min="1282" max="1282" width="3.7109375" style="2702" customWidth="1"/>
    <col min="1283" max="1283" width="14.42578125" style="2702" customWidth="1"/>
    <col min="1284" max="1284" width="5.42578125" style="2702" customWidth="1"/>
    <col min="1285" max="1285" width="14.140625" style="2702" customWidth="1"/>
    <col min="1286" max="1299" width="6" style="2702" customWidth="1"/>
    <col min="1300" max="1537" width="9.140625" style="2702"/>
    <col min="1538" max="1538" width="3.7109375" style="2702" customWidth="1"/>
    <col min="1539" max="1539" width="14.42578125" style="2702" customWidth="1"/>
    <col min="1540" max="1540" width="5.42578125" style="2702" customWidth="1"/>
    <col min="1541" max="1541" width="14.140625" style="2702" customWidth="1"/>
    <col min="1542" max="1555" width="6" style="2702" customWidth="1"/>
    <col min="1556" max="1793" width="9.140625" style="2702"/>
    <col min="1794" max="1794" width="3.7109375" style="2702" customWidth="1"/>
    <col min="1795" max="1795" width="14.42578125" style="2702" customWidth="1"/>
    <col min="1796" max="1796" width="5.42578125" style="2702" customWidth="1"/>
    <col min="1797" max="1797" width="14.140625" style="2702" customWidth="1"/>
    <col min="1798" max="1811" width="6" style="2702" customWidth="1"/>
    <col min="1812" max="2049" width="9.140625" style="2702"/>
    <col min="2050" max="2050" width="3.7109375" style="2702" customWidth="1"/>
    <col min="2051" max="2051" width="14.42578125" style="2702" customWidth="1"/>
    <col min="2052" max="2052" width="5.42578125" style="2702" customWidth="1"/>
    <col min="2053" max="2053" width="14.140625" style="2702" customWidth="1"/>
    <col min="2054" max="2067" width="6" style="2702" customWidth="1"/>
    <col min="2068" max="2305" width="9.140625" style="2702"/>
    <col min="2306" max="2306" width="3.7109375" style="2702" customWidth="1"/>
    <col min="2307" max="2307" width="14.42578125" style="2702" customWidth="1"/>
    <col min="2308" max="2308" width="5.42578125" style="2702" customWidth="1"/>
    <col min="2309" max="2309" width="14.140625" style="2702" customWidth="1"/>
    <col min="2310" max="2323" width="6" style="2702" customWidth="1"/>
    <col min="2324" max="2561" width="9.140625" style="2702"/>
    <col min="2562" max="2562" width="3.7109375" style="2702" customWidth="1"/>
    <col min="2563" max="2563" width="14.42578125" style="2702" customWidth="1"/>
    <col min="2564" max="2564" width="5.42578125" style="2702" customWidth="1"/>
    <col min="2565" max="2565" width="14.140625" style="2702" customWidth="1"/>
    <col min="2566" max="2579" width="6" style="2702" customWidth="1"/>
    <col min="2580" max="2817" width="9.140625" style="2702"/>
    <col min="2818" max="2818" width="3.7109375" style="2702" customWidth="1"/>
    <col min="2819" max="2819" width="14.42578125" style="2702" customWidth="1"/>
    <col min="2820" max="2820" width="5.42578125" style="2702" customWidth="1"/>
    <col min="2821" max="2821" width="14.140625" style="2702" customWidth="1"/>
    <col min="2822" max="2835" width="6" style="2702" customWidth="1"/>
    <col min="2836" max="3073" width="9.140625" style="2702"/>
    <col min="3074" max="3074" width="3.7109375" style="2702" customWidth="1"/>
    <col min="3075" max="3075" width="14.42578125" style="2702" customWidth="1"/>
    <col min="3076" max="3076" width="5.42578125" style="2702" customWidth="1"/>
    <col min="3077" max="3077" width="14.140625" style="2702" customWidth="1"/>
    <col min="3078" max="3091" width="6" style="2702" customWidth="1"/>
    <col min="3092" max="3329" width="9.140625" style="2702"/>
    <col min="3330" max="3330" width="3.7109375" style="2702" customWidth="1"/>
    <col min="3331" max="3331" width="14.42578125" style="2702" customWidth="1"/>
    <col min="3332" max="3332" width="5.42578125" style="2702" customWidth="1"/>
    <col min="3333" max="3333" width="14.140625" style="2702" customWidth="1"/>
    <col min="3334" max="3347" width="6" style="2702" customWidth="1"/>
    <col min="3348" max="3585" width="9.140625" style="2702"/>
    <col min="3586" max="3586" width="3.7109375" style="2702" customWidth="1"/>
    <col min="3587" max="3587" width="14.42578125" style="2702" customWidth="1"/>
    <col min="3588" max="3588" width="5.42578125" style="2702" customWidth="1"/>
    <col min="3589" max="3589" width="14.140625" style="2702" customWidth="1"/>
    <col min="3590" max="3603" width="6" style="2702" customWidth="1"/>
    <col min="3604" max="3841" width="9.140625" style="2702"/>
    <col min="3842" max="3842" width="3.7109375" style="2702" customWidth="1"/>
    <col min="3843" max="3843" width="14.42578125" style="2702" customWidth="1"/>
    <col min="3844" max="3844" width="5.42578125" style="2702" customWidth="1"/>
    <col min="3845" max="3845" width="14.140625" style="2702" customWidth="1"/>
    <col min="3846" max="3859" width="6" style="2702" customWidth="1"/>
    <col min="3860" max="4097" width="9.140625" style="2702"/>
    <col min="4098" max="4098" width="3.7109375" style="2702" customWidth="1"/>
    <col min="4099" max="4099" width="14.42578125" style="2702" customWidth="1"/>
    <col min="4100" max="4100" width="5.42578125" style="2702" customWidth="1"/>
    <col min="4101" max="4101" width="14.140625" style="2702" customWidth="1"/>
    <col min="4102" max="4115" width="6" style="2702" customWidth="1"/>
    <col min="4116" max="4353" width="9.140625" style="2702"/>
    <col min="4354" max="4354" width="3.7109375" style="2702" customWidth="1"/>
    <col min="4355" max="4355" width="14.42578125" style="2702" customWidth="1"/>
    <col min="4356" max="4356" width="5.42578125" style="2702" customWidth="1"/>
    <col min="4357" max="4357" width="14.140625" style="2702" customWidth="1"/>
    <col min="4358" max="4371" width="6" style="2702" customWidth="1"/>
    <col min="4372" max="4609" width="9.140625" style="2702"/>
    <col min="4610" max="4610" width="3.7109375" style="2702" customWidth="1"/>
    <col min="4611" max="4611" width="14.42578125" style="2702" customWidth="1"/>
    <col min="4612" max="4612" width="5.42578125" style="2702" customWidth="1"/>
    <col min="4613" max="4613" width="14.140625" style="2702" customWidth="1"/>
    <col min="4614" max="4627" width="6" style="2702" customWidth="1"/>
    <col min="4628" max="4865" width="9.140625" style="2702"/>
    <col min="4866" max="4866" width="3.7109375" style="2702" customWidth="1"/>
    <col min="4867" max="4867" width="14.42578125" style="2702" customWidth="1"/>
    <col min="4868" max="4868" width="5.42578125" style="2702" customWidth="1"/>
    <col min="4869" max="4869" width="14.140625" style="2702" customWidth="1"/>
    <col min="4870" max="4883" width="6" style="2702" customWidth="1"/>
    <col min="4884" max="5121" width="9.140625" style="2702"/>
    <col min="5122" max="5122" width="3.7109375" style="2702" customWidth="1"/>
    <col min="5123" max="5123" width="14.42578125" style="2702" customWidth="1"/>
    <col min="5124" max="5124" width="5.42578125" style="2702" customWidth="1"/>
    <col min="5125" max="5125" width="14.140625" style="2702" customWidth="1"/>
    <col min="5126" max="5139" width="6" style="2702" customWidth="1"/>
    <col min="5140" max="5377" width="9.140625" style="2702"/>
    <col min="5378" max="5378" width="3.7109375" style="2702" customWidth="1"/>
    <col min="5379" max="5379" width="14.42578125" style="2702" customWidth="1"/>
    <col min="5380" max="5380" width="5.42578125" style="2702" customWidth="1"/>
    <col min="5381" max="5381" width="14.140625" style="2702" customWidth="1"/>
    <col min="5382" max="5395" width="6" style="2702" customWidth="1"/>
    <col min="5396" max="5633" width="9.140625" style="2702"/>
    <col min="5634" max="5634" width="3.7109375" style="2702" customWidth="1"/>
    <col min="5635" max="5635" width="14.42578125" style="2702" customWidth="1"/>
    <col min="5636" max="5636" width="5.42578125" style="2702" customWidth="1"/>
    <col min="5637" max="5637" width="14.140625" style="2702" customWidth="1"/>
    <col min="5638" max="5651" width="6" style="2702" customWidth="1"/>
    <col min="5652" max="5889" width="9.140625" style="2702"/>
    <col min="5890" max="5890" width="3.7109375" style="2702" customWidth="1"/>
    <col min="5891" max="5891" width="14.42578125" style="2702" customWidth="1"/>
    <col min="5892" max="5892" width="5.42578125" style="2702" customWidth="1"/>
    <col min="5893" max="5893" width="14.140625" style="2702" customWidth="1"/>
    <col min="5894" max="5907" width="6" style="2702" customWidth="1"/>
    <col min="5908" max="6145" width="9.140625" style="2702"/>
    <col min="6146" max="6146" width="3.7109375" style="2702" customWidth="1"/>
    <col min="6147" max="6147" width="14.42578125" style="2702" customWidth="1"/>
    <col min="6148" max="6148" width="5.42578125" style="2702" customWidth="1"/>
    <col min="6149" max="6149" width="14.140625" style="2702" customWidth="1"/>
    <col min="6150" max="6163" width="6" style="2702" customWidth="1"/>
    <col min="6164" max="6401" width="9.140625" style="2702"/>
    <col min="6402" max="6402" width="3.7109375" style="2702" customWidth="1"/>
    <col min="6403" max="6403" width="14.42578125" style="2702" customWidth="1"/>
    <col min="6404" max="6404" width="5.42578125" style="2702" customWidth="1"/>
    <col min="6405" max="6405" width="14.140625" style="2702" customWidth="1"/>
    <col min="6406" max="6419" width="6" style="2702" customWidth="1"/>
    <col min="6420" max="6657" width="9.140625" style="2702"/>
    <col min="6658" max="6658" width="3.7109375" style="2702" customWidth="1"/>
    <col min="6659" max="6659" width="14.42578125" style="2702" customWidth="1"/>
    <col min="6660" max="6660" width="5.42578125" style="2702" customWidth="1"/>
    <col min="6661" max="6661" width="14.140625" style="2702" customWidth="1"/>
    <col min="6662" max="6675" width="6" style="2702" customWidth="1"/>
    <col min="6676" max="6913" width="9.140625" style="2702"/>
    <col min="6914" max="6914" width="3.7109375" style="2702" customWidth="1"/>
    <col min="6915" max="6915" width="14.42578125" style="2702" customWidth="1"/>
    <col min="6916" max="6916" width="5.42578125" style="2702" customWidth="1"/>
    <col min="6917" max="6917" width="14.140625" style="2702" customWidth="1"/>
    <col min="6918" max="6931" width="6" style="2702" customWidth="1"/>
    <col min="6932" max="7169" width="9.140625" style="2702"/>
    <col min="7170" max="7170" width="3.7109375" style="2702" customWidth="1"/>
    <col min="7171" max="7171" width="14.42578125" style="2702" customWidth="1"/>
    <col min="7172" max="7172" width="5.42578125" style="2702" customWidth="1"/>
    <col min="7173" max="7173" width="14.140625" style="2702" customWidth="1"/>
    <col min="7174" max="7187" width="6" style="2702" customWidth="1"/>
    <col min="7188" max="7425" width="9.140625" style="2702"/>
    <col min="7426" max="7426" width="3.7109375" style="2702" customWidth="1"/>
    <col min="7427" max="7427" width="14.42578125" style="2702" customWidth="1"/>
    <col min="7428" max="7428" width="5.42578125" style="2702" customWidth="1"/>
    <col min="7429" max="7429" width="14.140625" style="2702" customWidth="1"/>
    <col min="7430" max="7443" width="6" style="2702" customWidth="1"/>
    <col min="7444" max="7681" width="9.140625" style="2702"/>
    <col min="7682" max="7682" width="3.7109375" style="2702" customWidth="1"/>
    <col min="7683" max="7683" width="14.42578125" style="2702" customWidth="1"/>
    <col min="7684" max="7684" width="5.42578125" style="2702" customWidth="1"/>
    <col min="7685" max="7685" width="14.140625" style="2702" customWidth="1"/>
    <col min="7686" max="7699" width="6" style="2702" customWidth="1"/>
    <col min="7700" max="7937" width="9.140625" style="2702"/>
    <col min="7938" max="7938" width="3.7109375" style="2702" customWidth="1"/>
    <col min="7939" max="7939" width="14.42578125" style="2702" customWidth="1"/>
    <col min="7940" max="7940" width="5.42578125" style="2702" customWidth="1"/>
    <col min="7941" max="7941" width="14.140625" style="2702" customWidth="1"/>
    <col min="7942" max="7955" width="6" style="2702" customWidth="1"/>
    <col min="7956" max="8193" width="9.140625" style="2702"/>
    <col min="8194" max="8194" width="3.7109375" style="2702" customWidth="1"/>
    <col min="8195" max="8195" width="14.42578125" style="2702" customWidth="1"/>
    <col min="8196" max="8196" width="5.42578125" style="2702" customWidth="1"/>
    <col min="8197" max="8197" width="14.140625" style="2702" customWidth="1"/>
    <col min="8198" max="8211" width="6" style="2702" customWidth="1"/>
    <col min="8212" max="8449" width="9.140625" style="2702"/>
    <col min="8450" max="8450" width="3.7109375" style="2702" customWidth="1"/>
    <col min="8451" max="8451" width="14.42578125" style="2702" customWidth="1"/>
    <col min="8452" max="8452" width="5.42578125" style="2702" customWidth="1"/>
    <col min="8453" max="8453" width="14.140625" style="2702" customWidth="1"/>
    <col min="8454" max="8467" width="6" style="2702" customWidth="1"/>
    <col min="8468" max="8705" width="9.140625" style="2702"/>
    <col min="8706" max="8706" width="3.7109375" style="2702" customWidth="1"/>
    <col min="8707" max="8707" width="14.42578125" style="2702" customWidth="1"/>
    <col min="8708" max="8708" width="5.42578125" style="2702" customWidth="1"/>
    <col min="8709" max="8709" width="14.140625" style="2702" customWidth="1"/>
    <col min="8710" max="8723" width="6" style="2702" customWidth="1"/>
    <col min="8724" max="8961" width="9.140625" style="2702"/>
    <col min="8962" max="8962" width="3.7109375" style="2702" customWidth="1"/>
    <col min="8963" max="8963" width="14.42578125" style="2702" customWidth="1"/>
    <col min="8964" max="8964" width="5.42578125" style="2702" customWidth="1"/>
    <col min="8965" max="8965" width="14.140625" style="2702" customWidth="1"/>
    <col min="8966" max="8979" width="6" style="2702" customWidth="1"/>
    <col min="8980" max="9217" width="9.140625" style="2702"/>
    <col min="9218" max="9218" width="3.7109375" style="2702" customWidth="1"/>
    <col min="9219" max="9219" width="14.42578125" style="2702" customWidth="1"/>
    <col min="9220" max="9220" width="5.42578125" style="2702" customWidth="1"/>
    <col min="9221" max="9221" width="14.140625" style="2702" customWidth="1"/>
    <col min="9222" max="9235" width="6" style="2702" customWidth="1"/>
    <col min="9236" max="9473" width="9.140625" style="2702"/>
    <col min="9474" max="9474" width="3.7109375" style="2702" customWidth="1"/>
    <col min="9475" max="9475" width="14.42578125" style="2702" customWidth="1"/>
    <col min="9476" max="9476" width="5.42578125" style="2702" customWidth="1"/>
    <col min="9477" max="9477" width="14.140625" style="2702" customWidth="1"/>
    <col min="9478" max="9491" width="6" style="2702" customWidth="1"/>
    <col min="9492" max="9729" width="9.140625" style="2702"/>
    <col min="9730" max="9730" width="3.7109375" style="2702" customWidth="1"/>
    <col min="9731" max="9731" width="14.42578125" style="2702" customWidth="1"/>
    <col min="9732" max="9732" width="5.42578125" style="2702" customWidth="1"/>
    <col min="9733" max="9733" width="14.140625" style="2702" customWidth="1"/>
    <col min="9734" max="9747" width="6" style="2702" customWidth="1"/>
    <col min="9748" max="9985" width="9.140625" style="2702"/>
    <col min="9986" max="9986" width="3.7109375" style="2702" customWidth="1"/>
    <col min="9987" max="9987" width="14.42578125" style="2702" customWidth="1"/>
    <col min="9988" max="9988" width="5.42578125" style="2702" customWidth="1"/>
    <col min="9989" max="9989" width="14.140625" style="2702" customWidth="1"/>
    <col min="9990" max="10003" width="6" style="2702" customWidth="1"/>
    <col min="10004" max="10241" width="9.140625" style="2702"/>
    <col min="10242" max="10242" width="3.7109375" style="2702" customWidth="1"/>
    <col min="10243" max="10243" width="14.42578125" style="2702" customWidth="1"/>
    <col min="10244" max="10244" width="5.42578125" style="2702" customWidth="1"/>
    <col min="10245" max="10245" width="14.140625" style="2702" customWidth="1"/>
    <col min="10246" max="10259" width="6" style="2702" customWidth="1"/>
    <col min="10260" max="10497" width="9.140625" style="2702"/>
    <col min="10498" max="10498" width="3.7109375" style="2702" customWidth="1"/>
    <col min="10499" max="10499" width="14.42578125" style="2702" customWidth="1"/>
    <col min="10500" max="10500" width="5.42578125" style="2702" customWidth="1"/>
    <col min="10501" max="10501" width="14.140625" style="2702" customWidth="1"/>
    <col min="10502" max="10515" width="6" style="2702" customWidth="1"/>
    <col min="10516" max="10753" width="9.140625" style="2702"/>
    <col min="10754" max="10754" width="3.7109375" style="2702" customWidth="1"/>
    <col min="10755" max="10755" width="14.42578125" style="2702" customWidth="1"/>
    <col min="10756" max="10756" width="5.42578125" style="2702" customWidth="1"/>
    <col min="10757" max="10757" width="14.140625" style="2702" customWidth="1"/>
    <col min="10758" max="10771" width="6" style="2702" customWidth="1"/>
    <col min="10772" max="11009" width="9.140625" style="2702"/>
    <col min="11010" max="11010" width="3.7109375" style="2702" customWidth="1"/>
    <col min="11011" max="11011" width="14.42578125" style="2702" customWidth="1"/>
    <col min="11012" max="11012" width="5.42578125" style="2702" customWidth="1"/>
    <col min="11013" max="11013" width="14.140625" style="2702" customWidth="1"/>
    <col min="11014" max="11027" width="6" style="2702" customWidth="1"/>
    <col min="11028" max="11265" width="9.140625" style="2702"/>
    <col min="11266" max="11266" width="3.7109375" style="2702" customWidth="1"/>
    <col min="11267" max="11267" width="14.42578125" style="2702" customWidth="1"/>
    <col min="11268" max="11268" width="5.42578125" style="2702" customWidth="1"/>
    <col min="11269" max="11269" width="14.140625" style="2702" customWidth="1"/>
    <col min="11270" max="11283" width="6" style="2702" customWidth="1"/>
    <col min="11284" max="11521" width="9.140625" style="2702"/>
    <col min="11522" max="11522" width="3.7109375" style="2702" customWidth="1"/>
    <col min="11523" max="11523" width="14.42578125" style="2702" customWidth="1"/>
    <col min="11524" max="11524" width="5.42578125" style="2702" customWidth="1"/>
    <col min="11525" max="11525" width="14.140625" style="2702" customWidth="1"/>
    <col min="11526" max="11539" width="6" style="2702" customWidth="1"/>
    <col min="11540" max="11777" width="9.140625" style="2702"/>
    <col min="11778" max="11778" width="3.7109375" style="2702" customWidth="1"/>
    <col min="11779" max="11779" width="14.42578125" style="2702" customWidth="1"/>
    <col min="11780" max="11780" width="5.42578125" style="2702" customWidth="1"/>
    <col min="11781" max="11781" width="14.140625" style="2702" customWidth="1"/>
    <col min="11782" max="11795" width="6" style="2702" customWidth="1"/>
    <col min="11796" max="12033" width="9.140625" style="2702"/>
    <col min="12034" max="12034" width="3.7109375" style="2702" customWidth="1"/>
    <col min="12035" max="12035" width="14.42578125" style="2702" customWidth="1"/>
    <col min="12036" max="12036" width="5.42578125" style="2702" customWidth="1"/>
    <col min="12037" max="12037" width="14.140625" style="2702" customWidth="1"/>
    <col min="12038" max="12051" width="6" style="2702" customWidth="1"/>
    <col min="12052" max="12289" width="9.140625" style="2702"/>
    <col min="12290" max="12290" width="3.7109375" style="2702" customWidth="1"/>
    <col min="12291" max="12291" width="14.42578125" style="2702" customWidth="1"/>
    <col min="12292" max="12292" width="5.42578125" style="2702" customWidth="1"/>
    <col min="12293" max="12293" width="14.140625" style="2702" customWidth="1"/>
    <col min="12294" max="12307" width="6" style="2702" customWidth="1"/>
    <col min="12308" max="12545" width="9.140625" style="2702"/>
    <col min="12546" max="12546" width="3.7109375" style="2702" customWidth="1"/>
    <col min="12547" max="12547" width="14.42578125" style="2702" customWidth="1"/>
    <col min="12548" max="12548" width="5.42578125" style="2702" customWidth="1"/>
    <col min="12549" max="12549" width="14.140625" style="2702" customWidth="1"/>
    <col min="12550" max="12563" width="6" style="2702" customWidth="1"/>
    <col min="12564" max="12801" width="9.140625" style="2702"/>
    <col min="12802" max="12802" width="3.7109375" style="2702" customWidth="1"/>
    <col min="12803" max="12803" width="14.42578125" style="2702" customWidth="1"/>
    <col min="12804" max="12804" width="5.42578125" style="2702" customWidth="1"/>
    <col min="12805" max="12805" width="14.140625" style="2702" customWidth="1"/>
    <col min="12806" max="12819" width="6" style="2702" customWidth="1"/>
    <col min="12820" max="13057" width="9.140625" style="2702"/>
    <col min="13058" max="13058" width="3.7109375" style="2702" customWidth="1"/>
    <col min="13059" max="13059" width="14.42578125" style="2702" customWidth="1"/>
    <col min="13060" max="13060" width="5.42578125" style="2702" customWidth="1"/>
    <col min="13061" max="13061" width="14.140625" style="2702" customWidth="1"/>
    <col min="13062" max="13075" width="6" style="2702" customWidth="1"/>
    <col min="13076" max="13313" width="9.140625" style="2702"/>
    <col min="13314" max="13314" width="3.7109375" style="2702" customWidth="1"/>
    <col min="13315" max="13315" width="14.42578125" style="2702" customWidth="1"/>
    <col min="13316" max="13316" width="5.42578125" style="2702" customWidth="1"/>
    <col min="13317" max="13317" width="14.140625" style="2702" customWidth="1"/>
    <col min="13318" max="13331" width="6" style="2702" customWidth="1"/>
    <col min="13332" max="13569" width="9.140625" style="2702"/>
    <col min="13570" max="13570" width="3.7109375" style="2702" customWidth="1"/>
    <col min="13571" max="13571" width="14.42578125" style="2702" customWidth="1"/>
    <col min="13572" max="13572" width="5.42578125" style="2702" customWidth="1"/>
    <col min="13573" max="13573" width="14.140625" style="2702" customWidth="1"/>
    <col min="13574" max="13587" width="6" style="2702" customWidth="1"/>
    <col min="13588" max="13825" width="9.140625" style="2702"/>
    <col min="13826" max="13826" width="3.7109375" style="2702" customWidth="1"/>
    <col min="13827" max="13827" width="14.42578125" style="2702" customWidth="1"/>
    <col min="13828" max="13828" width="5.42578125" style="2702" customWidth="1"/>
    <col min="13829" max="13829" width="14.140625" style="2702" customWidth="1"/>
    <col min="13830" max="13843" width="6" style="2702" customWidth="1"/>
    <col min="13844" max="14081" width="9.140625" style="2702"/>
    <col min="14082" max="14082" width="3.7109375" style="2702" customWidth="1"/>
    <col min="14083" max="14083" width="14.42578125" style="2702" customWidth="1"/>
    <col min="14084" max="14084" width="5.42578125" style="2702" customWidth="1"/>
    <col min="14085" max="14085" width="14.140625" style="2702" customWidth="1"/>
    <col min="14086" max="14099" width="6" style="2702" customWidth="1"/>
    <col min="14100" max="14337" width="9.140625" style="2702"/>
    <col min="14338" max="14338" width="3.7109375" style="2702" customWidth="1"/>
    <col min="14339" max="14339" width="14.42578125" style="2702" customWidth="1"/>
    <col min="14340" max="14340" width="5.42578125" style="2702" customWidth="1"/>
    <col min="14341" max="14341" width="14.140625" style="2702" customWidth="1"/>
    <col min="14342" max="14355" width="6" style="2702" customWidth="1"/>
    <col min="14356" max="14593" width="9.140625" style="2702"/>
    <col min="14594" max="14594" width="3.7109375" style="2702" customWidth="1"/>
    <col min="14595" max="14595" width="14.42578125" style="2702" customWidth="1"/>
    <col min="14596" max="14596" width="5.42578125" style="2702" customWidth="1"/>
    <col min="14597" max="14597" width="14.140625" style="2702" customWidth="1"/>
    <col min="14598" max="14611" width="6" style="2702" customWidth="1"/>
    <col min="14612" max="14849" width="9.140625" style="2702"/>
    <col min="14850" max="14850" width="3.7109375" style="2702" customWidth="1"/>
    <col min="14851" max="14851" width="14.42578125" style="2702" customWidth="1"/>
    <col min="14852" max="14852" width="5.42578125" style="2702" customWidth="1"/>
    <col min="14853" max="14853" width="14.140625" style="2702" customWidth="1"/>
    <col min="14854" max="14867" width="6" style="2702" customWidth="1"/>
    <col min="14868" max="15105" width="9.140625" style="2702"/>
    <col min="15106" max="15106" width="3.7109375" style="2702" customWidth="1"/>
    <col min="15107" max="15107" width="14.42578125" style="2702" customWidth="1"/>
    <col min="15108" max="15108" width="5.42578125" style="2702" customWidth="1"/>
    <col min="15109" max="15109" width="14.140625" style="2702" customWidth="1"/>
    <col min="15110" max="15123" width="6" style="2702" customWidth="1"/>
    <col min="15124" max="15361" width="9.140625" style="2702"/>
    <col min="15362" max="15362" width="3.7109375" style="2702" customWidth="1"/>
    <col min="15363" max="15363" width="14.42578125" style="2702" customWidth="1"/>
    <col min="15364" max="15364" width="5.42578125" style="2702" customWidth="1"/>
    <col min="15365" max="15365" width="14.140625" style="2702" customWidth="1"/>
    <col min="15366" max="15379" width="6" style="2702" customWidth="1"/>
    <col min="15380" max="15617" width="9.140625" style="2702"/>
    <col min="15618" max="15618" width="3.7109375" style="2702" customWidth="1"/>
    <col min="15619" max="15619" width="14.42578125" style="2702" customWidth="1"/>
    <col min="15620" max="15620" width="5.42578125" style="2702" customWidth="1"/>
    <col min="15621" max="15621" width="14.140625" style="2702" customWidth="1"/>
    <col min="15622" max="15635" width="6" style="2702" customWidth="1"/>
    <col min="15636" max="15873" width="9.140625" style="2702"/>
    <col min="15874" max="15874" width="3.7109375" style="2702" customWidth="1"/>
    <col min="15875" max="15875" width="14.42578125" style="2702" customWidth="1"/>
    <col min="15876" max="15876" width="5.42578125" style="2702" customWidth="1"/>
    <col min="15877" max="15877" width="14.140625" style="2702" customWidth="1"/>
    <col min="15878" max="15891" width="6" style="2702" customWidth="1"/>
    <col min="15892" max="16129" width="9.140625" style="2702"/>
    <col min="16130" max="16130" width="3.7109375" style="2702" customWidth="1"/>
    <col min="16131" max="16131" width="14.42578125" style="2702" customWidth="1"/>
    <col min="16132" max="16132" width="5.42578125" style="2702" customWidth="1"/>
    <col min="16133" max="16133" width="14.140625" style="2702" customWidth="1"/>
    <col min="16134" max="16147" width="6" style="2702" customWidth="1"/>
    <col min="16148" max="16384" width="9.140625" style="2702"/>
  </cols>
  <sheetData>
    <row r="1" spans="1:22" ht="12.75" x14ac:dyDescent="0.2">
      <c r="A1" s="686"/>
      <c r="B1" s="2641"/>
      <c r="C1" s="2641"/>
      <c r="D1" s="2642"/>
      <c r="E1" s="2642"/>
      <c r="F1" s="2642"/>
      <c r="G1" s="2642"/>
      <c r="H1" s="2642"/>
      <c r="I1" s="2642"/>
      <c r="J1" s="2642"/>
      <c r="K1" s="2642"/>
      <c r="L1" s="2642"/>
      <c r="M1" s="2642"/>
      <c r="N1" s="2642"/>
      <c r="O1" s="2642"/>
      <c r="P1" s="2642"/>
      <c r="Q1" s="2642"/>
      <c r="R1" s="2642"/>
      <c r="S1" s="2642"/>
      <c r="T1" s="2642"/>
    </row>
    <row r="2" spans="1:22" ht="13.15" customHeight="1" x14ac:dyDescent="0.2">
      <c r="A2" s="686">
        <v>1</v>
      </c>
      <c r="B2" s="686" t="s">
        <v>100</v>
      </c>
      <c r="C2" s="686">
        <f>1+Missions!C2</f>
        <v>75</v>
      </c>
      <c r="D2" s="4193" t="s">
        <v>1523</v>
      </c>
      <c r="E2" s="4194"/>
      <c r="F2" s="4194"/>
      <c r="G2" s="4194"/>
      <c r="H2" s="4194"/>
      <c r="I2" s="4194"/>
      <c r="J2" s="4194"/>
      <c r="K2" s="4194"/>
      <c r="L2" s="4194"/>
      <c r="M2" s="4194"/>
      <c r="N2" s="4194"/>
      <c r="O2" s="4194"/>
      <c r="P2" s="4194"/>
      <c r="Q2" s="4194"/>
      <c r="R2" s="4194"/>
      <c r="S2" s="4194"/>
      <c r="T2" s="4194"/>
      <c r="U2" s="4194"/>
      <c r="V2" s="4195"/>
    </row>
    <row r="3" spans="1:22" ht="12" customHeight="1" x14ac:dyDescent="0.2">
      <c r="A3" s="686">
        <v>2</v>
      </c>
      <c r="B3" s="686" t="s">
        <v>102</v>
      </c>
      <c r="C3" s="686"/>
      <c r="D3" s="4193" t="s">
        <v>1524</v>
      </c>
      <c r="E3" s="4194"/>
      <c r="F3" s="4194"/>
      <c r="G3" s="4194"/>
      <c r="H3" s="4194"/>
      <c r="I3" s="4194"/>
      <c r="J3" s="4194"/>
      <c r="K3" s="4194"/>
      <c r="L3" s="4194"/>
      <c r="M3" s="4194"/>
      <c r="N3" s="4194"/>
      <c r="O3" s="4194"/>
      <c r="P3" s="4194"/>
      <c r="Q3" s="4194"/>
      <c r="R3" s="4194"/>
      <c r="S3" s="4194"/>
      <c r="T3" s="4194"/>
      <c r="U3" s="4194"/>
      <c r="V3" s="4195"/>
    </row>
    <row r="4" spans="1:22" ht="12.75" customHeight="1" x14ac:dyDescent="0.2">
      <c r="A4" s="686">
        <v>3</v>
      </c>
      <c r="B4" s="686" t="s">
        <v>4</v>
      </c>
      <c r="C4" s="686"/>
      <c r="D4" s="4193" t="s">
        <v>1525</v>
      </c>
      <c r="E4" s="4194"/>
      <c r="F4" s="4194"/>
      <c r="G4" s="4194"/>
      <c r="H4" s="4194"/>
      <c r="I4" s="4194"/>
      <c r="J4" s="4194"/>
      <c r="K4" s="4194"/>
      <c r="L4" s="4194"/>
      <c r="M4" s="4194"/>
      <c r="N4" s="4194"/>
      <c r="O4" s="4194"/>
      <c r="P4" s="4194"/>
      <c r="Q4" s="4194"/>
      <c r="R4" s="4194"/>
      <c r="S4" s="4194"/>
      <c r="T4" s="4194"/>
      <c r="U4" s="4194"/>
      <c r="V4" s="4195"/>
    </row>
    <row r="5" spans="1:22" ht="12.75" x14ac:dyDescent="0.2">
      <c r="C5" s="12"/>
      <c r="D5" s="3"/>
      <c r="E5" s="3"/>
      <c r="F5" s="3"/>
      <c r="G5" s="3"/>
      <c r="H5" s="3"/>
      <c r="I5" s="3"/>
      <c r="J5" s="3"/>
      <c r="K5" s="3"/>
      <c r="L5" s="3"/>
      <c r="M5" s="3"/>
      <c r="N5" s="3"/>
      <c r="O5" s="3"/>
      <c r="P5" s="3"/>
      <c r="Q5" s="3"/>
      <c r="R5" s="3"/>
      <c r="S5" s="2642"/>
      <c r="T5" s="2642"/>
    </row>
    <row r="6" spans="1:22" ht="12.75" x14ac:dyDescent="0.2">
      <c r="A6" s="3367"/>
      <c r="B6" s="12"/>
      <c r="C6" s="12"/>
      <c r="D6" s="3"/>
      <c r="E6" s="3"/>
      <c r="F6" s="3"/>
      <c r="G6" s="3"/>
      <c r="H6" s="3"/>
      <c r="I6" s="3"/>
      <c r="J6" s="3"/>
      <c r="K6" s="3"/>
      <c r="L6" s="3"/>
      <c r="M6" s="3"/>
      <c r="N6" s="3"/>
      <c r="O6" s="3"/>
      <c r="P6" s="3"/>
      <c r="Q6" s="3"/>
      <c r="R6" s="3"/>
      <c r="S6" s="2642"/>
      <c r="T6" s="2642"/>
    </row>
    <row r="7" spans="1:22" ht="12.75" x14ac:dyDescent="0.2">
      <c r="A7" s="686">
        <v>4</v>
      </c>
      <c r="B7" s="12" t="s">
        <v>5</v>
      </c>
      <c r="D7" s="756" t="s">
        <v>112</v>
      </c>
      <c r="E7" s="1381" t="s">
        <v>1526</v>
      </c>
      <c r="F7" s="1381"/>
      <c r="G7" s="1381"/>
      <c r="H7" s="1381"/>
      <c r="I7" s="1381"/>
      <c r="J7" s="1381"/>
      <c r="K7" s="1381"/>
      <c r="L7" s="18"/>
      <c r="M7" s="17"/>
      <c r="N7" s="17"/>
      <c r="O7" s="17"/>
      <c r="P7" s="17"/>
      <c r="Q7" s="17"/>
      <c r="R7" s="17"/>
    </row>
    <row r="8" spans="1:22" x14ac:dyDescent="0.2">
      <c r="D8" s="759" t="s">
        <v>1527</v>
      </c>
      <c r="E8" s="3446">
        <v>2000</v>
      </c>
      <c r="F8" s="3446">
        <v>2001</v>
      </c>
      <c r="G8" s="3446">
        <v>2002</v>
      </c>
      <c r="H8" s="3446">
        <v>2003</v>
      </c>
      <c r="I8" s="3446">
        <v>2004</v>
      </c>
      <c r="J8" s="3446">
        <v>2005</v>
      </c>
      <c r="K8" s="3446">
        <v>2006</v>
      </c>
      <c r="L8" s="3446">
        <v>2007</v>
      </c>
      <c r="M8" s="3447">
        <v>2008</v>
      </c>
      <c r="N8" s="3447">
        <v>2009</v>
      </c>
      <c r="O8" s="3447">
        <v>2010</v>
      </c>
      <c r="P8" s="3447">
        <v>2011</v>
      </c>
      <c r="Q8" s="3447">
        <v>2012</v>
      </c>
      <c r="R8" s="3447">
        <v>2013</v>
      </c>
      <c r="S8" s="3447">
        <v>2014</v>
      </c>
      <c r="T8" s="3447">
        <v>2015</v>
      </c>
      <c r="U8" s="1775">
        <v>2016</v>
      </c>
      <c r="V8" s="2052">
        <v>2017</v>
      </c>
    </row>
    <row r="9" spans="1:22" ht="11.25" customHeight="1" x14ac:dyDescent="0.2">
      <c r="C9" s="6"/>
      <c r="D9" s="3395" t="s">
        <v>1528</v>
      </c>
      <c r="E9" s="3372">
        <v>12</v>
      </c>
      <c r="F9" s="3372">
        <v>13</v>
      </c>
      <c r="G9" s="3372">
        <v>8</v>
      </c>
      <c r="H9" s="3372">
        <v>10</v>
      </c>
      <c r="I9" s="3372">
        <v>2</v>
      </c>
      <c r="J9" s="3372">
        <v>4</v>
      </c>
      <c r="K9" s="3372">
        <v>9</v>
      </c>
      <c r="L9" s="3372">
        <v>7</v>
      </c>
      <c r="M9" s="3372">
        <v>11</v>
      </c>
      <c r="N9" s="3372">
        <v>4</v>
      </c>
      <c r="O9" s="3372">
        <v>6</v>
      </c>
      <c r="P9" s="3372">
        <v>9</v>
      </c>
      <c r="Q9" s="3372">
        <v>5</v>
      </c>
      <c r="R9" s="3372">
        <v>8</v>
      </c>
      <c r="S9" s="3372">
        <v>6</v>
      </c>
      <c r="T9" s="3372">
        <v>5</v>
      </c>
      <c r="U9" s="722">
        <v>7</v>
      </c>
      <c r="V9" s="3724">
        <v>10</v>
      </c>
    </row>
    <row r="10" spans="1:22" ht="11.25" customHeight="1" x14ac:dyDescent="0.2">
      <c r="D10" s="3374" t="s">
        <v>1529</v>
      </c>
      <c r="E10" s="3448">
        <v>125</v>
      </c>
      <c r="F10" s="3448">
        <v>108</v>
      </c>
      <c r="G10" s="3448">
        <v>97</v>
      </c>
      <c r="H10" s="3448">
        <v>92</v>
      </c>
      <c r="I10" s="3448">
        <v>109</v>
      </c>
      <c r="J10" s="3448">
        <v>120</v>
      </c>
      <c r="K10" s="3448">
        <v>102</v>
      </c>
      <c r="L10" s="3448">
        <v>85</v>
      </c>
      <c r="M10" s="3448">
        <v>69</v>
      </c>
      <c r="N10" s="3448">
        <v>67</v>
      </c>
      <c r="O10" s="3448">
        <v>80</v>
      </c>
      <c r="P10" s="3448">
        <v>84</v>
      </c>
      <c r="Q10" s="3448">
        <v>61</v>
      </c>
      <c r="R10" s="3448">
        <v>81</v>
      </c>
      <c r="S10" s="3448">
        <v>45</v>
      </c>
      <c r="T10" s="3448">
        <v>61</v>
      </c>
      <c r="U10" s="767">
        <v>71</v>
      </c>
      <c r="V10" s="3725">
        <v>59</v>
      </c>
    </row>
    <row r="11" spans="1:22" x14ac:dyDescent="0.2">
      <c r="A11" s="3366"/>
      <c r="D11" s="3376"/>
      <c r="E11" s="1459"/>
      <c r="F11" s="1459"/>
      <c r="G11" s="1459"/>
      <c r="H11" s="1459"/>
      <c r="I11" s="1459"/>
      <c r="J11" s="1459"/>
      <c r="K11" s="1355"/>
      <c r="L11" s="1355"/>
      <c r="M11" s="1355"/>
      <c r="N11" s="1355"/>
      <c r="O11" s="17"/>
      <c r="P11" s="17"/>
      <c r="Q11" s="17"/>
      <c r="R11" s="17"/>
    </row>
    <row r="12" spans="1:22" ht="14.25" customHeight="1" x14ac:dyDescent="0.2">
      <c r="A12" s="686">
        <v>5</v>
      </c>
      <c r="B12" s="686" t="s">
        <v>90</v>
      </c>
      <c r="D12" s="11"/>
      <c r="E12" s="11"/>
      <c r="F12" s="11"/>
      <c r="G12" s="11"/>
      <c r="H12" s="11"/>
      <c r="I12" s="11"/>
      <c r="J12" s="17"/>
      <c r="K12" s="17"/>
      <c r="L12" s="17"/>
      <c r="M12" s="17"/>
      <c r="N12" s="17"/>
      <c r="O12" s="17"/>
      <c r="P12" s="17"/>
      <c r="Q12" s="17"/>
      <c r="R12" s="17"/>
    </row>
    <row r="13" spans="1:22" ht="12.75" x14ac:dyDescent="0.2">
      <c r="A13" s="3366"/>
      <c r="C13" s="686"/>
      <c r="D13" s="11"/>
      <c r="E13" s="11"/>
      <c r="F13" s="11"/>
      <c r="G13" s="11"/>
      <c r="H13" s="11"/>
      <c r="I13" s="11"/>
      <c r="J13" s="11"/>
      <c r="K13" s="11"/>
      <c r="L13" s="11"/>
      <c r="M13" s="11"/>
      <c r="N13" s="11"/>
      <c r="O13" s="11"/>
      <c r="P13" s="11"/>
      <c r="Q13" s="11"/>
      <c r="R13" s="11"/>
    </row>
    <row r="14" spans="1:22" x14ac:dyDescent="0.2">
      <c r="D14" s="11"/>
      <c r="E14" s="11"/>
      <c r="F14" s="11"/>
      <c r="G14" s="11"/>
      <c r="H14" s="11"/>
      <c r="I14" s="11"/>
      <c r="J14" s="11"/>
      <c r="K14" s="11"/>
      <c r="L14" s="11"/>
      <c r="M14" s="11"/>
      <c r="N14" s="11"/>
      <c r="O14" s="11"/>
      <c r="P14" s="11"/>
      <c r="Q14" s="11"/>
      <c r="R14" s="11"/>
    </row>
    <row r="15" spans="1:22" x14ac:dyDescent="0.2">
      <c r="D15" s="11"/>
      <c r="E15" s="11"/>
      <c r="F15" s="11"/>
      <c r="G15" s="11"/>
      <c r="H15" s="11"/>
      <c r="I15" s="11"/>
      <c r="J15" s="11"/>
      <c r="K15" s="11"/>
      <c r="L15" s="11"/>
      <c r="M15" s="11"/>
      <c r="N15" s="11"/>
      <c r="O15" s="11"/>
      <c r="P15" s="11"/>
      <c r="Q15" s="11"/>
      <c r="R15" s="11"/>
    </row>
    <row r="16" spans="1:22" x14ac:dyDescent="0.2">
      <c r="A16" s="2702"/>
      <c r="B16" s="2702"/>
      <c r="C16" s="2702"/>
      <c r="D16" s="11"/>
      <c r="E16" s="11"/>
      <c r="F16" s="11"/>
      <c r="G16" s="11"/>
      <c r="H16" s="11"/>
      <c r="I16" s="11"/>
      <c r="J16" s="11"/>
      <c r="K16" s="11"/>
      <c r="L16" s="11"/>
      <c r="M16" s="3380"/>
      <c r="N16" s="3380"/>
      <c r="O16" s="11"/>
      <c r="P16" s="11"/>
      <c r="Q16" s="11"/>
      <c r="R16" s="11"/>
    </row>
    <row r="17" spans="1:18" x14ac:dyDescent="0.2">
      <c r="A17" s="2702"/>
      <c r="B17" s="2702"/>
      <c r="C17" s="2702"/>
      <c r="D17" s="11"/>
      <c r="E17" s="11"/>
      <c r="F17" s="11"/>
      <c r="G17" s="11"/>
      <c r="H17" s="11"/>
      <c r="I17" s="11"/>
      <c r="J17" s="11"/>
      <c r="K17" s="11"/>
      <c r="L17" s="11"/>
      <c r="M17" s="3380"/>
      <c r="N17" s="3380"/>
      <c r="O17" s="11"/>
      <c r="P17" s="11"/>
      <c r="Q17" s="11"/>
      <c r="R17" s="11"/>
    </row>
    <row r="18" spans="1:18" x14ac:dyDescent="0.2">
      <c r="A18" s="2702"/>
      <c r="B18" s="2702"/>
      <c r="C18" s="2702"/>
      <c r="D18" s="11"/>
      <c r="E18" s="11"/>
      <c r="F18" s="11"/>
      <c r="G18" s="11"/>
      <c r="H18" s="11"/>
      <c r="I18" s="11"/>
      <c r="J18" s="11"/>
      <c r="K18" s="11"/>
      <c r="L18" s="11"/>
      <c r="M18" s="3380"/>
      <c r="N18" s="3380"/>
      <c r="O18" s="11"/>
      <c r="P18" s="11"/>
      <c r="Q18" s="11"/>
      <c r="R18" s="11"/>
    </row>
    <row r="19" spans="1:18" x14ac:dyDescent="0.2">
      <c r="A19" s="2702"/>
      <c r="B19" s="2702"/>
      <c r="C19" s="2702"/>
      <c r="D19" s="11"/>
      <c r="E19" s="11"/>
      <c r="F19" s="11"/>
      <c r="G19" s="11"/>
      <c r="H19" s="11"/>
      <c r="I19" s="11"/>
      <c r="J19" s="11"/>
      <c r="K19" s="11"/>
      <c r="L19" s="11"/>
      <c r="M19" s="3380"/>
      <c r="N19" s="3380"/>
      <c r="O19" s="11"/>
      <c r="P19" s="11"/>
      <c r="Q19" s="11"/>
      <c r="R19" s="11"/>
    </row>
    <row r="20" spans="1:18" x14ac:dyDescent="0.2">
      <c r="A20" s="2702"/>
      <c r="B20" s="2702"/>
      <c r="C20" s="2702"/>
      <c r="D20" s="11"/>
      <c r="E20" s="11"/>
      <c r="F20" s="11"/>
      <c r="G20" s="11"/>
      <c r="H20" s="11"/>
      <c r="I20" s="11"/>
      <c r="J20" s="11"/>
      <c r="K20" s="11"/>
      <c r="L20" s="11"/>
      <c r="M20" s="3380"/>
      <c r="N20" s="3380"/>
      <c r="O20" s="11"/>
      <c r="P20" s="11"/>
      <c r="Q20" s="11"/>
      <c r="R20" s="11"/>
    </row>
    <row r="21" spans="1:18" x14ac:dyDescent="0.2">
      <c r="A21" s="2702"/>
      <c r="B21" s="2702"/>
      <c r="C21" s="2702"/>
      <c r="D21" s="11"/>
      <c r="E21" s="11"/>
      <c r="F21" s="11"/>
      <c r="G21" s="11"/>
      <c r="H21" s="11"/>
      <c r="I21" s="11"/>
      <c r="J21" s="11"/>
      <c r="K21" s="11"/>
      <c r="L21" s="11"/>
      <c r="M21" s="3380"/>
      <c r="N21" s="3380"/>
      <c r="O21" s="11"/>
      <c r="P21" s="11"/>
      <c r="Q21" s="11"/>
      <c r="R21" s="11"/>
    </row>
    <row r="22" spans="1:18" x14ac:dyDescent="0.2">
      <c r="A22" s="2702"/>
      <c r="B22" s="2702"/>
      <c r="C22" s="2702"/>
      <c r="D22" s="11"/>
      <c r="E22" s="11"/>
      <c r="F22" s="11"/>
      <c r="G22" s="11"/>
      <c r="H22" s="11"/>
      <c r="I22" s="11"/>
      <c r="J22" s="11"/>
      <c r="K22" s="11"/>
      <c r="L22" s="11"/>
      <c r="M22" s="3380"/>
      <c r="N22" s="3380"/>
      <c r="O22" s="11"/>
      <c r="P22" s="11"/>
      <c r="Q22" s="11"/>
      <c r="R22" s="11"/>
    </row>
    <row r="23" spans="1:18" x14ac:dyDescent="0.2">
      <c r="A23" s="2702"/>
      <c r="B23" s="2702"/>
      <c r="C23" s="2702"/>
      <c r="D23" s="11"/>
      <c r="E23" s="11"/>
      <c r="F23" s="11"/>
      <c r="G23" s="11"/>
      <c r="H23" s="11"/>
      <c r="I23" s="11"/>
      <c r="J23" s="11"/>
      <c r="K23" s="11"/>
      <c r="L23" s="11"/>
      <c r="M23" s="3380"/>
      <c r="N23" s="3380"/>
      <c r="O23" s="11"/>
      <c r="P23" s="11"/>
      <c r="Q23" s="11"/>
      <c r="R23" s="11"/>
    </row>
    <row r="24" spans="1:18" x14ac:dyDescent="0.2">
      <c r="A24" s="2702"/>
      <c r="B24" s="2702"/>
      <c r="C24" s="2702"/>
      <c r="D24" s="11"/>
      <c r="E24" s="11"/>
      <c r="F24" s="11"/>
      <c r="G24" s="11"/>
      <c r="H24" s="11"/>
      <c r="I24" s="11"/>
      <c r="J24" s="11"/>
      <c r="K24" s="11"/>
      <c r="L24" s="11"/>
      <c r="M24" s="11"/>
      <c r="N24" s="11"/>
      <c r="O24" s="11"/>
      <c r="P24" s="11"/>
      <c r="Q24" s="11"/>
      <c r="R24" s="11"/>
    </row>
    <row r="25" spans="1:18" x14ac:dyDescent="0.2">
      <c r="A25" s="2702"/>
      <c r="B25" s="2702"/>
      <c r="C25" s="2702"/>
      <c r="D25" s="11"/>
      <c r="E25" s="11"/>
      <c r="F25" s="11"/>
      <c r="G25" s="11"/>
      <c r="H25" s="11"/>
      <c r="I25" s="11"/>
      <c r="J25" s="11"/>
      <c r="K25" s="11"/>
      <c r="L25" s="11"/>
      <c r="M25" s="11"/>
      <c r="N25" s="11"/>
      <c r="O25" s="11"/>
      <c r="P25" s="11"/>
      <c r="Q25" s="11"/>
      <c r="R25" s="11"/>
    </row>
    <row r="26" spans="1:18" x14ac:dyDescent="0.2">
      <c r="A26" s="2702"/>
      <c r="B26" s="2702"/>
      <c r="C26" s="2702"/>
      <c r="D26" s="11"/>
      <c r="E26" s="11"/>
      <c r="F26" s="11"/>
      <c r="G26" s="11"/>
      <c r="H26" s="11"/>
      <c r="I26" s="11"/>
      <c r="J26" s="11"/>
      <c r="K26" s="11"/>
      <c r="L26" s="11"/>
      <c r="M26" s="11"/>
      <c r="N26" s="11"/>
      <c r="O26" s="11"/>
      <c r="P26" s="11"/>
      <c r="Q26" s="11"/>
      <c r="R26" s="11"/>
    </row>
    <row r="27" spans="1:18" x14ac:dyDescent="0.2">
      <c r="A27" s="2702"/>
      <c r="B27" s="2702"/>
      <c r="C27" s="2702"/>
      <c r="D27" s="11"/>
      <c r="E27" s="11"/>
      <c r="F27" s="11"/>
      <c r="G27" s="11"/>
      <c r="H27" s="11"/>
      <c r="I27" s="11"/>
      <c r="J27" s="11"/>
      <c r="K27" s="11"/>
      <c r="L27" s="11"/>
      <c r="M27" s="11"/>
      <c r="N27" s="11"/>
      <c r="O27" s="11"/>
      <c r="P27" s="11"/>
      <c r="Q27" s="11"/>
      <c r="R27" s="11"/>
    </row>
    <row r="28" spans="1:18" x14ac:dyDescent="0.2">
      <c r="A28" s="2702"/>
      <c r="B28" s="2702"/>
      <c r="C28" s="2702"/>
      <c r="D28" s="11"/>
      <c r="E28" s="11"/>
      <c r="F28" s="11"/>
      <c r="G28" s="11"/>
      <c r="H28" s="11"/>
      <c r="I28" s="11"/>
      <c r="J28" s="11"/>
      <c r="K28" s="11"/>
      <c r="L28" s="11"/>
      <c r="M28" s="11"/>
      <c r="N28" s="11"/>
      <c r="O28" s="11"/>
      <c r="P28" s="11"/>
      <c r="Q28" s="11"/>
      <c r="R28" s="11"/>
    </row>
    <row r="29" spans="1:18" x14ac:dyDescent="0.2">
      <c r="A29" s="2702"/>
      <c r="B29" s="2702"/>
      <c r="C29" s="2702"/>
      <c r="D29" s="11"/>
      <c r="E29" s="11"/>
      <c r="F29" s="11"/>
      <c r="G29" s="11"/>
      <c r="H29" s="11"/>
      <c r="I29" s="11"/>
      <c r="J29" s="11"/>
      <c r="K29" s="11"/>
      <c r="L29" s="11"/>
      <c r="M29" s="11"/>
      <c r="N29" s="11"/>
      <c r="O29" s="11"/>
      <c r="P29" s="11"/>
      <c r="Q29" s="11"/>
      <c r="R29" s="11"/>
    </row>
    <row r="30" spans="1:18" x14ac:dyDescent="0.2">
      <c r="A30" s="2702"/>
      <c r="B30" s="2702"/>
      <c r="C30" s="2702"/>
      <c r="D30" s="11"/>
      <c r="E30" s="11"/>
      <c r="F30" s="11"/>
      <c r="G30" s="11"/>
      <c r="H30" s="11"/>
      <c r="I30" s="11"/>
      <c r="J30" s="11"/>
      <c r="K30" s="11"/>
      <c r="L30" s="11"/>
      <c r="M30" s="11"/>
      <c r="N30" s="11"/>
      <c r="O30" s="11"/>
      <c r="P30" s="11"/>
      <c r="Q30" s="11"/>
      <c r="R30" s="11"/>
    </row>
    <row r="31" spans="1:18" x14ac:dyDescent="0.2">
      <c r="A31" s="2702"/>
      <c r="B31" s="2702"/>
      <c r="C31" s="2702"/>
      <c r="D31" s="11"/>
      <c r="E31" s="11"/>
      <c r="F31" s="11"/>
      <c r="G31" s="11"/>
      <c r="H31" s="11"/>
      <c r="I31" s="11"/>
      <c r="J31" s="11"/>
      <c r="K31" s="11"/>
      <c r="L31" s="11"/>
      <c r="M31" s="11"/>
      <c r="N31" s="11"/>
      <c r="O31" s="11"/>
      <c r="P31" s="11"/>
      <c r="Q31" s="11"/>
      <c r="R31" s="11"/>
    </row>
    <row r="32" spans="1:18" x14ac:dyDescent="0.2">
      <c r="D32" s="11"/>
      <c r="E32" s="11"/>
      <c r="F32" s="11"/>
      <c r="G32" s="11"/>
      <c r="H32" s="11"/>
      <c r="I32" s="11"/>
      <c r="J32" s="11"/>
      <c r="K32" s="11"/>
      <c r="L32" s="11"/>
      <c r="M32" s="11"/>
      <c r="N32" s="11"/>
      <c r="O32" s="11"/>
      <c r="P32" s="11"/>
      <c r="Q32" s="11"/>
      <c r="R32" s="11"/>
    </row>
    <row r="33" spans="1:22" s="2642" customFormat="1" ht="13.15" customHeight="1" x14ac:dyDescent="0.2">
      <c r="A33" s="686">
        <v>6</v>
      </c>
      <c r="B33" s="686" t="s">
        <v>29</v>
      </c>
      <c r="C33" s="686"/>
      <c r="D33" s="4193" t="s">
        <v>1530</v>
      </c>
      <c r="E33" s="4194"/>
      <c r="F33" s="4194"/>
      <c r="G33" s="4194"/>
      <c r="H33" s="4194"/>
      <c r="I33" s="4194"/>
      <c r="J33" s="4194"/>
      <c r="K33" s="4194"/>
      <c r="L33" s="4194"/>
      <c r="M33" s="4194"/>
      <c r="N33" s="4194"/>
      <c r="O33" s="4194"/>
      <c r="P33" s="4194"/>
      <c r="Q33" s="4194"/>
      <c r="R33" s="4194"/>
      <c r="S33" s="4194"/>
      <c r="T33" s="4194"/>
      <c r="U33" s="4194"/>
      <c r="V33" s="4195"/>
    </row>
    <row r="34" spans="1:22" s="2642" customFormat="1" ht="26.25" customHeight="1" x14ac:dyDescent="0.2">
      <c r="A34" s="752">
        <v>7</v>
      </c>
      <c r="B34" s="752" t="s">
        <v>32</v>
      </c>
      <c r="C34" s="752"/>
      <c r="D34" s="4193" t="s">
        <v>1531</v>
      </c>
      <c r="E34" s="4194"/>
      <c r="F34" s="4194"/>
      <c r="G34" s="4194"/>
      <c r="H34" s="4194"/>
      <c r="I34" s="4194"/>
      <c r="J34" s="4194"/>
      <c r="K34" s="4194"/>
      <c r="L34" s="4194"/>
      <c r="M34" s="4194"/>
      <c r="N34" s="4194"/>
      <c r="O34" s="4194"/>
      <c r="P34" s="4194"/>
      <c r="Q34" s="4194"/>
      <c r="R34" s="4194"/>
      <c r="S34" s="4194"/>
      <c r="T34" s="4194"/>
      <c r="U34" s="4194"/>
      <c r="V34" s="4195"/>
    </row>
    <row r="35" spans="1:22" s="2642" customFormat="1" ht="44.25" customHeight="1" x14ac:dyDescent="0.2">
      <c r="A35" s="752">
        <v>8</v>
      </c>
      <c r="B35" s="686" t="s">
        <v>95</v>
      </c>
      <c r="C35" s="686"/>
      <c r="D35" s="4193" t="s">
        <v>1532</v>
      </c>
      <c r="E35" s="4194"/>
      <c r="F35" s="4194"/>
      <c r="G35" s="4194"/>
      <c r="H35" s="4194"/>
      <c r="I35" s="4194"/>
      <c r="J35" s="4194"/>
      <c r="K35" s="4194"/>
      <c r="L35" s="4194"/>
      <c r="M35" s="4194"/>
      <c r="N35" s="4194"/>
      <c r="O35" s="4194"/>
      <c r="P35" s="4194"/>
      <c r="Q35" s="4194"/>
      <c r="R35" s="4194"/>
      <c r="S35" s="4194"/>
      <c r="T35" s="4194"/>
      <c r="U35" s="4194"/>
      <c r="V35" s="4195"/>
    </row>
    <row r="36" spans="1:22" s="2642" customFormat="1" ht="12.75" customHeight="1" x14ac:dyDescent="0.2">
      <c r="A36" s="752">
        <v>9</v>
      </c>
      <c r="B36" s="686" t="s">
        <v>31</v>
      </c>
      <c r="C36" s="686"/>
      <c r="D36" s="4193" t="s">
        <v>1533</v>
      </c>
      <c r="E36" s="4194"/>
      <c r="F36" s="4194"/>
      <c r="G36" s="4194"/>
      <c r="H36" s="4194"/>
      <c r="I36" s="4194"/>
      <c r="J36" s="4194"/>
      <c r="K36" s="4194"/>
      <c r="L36" s="4194"/>
      <c r="M36" s="4194"/>
      <c r="N36" s="4194"/>
      <c r="O36" s="4194"/>
      <c r="P36" s="4194"/>
      <c r="Q36" s="4194"/>
      <c r="R36" s="4194"/>
      <c r="S36" s="4194"/>
      <c r="T36" s="4194"/>
      <c r="U36" s="4194"/>
      <c r="V36" s="4195"/>
    </row>
    <row r="37" spans="1:22" x14ac:dyDescent="0.2">
      <c r="D37" s="11"/>
      <c r="E37" s="11"/>
      <c r="F37" s="11"/>
      <c r="G37" s="11"/>
      <c r="H37" s="11"/>
      <c r="I37" s="11"/>
      <c r="J37" s="11"/>
      <c r="K37" s="11"/>
      <c r="L37" s="11"/>
      <c r="M37" s="11"/>
      <c r="N37" s="11"/>
      <c r="O37" s="11"/>
      <c r="P37" s="11"/>
      <c r="Q37" s="11"/>
      <c r="R37" s="11"/>
    </row>
    <row r="38" spans="1:22" x14ac:dyDescent="0.2">
      <c r="D38" s="11"/>
      <c r="E38" s="11"/>
      <c r="F38" s="11"/>
      <c r="G38" s="11"/>
      <c r="H38" s="11"/>
      <c r="I38" s="11"/>
      <c r="J38" s="11"/>
      <c r="K38" s="11"/>
      <c r="L38" s="11"/>
      <c r="M38" s="11"/>
      <c r="N38" s="11"/>
      <c r="O38" s="11"/>
      <c r="P38" s="11"/>
      <c r="Q38" s="11"/>
      <c r="R38" s="11"/>
    </row>
    <row r="39" spans="1:22" x14ac:dyDescent="0.2">
      <c r="D39" s="11"/>
      <c r="E39" s="11"/>
      <c r="F39" s="11"/>
      <c r="G39" s="11"/>
      <c r="H39" s="11"/>
      <c r="I39" s="11"/>
      <c r="J39" s="11"/>
      <c r="K39" s="11"/>
      <c r="L39" s="11"/>
      <c r="M39" s="11"/>
      <c r="N39" s="11"/>
      <c r="O39" s="11"/>
      <c r="P39" s="11"/>
      <c r="Q39" s="11"/>
      <c r="R39" s="11"/>
    </row>
    <row r="40" spans="1:22" x14ac:dyDescent="0.2">
      <c r="D40" s="11"/>
      <c r="E40" s="11"/>
      <c r="F40" s="11"/>
      <c r="G40" s="11"/>
      <c r="H40" s="11"/>
      <c r="I40" s="11"/>
      <c r="J40" s="11"/>
      <c r="K40" s="11"/>
      <c r="L40" s="11"/>
      <c r="M40" s="11"/>
      <c r="N40" s="11"/>
      <c r="O40" s="11"/>
      <c r="P40" s="11"/>
      <c r="Q40" s="11"/>
      <c r="R40" s="11"/>
    </row>
  </sheetData>
  <mergeCells count="7">
    <mergeCell ref="D35:V35"/>
    <mergeCell ref="D36:V36"/>
    <mergeCell ref="D2:V2"/>
    <mergeCell ref="D3:V3"/>
    <mergeCell ref="D4:V4"/>
    <mergeCell ref="D33:V33"/>
    <mergeCell ref="D34:V34"/>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pageSetUpPr fitToPage="1"/>
  </sheetPr>
  <dimension ref="A1:AA49"/>
  <sheetViews>
    <sheetView showGridLines="0" view="pageBreakPreview" zoomScaleNormal="100" zoomScaleSheetLayoutView="100" workbookViewId="0">
      <selection activeCell="J60" sqref="J60"/>
    </sheetView>
  </sheetViews>
  <sheetFormatPr defaultColWidth="9.140625" defaultRowHeight="12" x14ac:dyDescent="0.2"/>
  <cols>
    <col min="1" max="1" width="3.7109375" style="3024" customWidth="1"/>
    <col min="2" max="2" width="12.7109375" style="3025" customWidth="1"/>
    <col min="3" max="3" width="3.7109375" style="3025" customWidth="1"/>
    <col min="4" max="4" width="20.7109375" style="733" customWidth="1"/>
    <col min="5" max="5" width="4.140625" style="3482" customWidth="1"/>
    <col min="6" max="13" width="10" style="733" bestFit="1" customWidth="1"/>
    <col min="14" max="19" width="9.7109375" style="733" bestFit="1" customWidth="1"/>
    <col min="20" max="20" width="10.7109375" style="733" bestFit="1" customWidth="1"/>
    <col min="21" max="21" width="10.28515625" style="733" customWidth="1"/>
    <col min="22" max="22" width="10.7109375" style="733" bestFit="1" customWidth="1"/>
    <col min="23" max="23" width="11.5703125" style="733" bestFit="1" customWidth="1"/>
    <col min="24" max="25" width="9.5703125" style="733" bestFit="1" customWidth="1"/>
    <col min="26" max="26" width="11" style="733" bestFit="1" customWidth="1"/>
    <col min="27" max="27" width="12.5703125" style="733" bestFit="1" customWidth="1"/>
    <col min="28" max="258" width="9.140625" style="733"/>
    <col min="259" max="259" width="3.7109375" style="733" customWidth="1"/>
    <col min="260" max="260" width="12.7109375" style="733" customWidth="1"/>
    <col min="261" max="261" width="3.7109375" style="733" customWidth="1"/>
    <col min="262" max="262" width="20.7109375" style="733" customWidth="1"/>
    <col min="263" max="263" width="4.140625" style="733" customWidth="1"/>
    <col min="264" max="277" width="8.7109375" style="733" customWidth="1"/>
    <col min="278" max="278" width="10.140625" style="733" customWidth="1"/>
    <col min="279" max="514" width="9.140625" style="733"/>
    <col min="515" max="515" width="3.7109375" style="733" customWidth="1"/>
    <col min="516" max="516" width="12.7109375" style="733" customWidth="1"/>
    <col min="517" max="517" width="3.7109375" style="733" customWidth="1"/>
    <col min="518" max="518" width="20.7109375" style="733" customWidth="1"/>
    <col min="519" max="519" width="4.140625" style="733" customWidth="1"/>
    <col min="520" max="533" width="8.7109375" style="733" customWidth="1"/>
    <col min="534" max="534" width="10.140625" style="733" customWidth="1"/>
    <col min="535" max="770" width="9.140625" style="733"/>
    <col min="771" max="771" width="3.7109375" style="733" customWidth="1"/>
    <col min="772" max="772" width="12.7109375" style="733" customWidth="1"/>
    <col min="773" max="773" width="3.7109375" style="733" customWidth="1"/>
    <col min="774" max="774" width="20.7109375" style="733" customWidth="1"/>
    <col min="775" max="775" width="4.140625" style="733" customWidth="1"/>
    <col min="776" max="789" width="8.7109375" style="733" customWidth="1"/>
    <col min="790" max="790" width="10.140625" style="733" customWidth="1"/>
    <col min="791" max="1026" width="9.140625" style="733"/>
    <col min="1027" max="1027" width="3.7109375" style="733" customWidth="1"/>
    <col min="1028" max="1028" width="12.7109375" style="733" customWidth="1"/>
    <col min="1029" max="1029" width="3.7109375" style="733" customWidth="1"/>
    <col min="1030" max="1030" width="20.7109375" style="733" customWidth="1"/>
    <col min="1031" max="1031" width="4.140625" style="733" customWidth="1"/>
    <col min="1032" max="1045" width="8.7109375" style="733" customWidth="1"/>
    <col min="1046" max="1046" width="10.140625" style="733" customWidth="1"/>
    <col min="1047" max="1282" width="9.140625" style="733"/>
    <col min="1283" max="1283" width="3.7109375" style="733" customWidth="1"/>
    <col min="1284" max="1284" width="12.7109375" style="733" customWidth="1"/>
    <col min="1285" max="1285" width="3.7109375" style="733" customWidth="1"/>
    <col min="1286" max="1286" width="20.7109375" style="733" customWidth="1"/>
    <col min="1287" max="1287" width="4.140625" style="733" customWidth="1"/>
    <col min="1288" max="1301" width="8.7109375" style="733" customWidth="1"/>
    <col min="1302" max="1302" width="10.140625" style="733" customWidth="1"/>
    <col min="1303" max="1538" width="9.140625" style="733"/>
    <col min="1539" max="1539" width="3.7109375" style="733" customWidth="1"/>
    <col min="1540" max="1540" width="12.7109375" style="733" customWidth="1"/>
    <col min="1541" max="1541" width="3.7109375" style="733" customWidth="1"/>
    <col min="1542" max="1542" width="20.7109375" style="733" customWidth="1"/>
    <col min="1543" max="1543" width="4.140625" style="733" customWidth="1"/>
    <col min="1544" max="1557" width="8.7109375" style="733" customWidth="1"/>
    <col min="1558" max="1558" width="10.140625" style="733" customWidth="1"/>
    <col min="1559" max="1794" width="9.140625" style="733"/>
    <col min="1795" max="1795" width="3.7109375" style="733" customWidth="1"/>
    <col min="1796" max="1796" width="12.7109375" style="733" customWidth="1"/>
    <col min="1797" max="1797" width="3.7109375" style="733" customWidth="1"/>
    <col min="1798" max="1798" width="20.7109375" style="733" customWidth="1"/>
    <col min="1799" max="1799" width="4.140625" style="733" customWidth="1"/>
    <col min="1800" max="1813" width="8.7109375" style="733" customWidth="1"/>
    <col min="1814" max="1814" width="10.140625" style="733" customWidth="1"/>
    <col min="1815" max="2050" width="9.140625" style="733"/>
    <col min="2051" max="2051" width="3.7109375" style="733" customWidth="1"/>
    <col min="2052" max="2052" width="12.7109375" style="733" customWidth="1"/>
    <col min="2053" max="2053" width="3.7109375" style="733" customWidth="1"/>
    <col min="2054" max="2054" width="20.7109375" style="733" customWidth="1"/>
    <col min="2055" max="2055" width="4.140625" style="733" customWidth="1"/>
    <col min="2056" max="2069" width="8.7109375" style="733" customWidth="1"/>
    <col min="2070" max="2070" width="10.140625" style="733" customWidth="1"/>
    <col min="2071" max="2306" width="9.140625" style="733"/>
    <col min="2307" max="2307" width="3.7109375" style="733" customWidth="1"/>
    <col min="2308" max="2308" width="12.7109375" style="733" customWidth="1"/>
    <col min="2309" max="2309" width="3.7109375" style="733" customWidth="1"/>
    <col min="2310" max="2310" width="20.7109375" style="733" customWidth="1"/>
    <col min="2311" max="2311" width="4.140625" style="733" customWidth="1"/>
    <col min="2312" max="2325" width="8.7109375" style="733" customWidth="1"/>
    <col min="2326" max="2326" width="10.140625" style="733" customWidth="1"/>
    <col min="2327" max="2562" width="9.140625" style="733"/>
    <col min="2563" max="2563" width="3.7109375" style="733" customWidth="1"/>
    <col min="2564" max="2564" width="12.7109375" style="733" customWidth="1"/>
    <col min="2565" max="2565" width="3.7109375" style="733" customWidth="1"/>
    <col min="2566" max="2566" width="20.7109375" style="733" customWidth="1"/>
    <col min="2567" max="2567" width="4.140625" style="733" customWidth="1"/>
    <col min="2568" max="2581" width="8.7109375" style="733" customWidth="1"/>
    <col min="2582" max="2582" width="10.140625" style="733" customWidth="1"/>
    <col min="2583" max="2818" width="9.140625" style="733"/>
    <col min="2819" max="2819" width="3.7109375" style="733" customWidth="1"/>
    <col min="2820" max="2820" width="12.7109375" style="733" customWidth="1"/>
    <col min="2821" max="2821" width="3.7109375" style="733" customWidth="1"/>
    <col min="2822" max="2822" width="20.7109375" style="733" customWidth="1"/>
    <col min="2823" max="2823" width="4.140625" style="733" customWidth="1"/>
    <col min="2824" max="2837" width="8.7109375" style="733" customWidth="1"/>
    <col min="2838" max="2838" width="10.140625" style="733" customWidth="1"/>
    <col min="2839" max="3074" width="9.140625" style="733"/>
    <col min="3075" max="3075" width="3.7109375" style="733" customWidth="1"/>
    <col min="3076" max="3076" width="12.7109375" style="733" customWidth="1"/>
    <col min="3077" max="3077" width="3.7109375" style="733" customWidth="1"/>
    <col min="3078" max="3078" width="20.7109375" style="733" customWidth="1"/>
    <col min="3079" max="3079" width="4.140625" style="733" customWidth="1"/>
    <col min="3080" max="3093" width="8.7109375" style="733" customWidth="1"/>
    <col min="3094" max="3094" width="10.140625" style="733" customWidth="1"/>
    <col min="3095" max="3330" width="9.140625" style="733"/>
    <col min="3331" max="3331" width="3.7109375" style="733" customWidth="1"/>
    <col min="3332" max="3332" width="12.7109375" style="733" customWidth="1"/>
    <col min="3333" max="3333" width="3.7109375" style="733" customWidth="1"/>
    <col min="3334" max="3334" width="20.7109375" style="733" customWidth="1"/>
    <col min="3335" max="3335" width="4.140625" style="733" customWidth="1"/>
    <col min="3336" max="3349" width="8.7109375" style="733" customWidth="1"/>
    <col min="3350" max="3350" width="10.140625" style="733" customWidth="1"/>
    <col min="3351" max="3586" width="9.140625" style="733"/>
    <col min="3587" max="3587" width="3.7109375" style="733" customWidth="1"/>
    <col min="3588" max="3588" width="12.7109375" style="733" customWidth="1"/>
    <col min="3589" max="3589" width="3.7109375" style="733" customWidth="1"/>
    <col min="3590" max="3590" width="20.7109375" style="733" customWidth="1"/>
    <col min="3591" max="3591" width="4.140625" style="733" customWidth="1"/>
    <col min="3592" max="3605" width="8.7109375" style="733" customWidth="1"/>
    <col min="3606" max="3606" width="10.140625" style="733" customWidth="1"/>
    <col min="3607" max="3842" width="9.140625" style="733"/>
    <col min="3843" max="3843" width="3.7109375" style="733" customWidth="1"/>
    <col min="3844" max="3844" width="12.7109375" style="733" customWidth="1"/>
    <col min="3845" max="3845" width="3.7109375" style="733" customWidth="1"/>
    <col min="3846" max="3846" width="20.7109375" style="733" customWidth="1"/>
    <col min="3847" max="3847" width="4.140625" style="733" customWidth="1"/>
    <col min="3848" max="3861" width="8.7109375" style="733" customWidth="1"/>
    <col min="3862" max="3862" width="10.140625" style="733" customWidth="1"/>
    <col min="3863" max="4098" width="9.140625" style="733"/>
    <col min="4099" max="4099" width="3.7109375" style="733" customWidth="1"/>
    <col min="4100" max="4100" width="12.7109375" style="733" customWidth="1"/>
    <col min="4101" max="4101" width="3.7109375" style="733" customWidth="1"/>
    <col min="4102" max="4102" width="20.7109375" style="733" customWidth="1"/>
    <col min="4103" max="4103" width="4.140625" style="733" customWidth="1"/>
    <col min="4104" max="4117" width="8.7109375" style="733" customWidth="1"/>
    <col min="4118" max="4118" width="10.140625" style="733" customWidth="1"/>
    <col min="4119" max="4354" width="9.140625" style="733"/>
    <col min="4355" max="4355" width="3.7109375" style="733" customWidth="1"/>
    <col min="4356" max="4356" width="12.7109375" style="733" customWidth="1"/>
    <col min="4357" max="4357" width="3.7109375" style="733" customWidth="1"/>
    <col min="4358" max="4358" width="20.7109375" style="733" customWidth="1"/>
    <col min="4359" max="4359" width="4.140625" style="733" customWidth="1"/>
    <col min="4360" max="4373" width="8.7109375" style="733" customWidth="1"/>
    <col min="4374" max="4374" width="10.140625" style="733" customWidth="1"/>
    <col min="4375" max="4610" width="9.140625" style="733"/>
    <col min="4611" max="4611" width="3.7109375" style="733" customWidth="1"/>
    <col min="4612" max="4612" width="12.7109375" style="733" customWidth="1"/>
    <col min="4613" max="4613" width="3.7109375" style="733" customWidth="1"/>
    <col min="4614" max="4614" width="20.7109375" style="733" customWidth="1"/>
    <col min="4615" max="4615" width="4.140625" style="733" customWidth="1"/>
    <col min="4616" max="4629" width="8.7109375" style="733" customWidth="1"/>
    <col min="4630" max="4630" width="10.140625" style="733" customWidth="1"/>
    <col min="4631" max="4866" width="9.140625" style="733"/>
    <col min="4867" max="4867" width="3.7109375" style="733" customWidth="1"/>
    <col min="4868" max="4868" width="12.7109375" style="733" customWidth="1"/>
    <col min="4869" max="4869" width="3.7109375" style="733" customWidth="1"/>
    <col min="4870" max="4870" width="20.7109375" style="733" customWidth="1"/>
    <col min="4871" max="4871" width="4.140625" style="733" customWidth="1"/>
    <col min="4872" max="4885" width="8.7109375" style="733" customWidth="1"/>
    <col min="4886" max="4886" width="10.140625" style="733" customWidth="1"/>
    <col min="4887" max="5122" width="9.140625" style="733"/>
    <col min="5123" max="5123" width="3.7109375" style="733" customWidth="1"/>
    <col min="5124" max="5124" width="12.7109375" style="733" customWidth="1"/>
    <col min="5125" max="5125" width="3.7109375" style="733" customWidth="1"/>
    <col min="5126" max="5126" width="20.7109375" style="733" customWidth="1"/>
    <col min="5127" max="5127" width="4.140625" style="733" customWidth="1"/>
    <col min="5128" max="5141" width="8.7109375" style="733" customWidth="1"/>
    <col min="5142" max="5142" width="10.140625" style="733" customWidth="1"/>
    <col min="5143" max="5378" width="9.140625" style="733"/>
    <col min="5379" max="5379" width="3.7109375" style="733" customWidth="1"/>
    <col min="5380" max="5380" width="12.7109375" style="733" customWidth="1"/>
    <col min="5381" max="5381" width="3.7109375" style="733" customWidth="1"/>
    <col min="5382" max="5382" width="20.7109375" style="733" customWidth="1"/>
    <col min="5383" max="5383" width="4.140625" style="733" customWidth="1"/>
    <col min="5384" max="5397" width="8.7109375" style="733" customWidth="1"/>
    <col min="5398" max="5398" width="10.140625" style="733" customWidth="1"/>
    <col min="5399" max="5634" width="9.140625" style="733"/>
    <col min="5635" max="5635" width="3.7109375" style="733" customWidth="1"/>
    <col min="5636" max="5636" width="12.7109375" style="733" customWidth="1"/>
    <col min="5637" max="5637" width="3.7109375" style="733" customWidth="1"/>
    <col min="5638" max="5638" width="20.7109375" style="733" customWidth="1"/>
    <col min="5639" max="5639" width="4.140625" style="733" customWidth="1"/>
    <col min="5640" max="5653" width="8.7109375" style="733" customWidth="1"/>
    <col min="5654" max="5654" width="10.140625" style="733" customWidth="1"/>
    <col min="5655" max="5890" width="9.140625" style="733"/>
    <col min="5891" max="5891" width="3.7109375" style="733" customWidth="1"/>
    <col min="5892" max="5892" width="12.7109375" style="733" customWidth="1"/>
    <col min="5893" max="5893" width="3.7109375" style="733" customWidth="1"/>
    <col min="5894" max="5894" width="20.7109375" style="733" customWidth="1"/>
    <col min="5895" max="5895" width="4.140625" style="733" customWidth="1"/>
    <col min="5896" max="5909" width="8.7109375" style="733" customWidth="1"/>
    <col min="5910" max="5910" width="10.140625" style="733" customWidth="1"/>
    <col min="5911" max="6146" width="9.140625" style="733"/>
    <col min="6147" max="6147" width="3.7109375" style="733" customWidth="1"/>
    <col min="6148" max="6148" width="12.7109375" style="733" customWidth="1"/>
    <col min="6149" max="6149" width="3.7109375" style="733" customWidth="1"/>
    <col min="6150" max="6150" width="20.7109375" style="733" customWidth="1"/>
    <col min="6151" max="6151" width="4.140625" style="733" customWidth="1"/>
    <col min="6152" max="6165" width="8.7109375" style="733" customWidth="1"/>
    <col min="6166" max="6166" width="10.140625" style="733" customWidth="1"/>
    <col min="6167" max="6402" width="9.140625" style="733"/>
    <col min="6403" max="6403" width="3.7109375" style="733" customWidth="1"/>
    <col min="6404" max="6404" width="12.7109375" style="733" customWidth="1"/>
    <col min="6405" max="6405" width="3.7109375" style="733" customWidth="1"/>
    <col min="6406" max="6406" width="20.7109375" style="733" customWidth="1"/>
    <col min="6407" max="6407" width="4.140625" style="733" customWidth="1"/>
    <col min="6408" max="6421" width="8.7109375" style="733" customWidth="1"/>
    <col min="6422" max="6422" width="10.140625" style="733" customWidth="1"/>
    <col min="6423" max="6658" width="9.140625" style="733"/>
    <col min="6659" max="6659" width="3.7109375" style="733" customWidth="1"/>
    <col min="6660" max="6660" width="12.7109375" style="733" customWidth="1"/>
    <col min="6661" max="6661" width="3.7109375" style="733" customWidth="1"/>
    <col min="6662" max="6662" width="20.7109375" style="733" customWidth="1"/>
    <col min="6663" max="6663" width="4.140625" style="733" customWidth="1"/>
    <col min="6664" max="6677" width="8.7109375" style="733" customWidth="1"/>
    <col min="6678" max="6678" width="10.140625" style="733" customWidth="1"/>
    <col min="6679" max="6914" width="9.140625" style="733"/>
    <col min="6915" max="6915" width="3.7109375" style="733" customWidth="1"/>
    <col min="6916" max="6916" width="12.7109375" style="733" customWidth="1"/>
    <col min="6917" max="6917" width="3.7109375" style="733" customWidth="1"/>
    <col min="6918" max="6918" width="20.7109375" style="733" customWidth="1"/>
    <col min="6919" max="6919" width="4.140625" style="733" customWidth="1"/>
    <col min="6920" max="6933" width="8.7109375" style="733" customWidth="1"/>
    <col min="6934" max="6934" width="10.140625" style="733" customWidth="1"/>
    <col min="6935" max="7170" width="9.140625" style="733"/>
    <col min="7171" max="7171" width="3.7109375" style="733" customWidth="1"/>
    <col min="7172" max="7172" width="12.7109375" style="733" customWidth="1"/>
    <col min="7173" max="7173" width="3.7109375" style="733" customWidth="1"/>
    <col min="7174" max="7174" width="20.7109375" style="733" customWidth="1"/>
    <col min="7175" max="7175" width="4.140625" style="733" customWidth="1"/>
    <col min="7176" max="7189" width="8.7109375" style="733" customWidth="1"/>
    <col min="7190" max="7190" width="10.140625" style="733" customWidth="1"/>
    <col min="7191" max="7426" width="9.140625" style="733"/>
    <col min="7427" max="7427" width="3.7109375" style="733" customWidth="1"/>
    <col min="7428" max="7428" width="12.7109375" style="733" customWidth="1"/>
    <col min="7429" max="7429" width="3.7109375" style="733" customWidth="1"/>
    <col min="7430" max="7430" width="20.7109375" style="733" customWidth="1"/>
    <col min="7431" max="7431" width="4.140625" style="733" customWidth="1"/>
    <col min="7432" max="7445" width="8.7109375" style="733" customWidth="1"/>
    <col min="7446" max="7446" width="10.140625" style="733" customWidth="1"/>
    <col min="7447" max="7682" width="9.140625" style="733"/>
    <col min="7683" max="7683" width="3.7109375" style="733" customWidth="1"/>
    <col min="7684" max="7684" width="12.7109375" style="733" customWidth="1"/>
    <col min="7685" max="7685" width="3.7109375" style="733" customWidth="1"/>
    <col min="7686" max="7686" width="20.7109375" style="733" customWidth="1"/>
    <col min="7687" max="7687" width="4.140625" style="733" customWidth="1"/>
    <col min="7688" max="7701" width="8.7109375" style="733" customWidth="1"/>
    <col min="7702" max="7702" width="10.140625" style="733" customWidth="1"/>
    <col min="7703" max="7938" width="9.140625" style="733"/>
    <col min="7939" max="7939" width="3.7109375" style="733" customWidth="1"/>
    <col min="7940" max="7940" width="12.7109375" style="733" customWidth="1"/>
    <col min="7941" max="7941" width="3.7109375" style="733" customWidth="1"/>
    <col min="7942" max="7942" width="20.7109375" style="733" customWidth="1"/>
    <col min="7943" max="7943" width="4.140625" style="733" customWidth="1"/>
    <col min="7944" max="7957" width="8.7109375" style="733" customWidth="1"/>
    <col min="7958" max="7958" width="10.140625" style="733" customWidth="1"/>
    <col min="7959" max="8194" width="9.140625" style="733"/>
    <col min="8195" max="8195" width="3.7109375" style="733" customWidth="1"/>
    <col min="8196" max="8196" width="12.7109375" style="733" customWidth="1"/>
    <col min="8197" max="8197" width="3.7109375" style="733" customWidth="1"/>
    <col min="8198" max="8198" width="20.7109375" style="733" customWidth="1"/>
    <col min="8199" max="8199" width="4.140625" style="733" customWidth="1"/>
    <col min="8200" max="8213" width="8.7109375" style="733" customWidth="1"/>
    <col min="8214" max="8214" width="10.140625" style="733" customWidth="1"/>
    <col min="8215" max="8450" width="9.140625" style="733"/>
    <col min="8451" max="8451" width="3.7109375" style="733" customWidth="1"/>
    <col min="8452" max="8452" width="12.7109375" style="733" customWidth="1"/>
    <col min="8453" max="8453" width="3.7109375" style="733" customWidth="1"/>
    <col min="8454" max="8454" width="20.7109375" style="733" customWidth="1"/>
    <col min="8455" max="8455" width="4.140625" style="733" customWidth="1"/>
    <col min="8456" max="8469" width="8.7109375" style="733" customWidth="1"/>
    <col min="8470" max="8470" width="10.140625" style="733" customWidth="1"/>
    <col min="8471" max="8706" width="9.140625" style="733"/>
    <col min="8707" max="8707" width="3.7109375" style="733" customWidth="1"/>
    <col min="8708" max="8708" width="12.7109375" style="733" customWidth="1"/>
    <col min="8709" max="8709" width="3.7109375" style="733" customWidth="1"/>
    <col min="8710" max="8710" width="20.7109375" style="733" customWidth="1"/>
    <col min="8711" max="8711" width="4.140625" style="733" customWidth="1"/>
    <col min="8712" max="8725" width="8.7109375" style="733" customWidth="1"/>
    <col min="8726" max="8726" width="10.140625" style="733" customWidth="1"/>
    <col min="8727" max="8962" width="9.140625" style="733"/>
    <col min="8963" max="8963" width="3.7109375" style="733" customWidth="1"/>
    <col min="8964" max="8964" width="12.7109375" style="733" customWidth="1"/>
    <col min="8965" max="8965" width="3.7109375" style="733" customWidth="1"/>
    <col min="8966" max="8966" width="20.7109375" style="733" customWidth="1"/>
    <col min="8967" max="8967" width="4.140625" style="733" customWidth="1"/>
    <col min="8968" max="8981" width="8.7109375" style="733" customWidth="1"/>
    <col min="8982" max="8982" width="10.140625" style="733" customWidth="1"/>
    <col min="8983" max="9218" width="9.140625" style="733"/>
    <col min="9219" max="9219" width="3.7109375" style="733" customWidth="1"/>
    <col min="9220" max="9220" width="12.7109375" style="733" customWidth="1"/>
    <col min="9221" max="9221" width="3.7109375" style="733" customWidth="1"/>
    <col min="9222" max="9222" width="20.7109375" style="733" customWidth="1"/>
    <col min="9223" max="9223" width="4.140625" style="733" customWidth="1"/>
    <col min="9224" max="9237" width="8.7109375" style="733" customWidth="1"/>
    <col min="9238" max="9238" width="10.140625" style="733" customWidth="1"/>
    <col min="9239" max="9474" width="9.140625" style="733"/>
    <col min="9475" max="9475" width="3.7109375" style="733" customWidth="1"/>
    <col min="9476" max="9476" width="12.7109375" style="733" customWidth="1"/>
    <col min="9477" max="9477" width="3.7109375" style="733" customWidth="1"/>
    <col min="9478" max="9478" width="20.7109375" style="733" customWidth="1"/>
    <col min="9479" max="9479" width="4.140625" style="733" customWidth="1"/>
    <col min="9480" max="9493" width="8.7109375" style="733" customWidth="1"/>
    <col min="9494" max="9494" width="10.140625" style="733" customWidth="1"/>
    <col min="9495" max="9730" width="9.140625" style="733"/>
    <col min="9731" max="9731" width="3.7109375" style="733" customWidth="1"/>
    <col min="9732" max="9732" width="12.7109375" style="733" customWidth="1"/>
    <col min="9733" max="9733" width="3.7109375" style="733" customWidth="1"/>
    <col min="9734" max="9734" width="20.7109375" style="733" customWidth="1"/>
    <col min="9735" max="9735" width="4.140625" style="733" customWidth="1"/>
    <col min="9736" max="9749" width="8.7109375" style="733" customWidth="1"/>
    <col min="9750" max="9750" width="10.140625" style="733" customWidth="1"/>
    <col min="9751" max="9986" width="9.140625" style="733"/>
    <col min="9987" max="9987" width="3.7109375" style="733" customWidth="1"/>
    <col min="9988" max="9988" width="12.7109375" style="733" customWidth="1"/>
    <col min="9989" max="9989" width="3.7109375" style="733" customWidth="1"/>
    <col min="9990" max="9990" width="20.7109375" style="733" customWidth="1"/>
    <col min="9991" max="9991" width="4.140625" style="733" customWidth="1"/>
    <col min="9992" max="10005" width="8.7109375" style="733" customWidth="1"/>
    <col min="10006" max="10006" width="10.140625" style="733" customWidth="1"/>
    <col min="10007" max="10242" width="9.140625" style="733"/>
    <col min="10243" max="10243" width="3.7109375" style="733" customWidth="1"/>
    <col min="10244" max="10244" width="12.7109375" style="733" customWidth="1"/>
    <col min="10245" max="10245" width="3.7109375" style="733" customWidth="1"/>
    <col min="10246" max="10246" width="20.7109375" style="733" customWidth="1"/>
    <col min="10247" max="10247" width="4.140625" style="733" customWidth="1"/>
    <col min="10248" max="10261" width="8.7109375" style="733" customWidth="1"/>
    <col min="10262" max="10262" width="10.140625" style="733" customWidth="1"/>
    <col min="10263" max="10498" width="9.140625" style="733"/>
    <col min="10499" max="10499" width="3.7109375" style="733" customWidth="1"/>
    <col min="10500" max="10500" width="12.7109375" style="733" customWidth="1"/>
    <col min="10501" max="10501" width="3.7109375" style="733" customWidth="1"/>
    <col min="10502" max="10502" width="20.7109375" style="733" customWidth="1"/>
    <col min="10503" max="10503" width="4.140625" style="733" customWidth="1"/>
    <col min="10504" max="10517" width="8.7109375" style="733" customWidth="1"/>
    <col min="10518" max="10518" width="10.140625" style="733" customWidth="1"/>
    <col min="10519" max="10754" width="9.140625" style="733"/>
    <col min="10755" max="10755" width="3.7109375" style="733" customWidth="1"/>
    <col min="10756" max="10756" width="12.7109375" style="733" customWidth="1"/>
    <col min="10757" max="10757" width="3.7109375" style="733" customWidth="1"/>
    <col min="10758" max="10758" width="20.7109375" style="733" customWidth="1"/>
    <col min="10759" max="10759" width="4.140625" style="733" customWidth="1"/>
    <col min="10760" max="10773" width="8.7109375" style="733" customWidth="1"/>
    <col min="10774" max="10774" width="10.140625" style="733" customWidth="1"/>
    <col min="10775" max="11010" width="9.140625" style="733"/>
    <col min="11011" max="11011" width="3.7109375" style="733" customWidth="1"/>
    <col min="11012" max="11012" width="12.7109375" style="733" customWidth="1"/>
    <col min="11013" max="11013" width="3.7109375" style="733" customWidth="1"/>
    <col min="11014" max="11014" width="20.7109375" style="733" customWidth="1"/>
    <col min="11015" max="11015" width="4.140625" style="733" customWidth="1"/>
    <col min="11016" max="11029" width="8.7109375" style="733" customWidth="1"/>
    <col min="11030" max="11030" width="10.140625" style="733" customWidth="1"/>
    <col min="11031" max="11266" width="9.140625" style="733"/>
    <col min="11267" max="11267" width="3.7109375" style="733" customWidth="1"/>
    <col min="11268" max="11268" width="12.7109375" style="733" customWidth="1"/>
    <col min="11269" max="11269" width="3.7109375" style="733" customWidth="1"/>
    <col min="11270" max="11270" width="20.7109375" style="733" customWidth="1"/>
    <col min="11271" max="11271" width="4.140625" style="733" customWidth="1"/>
    <col min="11272" max="11285" width="8.7109375" style="733" customWidth="1"/>
    <col min="11286" max="11286" width="10.140625" style="733" customWidth="1"/>
    <col min="11287" max="11522" width="9.140625" style="733"/>
    <col min="11523" max="11523" width="3.7109375" style="733" customWidth="1"/>
    <col min="11524" max="11524" width="12.7109375" style="733" customWidth="1"/>
    <col min="11525" max="11525" width="3.7109375" style="733" customWidth="1"/>
    <col min="11526" max="11526" width="20.7109375" style="733" customWidth="1"/>
    <col min="11527" max="11527" width="4.140625" style="733" customWidth="1"/>
    <col min="11528" max="11541" width="8.7109375" style="733" customWidth="1"/>
    <col min="11542" max="11542" width="10.140625" style="733" customWidth="1"/>
    <col min="11543" max="11778" width="9.140625" style="733"/>
    <col min="11779" max="11779" width="3.7109375" style="733" customWidth="1"/>
    <col min="11780" max="11780" width="12.7109375" style="733" customWidth="1"/>
    <col min="11781" max="11781" width="3.7109375" style="733" customWidth="1"/>
    <col min="11782" max="11782" width="20.7109375" style="733" customWidth="1"/>
    <col min="11783" max="11783" width="4.140625" style="733" customWidth="1"/>
    <col min="11784" max="11797" width="8.7109375" style="733" customWidth="1"/>
    <col min="11798" max="11798" width="10.140625" style="733" customWidth="1"/>
    <col min="11799" max="12034" width="9.140625" style="733"/>
    <col min="12035" max="12035" width="3.7109375" style="733" customWidth="1"/>
    <col min="12036" max="12036" width="12.7109375" style="733" customWidth="1"/>
    <col min="12037" max="12037" width="3.7109375" style="733" customWidth="1"/>
    <col min="12038" max="12038" width="20.7109375" style="733" customWidth="1"/>
    <col min="12039" max="12039" width="4.140625" style="733" customWidth="1"/>
    <col min="12040" max="12053" width="8.7109375" style="733" customWidth="1"/>
    <col min="12054" max="12054" width="10.140625" style="733" customWidth="1"/>
    <col min="12055" max="12290" width="9.140625" style="733"/>
    <col min="12291" max="12291" width="3.7109375" style="733" customWidth="1"/>
    <col min="12292" max="12292" width="12.7109375" style="733" customWidth="1"/>
    <col min="12293" max="12293" width="3.7109375" style="733" customWidth="1"/>
    <col min="12294" max="12294" width="20.7109375" style="733" customWidth="1"/>
    <col min="12295" max="12295" width="4.140625" style="733" customWidth="1"/>
    <col min="12296" max="12309" width="8.7109375" style="733" customWidth="1"/>
    <col min="12310" max="12310" width="10.140625" style="733" customWidth="1"/>
    <col min="12311" max="12546" width="9.140625" style="733"/>
    <col min="12547" max="12547" width="3.7109375" style="733" customWidth="1"/>
    <col min="12548" max="12548" width="12.7109375" style="733" customWidth="1"/>
    <col min="12549" max="12549" width="3.7109375" style="733" customWidth="1"/>
    <col min="12550" max="12550" width="20.7109375" style="733" customWidth="1"/>
    <col min="12551" max="12551" width="4.140625" style="733" customWidth="1"/>
    <col min="12552" max="12565" width="8.7109375" style="733" customWidth="1"/>
    <col min="12566" max="12566" width="10.140625" style="733" customWidth="1"/>
    <col min="12567" max="12802" width="9.140625" style="733"/>
    <col min="12803" max="12803" width="3.7109375" style="733" customWidth="1"/>
    <col min="12804" max="12804" width="12.7109375" style="733" customWidth="1"/>
    <col min="12805" max="12805" width="3.7109375" style="733" customWidth="1"/>
    <col min="12806" max="12806" width="20.7109375" style="733" customWidth="1"/>
    <col min="12807" max="12807" width="4.140625" style="733" customWidth="1"/>
    <col min="12808" max="12821" width="8.7109375" style="733" customWidth="1"/>
    <col min="12822" max="12822" width="10.140625" style="733" customWidth="1"/>
    <col min="12823" max="13058" width="9.140625" style="733"/>
    <col min="13059" max="13059" width="3.7109375" style="733" customWidth="1"/>
    <col min="13060" max="13060" width="12.7109375" style="733" customWidth="1"/>
    <col min="13061" max="13061" width="3.7109375" style="733" customWidth="1"/>
    <col min="13062" max="13062" width="20.7109375" style="733" customWidth="1"/>
    <col min="13063" max="13063" width="4.140625" style="733" customWidth="1"/>
    <col min="13064" max="13077" width="8.7109375" style="733" customWidth="1"/>
    <col min="13078" max="13078" width="10.140625" style="733" customWidth="1"/>
    <col min="13079" max="13314" width="9.140625" style="733"/>
    <col min="13315" max="13315" width="3.7109375" style="733" customWidth="1"/>
    <col min="13316" max="13316" width="12.7109375" style="733" customWidth="1"/>
    <col min="13317" max="13317" width="3.7109375" style="733" customWidth="1"/>
    <col min="13318" max="13318" width="20.7109375" style="733" customWidth="1"/>
    <col min="13319" max="13319" width="4.140625" style="733" customWidth="1"/>
    <col min="13320" max="13333" width="8.7109375" style="733" customWidth="1"/>
    <col min="13334" max="13334" width="10.140625" style="733" customWidth="1"/>
    <col min="13335" max="13570" width="9.140625" style="733"/>
    <col min="13571" max="13571" width="3.7109375" style="733" customWidth="1"/>
    <col min="13572" max="13572" width="12.7109375" style="733" customWidth="1"/>
    <col min="13573" max="13573" width="3.7109375" style="733" customWidth="1"/>
    <col min="13574" max="13574" width="20.7109375" style="733" customWidth="1"/>
    <col min="13575" max="13575" width="4.140625" style="733" customWidth="1"/>
    <col min="13576" max="13589" width="8.7109375" style="733" customWidth="1"/>
    <col min="13590" max="13590" width="10.140625" style="733" customWidth="1"/>
    <col min="13591" max="13826" width="9.140625" style="733"/>
    <col min="13827" max="13827" width="3.7109375" style="733" customWidth="1"/>
    <col min="13828" max="13828" width="12.7109375" style="733" customWidth="1"/>
    <col min="13829" max="13829" width="3.7109375" style="733" customWidth="1"/>
    <col min="13830" max="13830" width="20.7109375" style="733" customWidth="1"/>
    <col min="13831" max="13831" width="4.140625" style="733" customWidth="1"/>
    <col min="13832" max="13845" width="8.7109375" style="733" customWidth="1"/>
    <col min="13846" max="13846" width="10.140625" style="733" customWidth="1"/>
    <col min="13847" max="14082" width="9.140625" style="733"/>
    <col min="14083" max="14083" width="3.7109375" style="733" customWidth="1"/>
    <col min="14084" max="14084" width="12.7109375" style="733" customWidth="1"/>
    <col min="14085" max="14085" width="3.7109375" style="733" customWidth="1"/>
    <col min="14086" max="14086" width="20.7109375" style="733" customWidth="1"/>
    <col min="14087" max="14087" width="4.140625" style="733" customWidth="1"/>
    <col min="14088" max="14101" width="8.7109375" style="733" customWidth="1"/>
    <col min="14102" max="14102" width="10.140625" style="733" customWidth="1"/>
    <col min="14103" max="14338" width="9.140625" style="733"/>
    <col min="14339" max="14339" width="3.7109375" style="733" customWidth="1"/>
    <col min="14340" max="14340" width="12.7109375" style="733" customWidth="1"/>
    <col min="14341" max="14341" width="3.7109375" style="733" customWidth="1"/>
    <col min="14342" max="14342" width="20.7109375" style="733" customWidth="1"/>
    <col min="14343" max="14343" width="4.140625" style="733" customWidth="1"/>
    <col min="14344" max="14357" width="8.7109375" style="733" customWidth="1"/>
    <col min="14358" max="14358" width="10.140625" style="733" customWidth="1"/>
    <col min="14359" max="14594" width="9.140625" style="733"/>
    <col min="14595" max="14595" width="3.7109375" style="733" customWidth="1"/>
    <col min="14596" max="14596" width="12.7109375" style="733" customWidth="1"/>
    <col min="14597" max="14597" width="3.7109375" style="733" customWidth="1"/>
    <col min="14598" max="14598" width="20.7109375" style="733" customWidth="1"/>
    <col min="14599" max="14599" width="4.140625" style="733" customWidth="1"/>
    <col min="14600" max="14613" width="8.7109375" style="733" customWidth="1"/>
    <col min="14614" max="14614" width="10.140625" style="733" customWidth="1"/>
    <col min="14615" max="14850" width="9.140625" style="733"/>
    <col min="14851" max="14851" width="3.7109375" style="733" customWidth="1"/>
    <col min="14852" max="14852" width="12.7109375" style="733" customWidth="1"/>
    <col min="14853" max="14853" width="3.7109375" style="733" customWidth="1"/>
    <col min="14854" max="14854" width="20.7109375" style="733" customWidth="1"/>
    <col min="14855" max="14855" width="4.140625" style="733" customWidth="1"/>
    <col min="14856" max="14869" width="8.7109375" style="733" customWidth="1"/>
    <col min="14870" max="14870" width="10.140625" style="733" customWidth="1"/>
    <col min="14871" max="15106" width="9.140625" style="733"/>
    <col min="15107" max="15107" width="3.7109375" style="733" customWidth="1"/>
    <col min="15108" max="15108" width="12.7109375" style="733" customWidth="1"/>
    <col min="15109" max="15109" width="3.7109375" style="733" customWidth="1"/>
    <col min="15110" max="15110" width="20.7109375" style="733" customWidth="1"/>
    <col min="15111" max="15111" width="4.140625" style="733" customWidth="1"/>
    <col min="15112" max="15125" width="8.7109375" style="733" customWidth="1"/>
    <col min="15126" max="15126" width="10.140625" style="733" customWidth="1"/>
    <col min="15127" max="15362" width="9.140625" style="733"/>
    <col min="15363" max="15363" width="3.7109375" style="733" customWidth="1"/>
    <col min="15364" max="15364" width="12.7109375" style="733" customWidth="1"/>
    <col min="15365" max="15365" width="3.7109375" style="733" customWidth="1"/>
    <col min="15366" max="15366" width="20.7109375" style="733" customWidth="1"/>
    <col min="15367" max="15367" width="4.140625" style="733" customWidth="1"/>
    <col min="15368" max="15381" width="8.7109375" style="733" customWidth="1"/>
    <col min="15382" max="15382" width="10.140625" style="733" customWidth="1"/>
    <col min="15383" max="15618" width="9.140625" style="733"/>
    <col min="15619" max="15619" width="3.7109375" style="733" customWidth="1"/>
    <col min="15620" max="15620" width="12.7109375" style="733" customWidth="1"/>
    <col min="15621" max="15621" width="3.7109375" style="733" customWidth="1"/>
    <col min="15622" max="15622" width="20.7109375" style="733" customWidth="1"/>
    <col min="15623" max="15623" width="4.140625" style="733" customWidth="1"/>
    <col min="15624" max="15637" width="8.7109375" style="733" customWidth="1"/>
    <col min="15638" max="15638" width="10.140625" style="733" customWidth="1"/>
    <col min="15639" max="15874" width="9.140625" style="733"/>
    <col min="15875" max="15875" width="3.7109375" style="733" customWidth="1"/>
    <col min="15876" max="15876" width="12.7109375" style="733" customWidth="1"/>
    <col min="15877" max="15877" width="3.7109375" style="733" customWidth="1"/>
    <col min="15878" max="15878" width="20.7109375" style="733" customWidth="1"/>
    <col min="15879" max="15879" width="4.140625" style="733" customWidth="1"/>
    <col min="15880" max="15893" width="8.7109375" style="733" customWidth="1"/>
    <col min="15894" max="15894" width="10.140625" style="733" customWidth="1"/>
    <col min="15895" max="16130" width="9.140625" style="733"/>
    <col min="16131" max="16131" width="3.7109375" style="733" customWidth="1"/>
    <col min="16132" max="16132" width="12.7109375" style="733" customWidth="1"/>
    <col min="16133" max="16133" width="3.7109375" style="733" customWidth="1"/>
    <col min="16134" max="16134" width="20.7109375" style="733" customWidth="1"/>
    <col min="16135" max="16135" width="4.140625" style="733" customWidth="1"/>
    <col min="16136" max="16149" width="8.7109375" style="733" customWidth="1"/>
    <col min="16150" max="16150" width="10.140625" style="733" customWidth="1"/>
    <col min="16151" max="16384" width="9.140625" style="733"/>
  </cols>
  <sheetData>
    <row r="1" spans="1:27" s="943" customFormat="1" ht="15" x14ac:dyDescent="0.2">
      <c r="A1" s="2035"/>
      <c r="B1" s="2036"/>
      <c r="C1" s="2036"/>
      <c r="E1" s="2132"/>
    </row>
    <row r="2" spans="1:27" s="943" customFormat="1" ht="15" customHeight="1" x14ac:dyDescent="0.2">
      <c r="A2" s="1">
        <v>1</v>
      </c>
      <c r="B2" s="1" t="s">
        <v>0</v>
      </c>
      <c r="C2" s="1">
        <v>76</v>
      </c>
      <c r="D2" s="4140" t="s">
        <v>1534</v>
      </c>
      <c r="E2" s="4141"/>
      <c r="F2" s="4141"/>
      <c r="G2" s="4141"/>
      <c r="H2" s="4141"/>
      <c r="I2" s="4141"/>
      <c r="J2" s="4141"/>
      <c r="K2" s="4141"/>
      <c r="L2" s="4141"/>
      <c r="M2" s="4141"/>
      <c r="N2" s="4141"/>
      <c r="O2" s="4141"/>
      <c r="P2" s="4141"/>
      <c r="Q2" s="4141"/>
      <c r="R2" s="4141"/>
      <c r="S2" s="4141"/>
      <c r="T2" s="4141"/>
      <c r="U2" s="4141"/>
      <c r="V2" s="4141"/>
      <c r="W2" s="4141"/>
      <c r="X2" s="4141"/>
      <c r="Y2" s="4141"/>
      <c r="Z2" s="4141"/>
      <c r="AA2" s="4142"/>
    </row>
    <row r="3" spans="1:27" s="943" customFormat="1" ht="14.25" customHeight="1" x14ac:dyDescent="0.2">
      <c r="A3" s="1">
        <v>2</v>
      </c>
      <c r="B3" s="1" t="s">
        <v>2</v>
      </c>
      <c r="C3" s="1"/>
      <c r="D3" s="4140" t="s">
        <v>1535</v>
      </c>
      <c r="E3" s="4141"/>
      <c r="F3" s="4141"/>
      <c r="G3" s="4141"/>
      <c r="H3" s="4141"/>
      <c r="I3" s="4141"/>
      <c r="J3" s="4141"/>
      <c r="K3" s="4141"/>
      <c r="L3" s="4141"/>
      <c r="M3" s="4141"/>
      <c r="N3" s="4141"/>
      <c r="O3" s="4141"/>
      <c r="P3" s="4141"/>
      <c r="Q3" s="4141"/>
      <c r="R3" s="4141"/>
      <c r="S3" s="4141"/>
      <c r="T3" s="4141"/>
      <c r="U3" s="4141"/>
      <c r="V3" s="4141"/>
      <c r="W3" s="4141"/>
      <c r="X3" s="4141"/>
      <c r="Y3" s="4141"/>
      <c r="Z3" s="4141"/>
      <c r="AA3" s="4142"/>
    </row>
    <row r="4" spans="1:27" s="943" customFormat="1" ht="14.25" customHeight="1" x14ac:dyDescent="0.2">
      <c r="A4" s="1">
        <v>3</v>
      </c>
      <c r="B4" s="1" t="s">
        <v>4</v>
      </c>
      <c r="C4" s="1"/>
      <c r="D4" s="4140" t="s">
        <v>1536</v>
      </c>
      <c r="E4" s="4141"/>
      <c r="F4" s="4141"/>
      <c r="G4" s="4141"/>
      <c r="H4" s="4141"/>
      <c r="I4" s="4141"/>
      <c r="J4" s="4141"/>
      <c r="K4" s="4141"/>
      <c r="L4" s="4141"/>
      <c r="M4" s="4141"/>
      <c r="N4" s="4141"/>
      <c r="O4" s="4141"/>
      <c r="P4" s="4141"/>
      <c r="Q4" s="4141"/>
      <c r="R4" s="4141"/>
      <c r="S4" s="4141"/>
      <c r="T4" s="4141"/>
      <c r="U4" s="4141"/>
      <c r="V4" s="4141"/>
      <c r="W4" s="4141"/>
      <c r="X4" s="4141"/>
      <c r="Y4" s="4141"/>
      <c r="Z4" s="4141"/>
      <c r="AA4" s="4142"/>
    </row>
    <row r="5" spans="1:27" s="943" customFormat="1" ht="14.25" customHeight="1" x14ac:dyDescent="0.2">
      <c r="A5" s="1"/>
      <c r="B5" s="1"/>
      <c r="C5" s="1"/>
      <c r="D5" s="1769"/>
      <c r="E5" s="1769"/>
      <c r="F5" s="1769"/>
      <c r="G5" s="1769"/>
      <c r="H5" s="1769"/>
      <c r="I5" s="1769"/>
      <c r="J5" s="1769"/>
      <c r="K5" s="1769"/>
      <c r="L5" s="1769"/>
      <c r="M5" s="1769"/>
      <c r="N5" s="1769"/>
      <c r="O5" s="1769"/>
      <c r="P5" s="1769"/>
      <c r="Q5" s="1769"/>
      <c r="R5" s="1769"/>
      <c r="S5" s="1769"/>
      <c r="T5" s="1769"/>
      <c r="U5" s="1769"/>
      <c r="V5" s="1769"/>
      <c r="W5" s="1769"/>
      <c r="X5" s="1769"/>
      <c r="Y5" s="1769"/>
      <c r="Z5" s="1769"/>
    </row>
    <row r="6" spans="1:27" s="11" customFormat="1" ht="20.25" customHeight="1" x14ac:dyDescent="0.2">
      <c r="A6" s="1">
        <v>4</v>
      </c>
      <c r="B6" s="12" t="s">
        <v>5</v>
      </c>
      <c r="C6" s="6"/>
      <c r="D6" s="1381" t="s">
        <v>112</v>
      </c>
      <c r="E6" s="1771" t="s">
        <v>1537</v>
      </c>
      <c r="F6" s="1381"/>
      <c r="G6" s="1381"/>
      <c r="H6" s="3111"/>
      <c r="I6" s="3111"/>
      <c r="J6" s="3449"/>
      <c r="K6" s="3450"/>
      <c r="L6" s="3450"/>
      <c r="M6" s="3450"/>
      <c r="N6" s="3450"/>
      <c r="O6" s="3450"/>
      <c r="P6" s="3450"/>
      <c r="Q6" s="3450"/>
      <c r="R6" s="3450"/>
      <c r="S6" s="3450"/>
      <c r="T6" s="3450"/>
      <c r="U6" s="3450"/>
      <c r="V6" s="3450"/>
      <c r="W6" s="3451"/>
    </row>
    <row r="7" spans="1:27" s="11" customFormat="1" ht="20.25" customHeight="1" x14ac:dyDescent="0.2">
      <c r="A7" s="5"/>
      <c r="B7" s="6"/>
      <c r="C7" s="6"/>
      <c r="D7" s="905"/>
      <c r="E7" s="2150"/>
      <c r="F7" s="3452" t="s">
        <v>133</v>
      </c>
      <c r="G7" s="3452" t="s">
        <v>134</v>
      </c>
      <c r="H7" s="3452" t="s">
        <v>135</v>
      </c>
      <c r="I7" s="3452" t="s">
        <v>136</v>
      </c>
      <c r="J7" s="3453" t="s">
        <v>137</v>
      </c>
      <c r="K7" s="3452" t="s">
        <v>138</v>
      </c>
      <c r="L7" s="3452" t="s">
        <v>139</v>
      </c>
      <c r="M7" s="3452" t="s">
        <v>140</v>
      </c>
      <c r="N7" s="3452" t="s">
        <v>141</v>
      </c>
      <c r="O7" s="3452" t="s">
        <v>142</v>
      </c>
      <c r="P7" s="3452" t="s">
        <v>143</v>
      </c>
      <c r="Q7" s="3452" t="s">
        <v>144</v>
      </c>
      <c r="R7" s="3452" t="s">
        <v>145</v>
      </c>
      <c r="S7" s="3452" t="s">
        <v>8</v>
      </c>
      <c r="T7" s="3454" t="s">
        <v>9</v>
      </c>
      <c r="U7" s="3454" t="s">
        <v>10</v>
      </c>
      <c r="V7" s="3454" t="s">
        <v>11</v>
      </c>
      <c r="W7" s="3454" t="s">
        <v>12</v>
      </c>
      <c r="X7" s="3454" t="s">
        <v>13</v>
      </c>
      <c r="Y7" s="3455" t="s">
        <v>14</v>
      </c>
      <c r="Z7" s="3456" t="s">
        <v>15</v>
      </c>
      <c r="AA7" s="3456" t="s">
        <v>333</v>
      </c>
    </row>
    <row r="8" spans="1:27" s="11" customFormat="1" ht="20.25" customHeight="1" x14ac:dyDescent="0.2">
      <c r="A8" s="5"/>
      <c r="B8" s="6"/>
      <c r="C8" s="6"/>
      <c r="D8" s="17"/>
      <c r="E8" s="1743"/>
      <c r="F8" s="3457"/>
      <c r="G8" s="3457"/>
      <c r="H8" s="3457"/>
      <c r="I8" s="3457"/>
      <c r="J8" s="3457"/>
      <c r="K8" s="3457"/>
      <c r="L8" s="3457"/>
      <c r="M8" s="3457"/>
      <c r="N8" s="3079"/>
      <c r="O8" s="3079"/>
      <c r="P8" s="3079"/>
      <c r="Q8" s="3079"/>
      <c r="R8" s="3079"/>
      <c r="S8" s="3079"/>
      <c r="T8" s="3079"/>
      <c r="U8" s="3079"/>
      <c r="V8" s="3079"/>
      <c r="W8" s="3079"/>
      <c r="X8" s="3079"/>
      <c r="Y8" s="3458"/>
      <c r="Z8" s="3459"/>
      <c r="AA8" s="3459"/>
    </row>
    <row r="9" spans="1:27" s="11" customFormat="1" ht="11.25" x14ac:dyDescent="0.2">
      <c r="A9" s="5"/>
      <c r="B9" s="6"/>
      <c r="C9" s="6"/>
      <c r="D9" s="2085" t="s">
        <v>1538</v>
      </c>
      <c r="E9" s="15" t="s">
        <v>113</v>
      </c>
      <c r="F9" s="2277">
        <v>3870</v>
      </c>
      <c r="G9" s="2277">
        <v>1592</v>
      </c>
      <c r="H9" s="2277">
        <v>3338.1</v>
      </c>
      <c r="I9" s="2277">
        <v>-3573.7999999999997</v>
      </c>
      <c r="J9" s="2277">
        <v>-8476.6</v>
      </c>
      <c r="K9" s="2277">
        <v>-6055</v>
      </c>
      <c r="L9" s="2277">
        <v>-15165</v>
      </c>
      <c r="M9" s="2277">
        <v>-15057</v>
      </c>
      <c r="N9" s="2277">
        <v>-9380.7000000000007</v>
      </c>
      <c r="O9" s="2277">
        <v>-19127</v>
      </c>
      <c r="P9" s="2277">
        <v>-12400</v>
      </c>
      <c r="Q9" s="2277">
        <v>-10500</v>
      </c>
      <c r="R9" s="2277">
        <v>-4575</v>
      </c>
      <c r="S9" s="2277">
        <v>-449.98999999999978</v>
      </c>
      <c r="T9" s="2277">
        <v>-4115</v>
      </c>
      <c r="U9" s="2277">
        <v>-2307.7999999999993</v>
      </c>
      <c r="V9" s="2277">
        <v>-2411.6319999999996</v>
      </c>
      <c r="W9" s="2277">
        <v>-5575</v>
      </c>
      <c r="X9" s="2277">
        <v>8275.3150000000005</v>
      </c>
      <c r="Y9" s="3130">
        <v>4989.8599999999997</v>
      </c>
      <c r="Z9" s="3460">
        <v>28023.767</v>
      </c>
      <c r="AA9" s="3460">
        <v>33302.31</v>
      </c>
    </row>
    <row r="10" spans="1:27" s="11" customFormat="1" ht="11.25" customHeight="1" x14ac:dyDescent="0.2">
      <c r="A10" s="5"/>
      <c r="B10" s="3461"/>
      <c r="C10" s="6"/>
      <c r="D10" s="3462" t="s">
        <v>1539</v>
      </c>
      <c r="E10" s="1359" t="s">
        <v>1540</v>
      </c>
      <c r="F10" s="2277">
        <f t="shared" ref="F10:W10" si="0">SUM(F11:F13)</f>
        <v>2762688</v>
      </c>
      <c r="G10" s="2277">
        <f t="shared" si="0"/>
        <v>3023930</v>
      </c>
      <c r="H10" s="2277">
        <f t="shared" si="0"/>
        <v>3260567</v>
      </c>
      <c r="I10" s="2277">
        <f t="shared" si="0"/>
        <v>3637717</v>
      </c>
      <c r="J10" s="2277">
        <f t="shared" si="0"/>
        <v>4163792</v>
      </c>
      <c r="K10" s="2277">
        <f t="shared" si="0"/>
        <v>4637811</v>
      </c>
      <c r="L10" s="2277">
        <f t="shared" si="0"/>
        <v>4484919</v>
      </c>
      <c r="M10" s="2277">
        <f t="shared" si="0"/>
        <v>4878211</v>
      </c>
      <c r="N10" s="2277">
        <f t="shared" si="0"/>
        <v>5367396</v>
      </c>
      <c r="O10" s="2277">
        <f t="shared" si="0"/>
        <v>5876112</v>
      </c>
      <c r="P10" s="2277">
        <f t="shared" si="0"/>
        <v>6357421</v>
      </c>
      <c r="Q10" s="2277">
        <f t="shared" si="0"/>
        <v>7173554</v>
      </c>
      <c r="R10" s="2277">
        <f t="shared" si="0"/>
        <v>7766915</v>
      </c>
      <c r="S10" s="2277">
        <f t="shared" si="0"/>
        <v>8131422</v>
      </c>
      <c r="T10" s="2277">
        <f t="shared" si="0"/>
        <v>12751006</v>
      </c>
      <c r="U10" s="2277">
        <f t="shared" si="0"/>
        <v>16039801</v>
      </c>
      <c r="V10" s="2277">
        <f t="shared" si="0"/>
        <v>17926869</v>
      </c>
      <c r="W10" s="2277">
        <f t="shared" si="0"/>
        <v>19787304</v>
      </c>
      <c r="X10" s="2277">
        <v>21452507</v>
      </c>
      <c r="Y10" s="3130">
        <v>22693978</v>
      </c>
      <c r="Z10" s="3460">
        <v>24201971</v>
      </c>
      <c r="AA10" s="3460">
        <v>25589773</v>
      </c>
    </row>
    <row r="11" spans="1:27" s="11" customFormat="1" ht="11.25" x14ac:dyDescent="0.2">
      <c r="A11" s="5"/>
      <c r="B11" s="3461"/>
      <c r="C11" s="6"/>
      <c r="D11" s="3395" t="s">
        <v>1541</v>
      </c>
      <c r="E11" s="3463"/>
      <c r="F11" s="3464">
        <v>2158080</v>
      </c>
      <c r="G11" s="3464">
        <v>2334751</v>
      </c>
      <c r="H11" s="3465">
        <v>2485703</v>
      </c>
      <c r="I11" s="3465">
        <v>2617458</v>
      </c>
      <c r="J11" s="3465">
        <v>2985095</v>
      </c>
      <c r="K11" s="3465">
        <v>3321041</v>
      </c>
      <c r="L11" s="3465">
        <v>3415432</v>
      </c>
      <c r="M11" s="3465">
        <v>3777005</v>
      </c>
      <c r="N11" s="3465">
        <v>4115293</v>
      </c>
      <c r="O11" s="3465">
        <v>4476261</v>
      </c>
      <c r="P11" s="3465">
        <v>4764105</v>
      </c>
      <c r="Q11" s="3465">
        <v>5204805</v>
      </c>
      <c r="R11" s="3466">
        <v>5540646</v>
      </c>
      <c r="S11" s="3466">
        <v>5920612</v>
      </c>
      <c r="T11" s="3466">
        <v>10346175</v>
      </c>
      <c r="U11" s="3466">
        <v>13703717</v>
      </c>
      <c r="V11" s="3466">
        <v>15418920</v>
      </c>
      <c r="W11" s="3466">
        <v>16779711</v>
      </c>
      <c r="X11" s="3466">
        <v>18185538</v>
      </c>
      <c r="Y11" s="3466">
        <v>19075270</v>
      </c>
      <c r="Z11" s="3467">
        <v>19980110</v>
      </c>
      <c r="AA11" s="3467">
        <v>20953564</v>
      </c>
    </row>
    <row r="12" spans="1:27" s="11" customFormat="1" ht="11.25" x14ac:dyDescent="0.2">
      <c r="A12" s="5"/>
      <c r="B12" s="6"/>
      <c r="C12" s="6"/>
      <c r="D12" s="3395" t="s">
        <v>1542</v>
      </c>
      <c r="E12" s="3463"/>
      <c r="F12" s="3464">
        <v>604608</v>
      </c>
      <c r="G12" s="3464">
        <v>689179</v>
      </c>
      <c r="H12" s="3465">
        <v>774864</v>
      </c>
      <c r="I12" s="3464">
        <v>839591</v>
      </c>
      <c r="J12" s="3464">
        <v>976720</v>
      </c>
      <c r="K12" s="3464">
        <v>1081788</v>
      </c>
      <c r="L12" s="3464">
        <v>814894</v>
      </c>
      <c r="M12" s="3464">
        <v>817381</v>
      </c>
      <c r="N12" s="3464">
        <v>933136</v>
      </c>
      <c r="O12" s="3464">
        <v>1054969</v>
      </c>
      <c r="P12" s="3464">
        <v>1218905</v>
      </c>
      <c r="Q12" s="3464">
        <v>1584002</v>
      </c>
      <c r="R12" s="3468">
        <v>1834009</v>
      </c>
      <c r="S12" s="3466">
        <v>1878856</v>
      </c>
      <c r="T12" s="3466">
        <v>2078182</v>
      </c>
      <c r="U12" s="3466">
        <v>2034719</v>
      </c>
      <c r="V12" s="3466">
        <v>2195883</v>
      </c>
      <c r="W12" s="3466">
        <v>2685405</v>
      </c>
      <c r="X12" s="3466">
        <v>2935385</v>
      </c>
      <c r="Y12" s="3466">
        <v>3278708</v>
      </c>
      <c r="Z12" s="3467">
        <v>3732416</v>
      </c>
      <c r="AA12" s="3467">
        <v>3131983</v>
      </c>
    </row>
    <row r="13" spans="1:27" s="11" customFormat="1" ht="11.25" x14ac:dyDescent="0.2">
      <c r="A13" s="5"/>
      <c r="B13" s="6"/>
      <c r="C13" s="6"/>
      <c r="D13" s="3395" t="s">
        <v>1543</v>
      </c>
      <c r="E13" s="722"/>
      <c r="F13" s="1379"/>
      <c r="G13" s="1379"/>
      <c r="H13" s="3465"/>
      <c r="I13" s="3464">
        <v>180668</v>
      </c>
      <c r="J13" s="3464">
        <v>201977</v>
      </c>
      <c r="K13" s="3464">
        <v>234982</v>
      </c>
      <c r="L13" s="3464">
        <v>254593</v>
      </c>
      <c r="M13" s="3464">
        <v>283825</v>
      </c>
      <c r="N13" s="3464">
        <v>318967</v>
      </c>
      <c r="O13" s="3464">
        <v>344882</v>
      </c>
      <c r="P13" s="3464">
        <v>374411</v>
      </c>
      <c r="Q13" s="3464">
        <v>384747</v>
      </c>
      <c r="R13" s="3468">
        <v>392260</v>
      </c>
      <c r="S13" s="3466">
        <v>331954</v>
      </c>
      <c r="T13" s="3466">
        <v>326649</v>
      </c>
      <c r="U13" s="3466">
        <v>301365</v>
      </c>
      <c r="V13" s="3466">
        <v>312066</v>
      </c>
      <c r="W13" s="3466">
        <v>322188</v>
      </c>
      <c r="X13" s="3466">
        <v>331584</v>
      </c>
      <c r="Y13" s="3466">
        <v>340000</v>
      </c>
      <c r="Z13" s="3467">
        <v>345048</v>
      </c>
      <c r="AA13" s="3467">
        <v>361587</v>
      </c>
    </row>
    <row r="14" spans="1:27" s="11" customFormat="1" ht="11.25" x14ac:dyDescent="0.2">
      <c r="A14" s="5"/>
      <c r="B14" s="6"/>
      <c r="C14" s="6"/>
      <c r="D14" s="932" t="s">
        <v>1544</v>
      </c>
      <c r="E14" s="3463"/>
      <c r="F14" s="3464">
        <v>606829</v>
      </c>
      <c r="G14" s="3463">
        <v>449257</v>
      </c>
      <c r="H14" s="3465">
        <v>478002</v>
      </c>
      <c r="I14" s="3463">
        <v>424020</v>
      </c>
      <c r="J14" s="3463">
        <v>450630</v>
      </c>
      <c r="K14" s="3463">
        <v>479666</v>
      </c>
      <c r="L14" s="3463">
        <v>506098</v>
      </c>
      <c r="M14" s="3463">
        <v>536281</v>
      </c>
      <c r="N14" s="3463">
        <v>578138</v>
      </c>
      <c r="O14" s="3463">
        <v>633703</v>
      </c>
      <c r="P14" s="3463">
        <v>677153</v>
      </c>
      <c r="Q14" s="3463">
        <v>745487</v>
      </c>
      <c r="R14" s="3469">
        <v>737885</v>
      </c>
      <c r="S14" s="3470">
        <v>685523</v>
      </c>
      <c r="T14" s="3470">
        <v>664267</v>
      </c>
      <c r="U14" s="3470">
        <v>652349</v>
      </c>
      <c r="V14" s="3470">
        <v>650540</v>
      </c>
      <c r="W14" s="3466">
        <v>662194</v>
      </c>
      <c r="X14" s="3466">
        <v>679274</v>
      </c>
      <c r="Y14" s="3466">
        <v>706874</v>
      </c>
      <c r="Z14" s="3467">
        <v>742388</v>
      </c>
      <c r="AA14" s="3467">
        <v>760615</v>
      </c>
    </row>
    <row r="15" spans="1:27" s="11" customFormat="1" ht="11.25" x14ac:dyDescent="0.2">
      <c r="A15" s="5"/>
      <c r="B15" s="6"/>
      <c r="C15" s="6"/>
      <c r="D15" s="3462" t="s">
        <v>1545</v>
      </c>
      <c r="E15" s="1359"/>
      <c r="F15" s="2277"/>
      <c r="G15" s="2277"/>
      <c r="H15" s="2277"/>
      <c r="I15" s="2277"/>
      <c r="J15" s="2277"/>
      <c r="K15" s="2277"/>
      <c r="L15" s="2277"/>
      <c r="M15" s="2277"/>
      <c r="N15" s="2277"/>
      <c r="O15" s="2277"/>
      <c r="P15" s="2277"/>
      <c r="Q15" s="2277"/>
      <c r="R15" s="2277"/>
      <c r="S15" s="2277"/>
      <c r="T15" s="2277"/>
      <c r="U15" s="2277"/>
      <c r="V15" s="2277"/>
      <c r="W15" s="2277"/>
      <c r="X15" s="2277"/>
      <c r="Y15" s="2277"/>
      <c r="Z15" s="2277"/>
      <c r="AA15" s="2277"/>
    </row>
    <row r="16" spans="1:27" s="11" customFormat="1" ht="11.25" customHeight="1" x14ac:dyDescent="0.2">
      <c r="A16" s="5"/>
      <c r="B16" s="6"/>
      <c r="C16" s="6"/>
      <c r="D16" s="2040" t="s">
        <v>1534</v>
      </c>
      <c r="E16" s="24" t="s">
        <v>113</v>
      </c>
      <c r="F16" s="2291"/>
      <c r="G16" s="2291"/>
      <c r="H16" s="2291"/>
      <c r="I16" s="2291"/>
      <c r="J16" s="2291"/>
      <c r="K16" s="2291"/>
      <c r="L16" s="2291"/>
      <c r="M16" s="2291"/>
      <c r="N16" s="2291"/>
      <c r="O16" s="2291"/>
      <c r="P16" s="2291"/>
      <c r="Q16" s="2291"/>
      <c r="R16" s="3466"/>
      <c r="S16" s="3466"/>
      <c r="T16" s="3466"/>
      <c r="U16" s="3466"/>
      <c r="V16" s="3466"/>
      <c r="W16" s="3466"/>
      <c r="X16" s="3466"/>
      <c r="Y16" s="3458"/>
      <c r="Z16" s="3466"/>
      <c r="AA16" s="3458"/>
    </row>
    <row r="17" spans="1:27" s="11" customFormat="1" ht="11.25" customHeight="1" x14ac:dyDescent="0.2">
      <c r="A17" s="5"/>
      <c r="B17" s="6"/>
      <c r="C17" s="6"/>
      <c r="D17" s="10" t="s">
        <v>1546</v>
      </c>
      <c r="E17" s="722"/>
      <c r="F17" s="3471">
        <v>59519.830999999998</v>
      </c>
      <c r="G17" s="3471">
        <v>68342.381999999998</v>
      </c>
      <c r="H17" s="3471">
        <v>77733.899999999994</v>
      </c>
      <c r="I17" s="3471">
        <v>85883.786999999997</v>
      </c>
      <c r="J17" s="3471">
        <v>86477.998000000007</v>
      </c>
      <c r="K17" s="3471">
        <v>90389.505000000005</v>
      </c>
      <c r="L17" s="3471">
        <v>94336.679000000004</v>
      </c>
      <c r="M17" s="3471">
        <v>98495.13</v>
      </c>
      <c r="N17" s="3471">
        <v>111696.561</v>
      </c>
      <c r="O17" s="3471">
        <v>126416.367</v>
      </c>
      <c r="P17" s="3471">
        <v>141397.08000000002</v>
      </c>
      <c r="Q17" s="3471">
        <v>169539.25300000003</v>
      </c>
      <c r="R17" s="3471">
        <v>196068.03700000001</v>
      </c>
      <c r="S17" s="3471">
        <v>206483.53338388007</v>
      </c>
      <c r="T17" s="3471">
        <v>228096.11159448003</v>
      </c>
      <c r="U17" s="3471">
        <v>251339.14729868999</v>
      </c>
      <c r="V17" s="3471">
        <v>276678.57430246007</v>
      </c>
      <c r="W17" s="3471">
        <v>310928.99241367</v>
      </c>
      <c r="X17" s="3471">
        <v>353918.10976956994</v>
      </c>
      <c r="Y17" s="3471">
        <v>389279.70173759997</v>
      </c>
      <c r="Z17" s="3472">
        <v>425924.06663148006</v>
      </c>
      <c r="AA17" s="3472">
        <v>462903.13275248004</v>
      </c>
    </row>
    <row r="18" spans="1:27" s="11" customFormat="1" ht="11.25" customHeight="1" x14ac:dyDescent="0.2">
      <c r="A18" s="5"/>
      <c r="B18" s="6"/>
      <c r="C18" s="6"/>
      <c r="D18" s="10" t="s">
        <v>1547</v>
      </c>
      <c r="E18" s="722"/>
      <c r="F18" s="3471">
        <v>16985.002</v>
      </c>
      <c r="G18" s="3471">
        <v>19696.403999999999</v>
      </c>
      <c r="H18" s="3471">
        <v>20388</v>
      </c>
      <c r="I18" s="3471">
        <v>20971.607</v>
      </c>
      <c r="J18" s="3471">
        <v>29491.826000000001</v>
      </c>
      <c r="K18" s="3471">
        <v>42354.472000000002</v>
      </c>
      <c r="L18" s="3471">
        <v>55745.053999999996</v>
      </c>
      <c r="M18" s="3471">
        <v>60880.803</v>
      </c>
      <c r="N18" s="3471">
        <v>71629.360000000015</v>
      </c>
      <c r="O18" s="3471">
        <v>87326.989999999991</v>
      </c>
      <c r="P18" s="3471">
        <v>120111.44</v>
      </c>
      <c r="Q18" s="3471">
        <v>141635.435</v>
      </c>
      <c r="R18" s="3471">
        <v>167202.23999999999</v>
      </c>
      <c r="S18" s="3471">
        <v>136977.93176756997</v>
      </c>
      <c r="T18" s="3471">
        <v>134635.07949267002</v>
      </c>
      <c r="U18" s="3471">
        <v>153272.17884887999</v>
      </c>
      <c r="V18" s="3471">
        <v>160895.79553077999</v>
      </c>
      <c r="W18" s="3471">
        <v>179520.12193793</v>
      </c>
      <c r="X18" s="3471">
        <v>186621.55362948001</v>
      </c>
      <c r="Y18" s="3471">
        <v>193385.29987314003</v>
      </c>
      <c r="Z18" s="3472">
        <v>220238.55604764001</v>
      </c>
      <c r="AA18" s="3472">
        <v>220238.55604763996</v>
      </c>
    </row>
    <row r="19" spans="1:27" s="11" customFormat="1" ht="11.25" customHeight="1" x14ac:dyDescent="0.2">
      <c r="A19" s="5"/>
      <c r="B19" s="6"/>
      <c r="C19" s="6"/>
      <c r="D19" s="10" t="s">
        <v>1544</v>
      </c>
      <c r="E19" s="722"/>
      <c r="F19" s="3471">
        <v>35902.887000000002</v>
      </c>
      <c r="G19" s="3471">
        <v>40095.641000000003</v>
      </c>
      <c r="H19" s="3471">
        <v>43985.4</v>
      </c>
      <c r="I19" s="3471">
        <v>48376.84</v>
      </c>
      <c r="J19" s="3471">
        <v>54455.192999999999</v>
      </c>
      <c r="K19" s="3471">
        <v>61056.608999999997</v>
      </c>
      <c r="L19" s="3471">
        <v>70149.851999999999</v>
      </c>
      <c r="M19" s="3471">
        <v>80681.755000000005</v>
      </c>
      <c r="N19" s="3471">
        <v>98157.875</v>
      </c>
      <c r="O19" s="3471">
        <v>114351.63799999998</v>
      </c>
      <c r="P19" s="3471">
        <v>134462.59899999999</v>
      </c>
      <c r="Q19" s="3471">
        <v>150442.84899999999</v>
      </c>
      <c r="R19" s="3471">
        <v>154343.12100000001</v>
      </c>
      <c r="S19" s="3471">
        <v>147941.32226163996</v>
      </c>
      <c r="T19" s="3471">
        <v>183571.43947361002</v>
      </c>
      <c r="U19" s="3471">
        <v>191020.19853625001</v>
      </c>
      <c r="V19" s="3471">
        <v>215023.03517332999</v>
      </c>
      <c r="W19" s="3471">
        <v>237666.57887254003</v>
      </c>
      <c r="X19" s="3471">
        <v>261294.78794094999</v>
      </c>
      <c r="Y19" s="3471">
        <v>281111.41002235992</v>
      </c>
      <c r="Z19" s="3472">
        <v>289166.72246190003</v>
      </c>
      <c r="AA19" s="3472">
        <v>297991.19929449994</v>
      </c>
    </row>
    <row r="20" spans="1:27" s="11" customFormat="1" ht="11.25" customHeight="1" x14ac:dyDescent="0.2">
      <c r="A20" s="5"/>
      <c r="B20" s="6"/>
      <c r="C20" s="6"/>
      <c r="D20" s="10" t="s">
        <v>1548</v>
      </c>
      <c r="E20" s="722"/>
      <c r="F20" s="3471">
        <v>7200.4589999999998</v>
      </c>
      <c r="G20" s="3471">
        <v>5638.5659999999998</v>
      </c>
      <c r="H20" s="3471">
        <v>6052.5</v>
      </c>
      <c r="I20" s="3471">
        <v>6778.0690000000004</v>
      </c>
      <c r="J20" s="3471">
        <v>8226.5769999999993</v>
      </c>
      <c r="K20" s="3471">
        <v>8680.1290000000008</v>
      </c>
      <c r="L20" s="3471">
        <v>9619.759</v>
      </c>
      <c r="M20" s="3471">
        <v>8414.2780000000002</v>
      </c>
      <c r="N20" s="3471">
        <v>12888.365</v>
      </c>
      <c r="O20" s="3471">
        <v>18303.465</v>
      </c>
      <c r="P20" s="3471">
        <v>23697.003000000001</v>
      </c>
      <c r="Q20" s="3471">
        <v>26469.759999999998</v>
      </c>
      <c r="R20" s="3471">
        <v>22751.023000000001</v>
      </c>
      <c r="S20" s="3471">
        <v>19577.114634760001</v>
      </c>
      <c r="T20" s="3471">
        <v>26637.437791249999</v>
      </c>
      <c r="U20" s="3471">
        <v>34197.900631880002</v>
      </c>
      <c r="V20" s="3471">
        <v>38997.93341148</v>
      </c>
      <c r="W20" s="3471">
        <v>44178.728258979994</v>
      </c>
      <c r="X20" s="3471">
        <v>40678.794854979998</v>
      </c>
      <c r="Y20" s="3471">
        <v>46250.125479700015</v>
      </c>
      <c r="Z20" s="3472">
        <v>45579.082852109997</v>
      </c>
      <c r="AA20" s="3472">
        <v>34431.488866660002</v>
      </c>
    </row>
    <row r="21" spans="1:27" s="11" customFormat="1" ht="11.25" customHeight="1" x14ac:dyDescent="0.2">
      <c r="A21" s="5"/>
      <c r="B21" s="6"/>
      <c r="C21" s="6"/>
      <c r="D21" s="10" t="s">
        <v>1549</v>
      </c>
      <c r="E21" s="722"/>
      <c r="F21" s="3471">
        <v>27724.160000000003</v>
      </c>
      <c r="G21" s="3471">
        <v>31554.447000000015</v>
      </c>
      <c r="H21" s="3471">
        <v>36683.800000000017</v>
      </c>
      <c r="I21" s="3471">
        <v>39375.679000000004</v>
      </c>
      <c r="J21" s="3471">
        <v>41682.559000000008</v>
      </c>
      <c r="K21" s="3471">
        <v>49817.583999999973</v>
      </c>
      <c r="L21" s="3471">
        <v>52358.309999999969</v>
      </c>
      <c r="M21" s="3471">
        <v>54035.543000000005</v>
      </c>
      <c r="N21" s="3471">
        <v>60605.877999999968</v>
      </c>
      <c r="O21" s="3471">
        <v>70797.258622029913</v>
      </c>
      <c r="P21" s="3471">
        <v>75881.034530130099</v>
      </c>
      <c r="Q21" s="3471">
        <v>84727.221093109925</v>
      </c>
      <c r="R21" s="3471">
        <v>84735.746398760006</v>
      </c>
      <c r="S21" s="3471">
        <v>87725.541454540042</v>
      </c>
      <c r="T21" s="3471">
        <v>101243.07753865025</v>
      </c>
      <c r="U21" s="3471">
        <v>112820.28786277992</v>
      </c>
      <c r="V21" s="3471">
        <v>122230.47644532006</v>
      </c>
      <c r="W21" s="3471">
        <v>127720.29897502984</v>
      </c>
      <c r="X21" s="3471">
        <v>143781.77298686979</v>
      </c>
      <c r="Y21" s="3471">
        <v>159956.03369855997</v>
      </c>
      <c r="Z21" s="3472">
        <v>163172.55861854996</v>
      </c>
      <c r="AA21" s="3472">
        <v>200899.46480246016</v>
      </c>
    </row>
    <row r="22" spans="1:27" s="11" customFormat="1" ht="11.25" x14ac:dyDescent="0.2">
      <c r="A22" s="5"/>
      <c r="B22" s="6"/>
      <c r="C22" s="6"/>
      <c r="D22" s="3473" t="s">
        <v>257</v>
      </c>
      <c r="E22" s="1742"/>
      <c r="F22" s="3474">
        <v>147.33233900000002</v>
      </c>
      <c r="G22" s="3474">
        <v>165.32744</v>
      </c>
      <c r="H22" s="3474">
        <v>184.84450000000001</v>
      </c>
      <c r="I22" s="3474">
        <v>201.38604999999998</v>
      </c>
      <c r="J22" s="3474">
        <v>220.33414599999998</v>
      </c>
      <c r="K22" s="3474">
        <v>252.29831000000007</v>
      </c>
      <c r="L22" s="3474">
        <v>281.91052255345011</v>
      </c>
      <c r="M22" s="3474">
        <v>302.44255008468997</v>
      </c>
      <c r="N22" s="3474">
        <v>354.97803882381993</v>
      </c>
      <c r="O22" s="3474">
        <v>417.19517872505008</v>
      </c>
      <c r="P22" s="3474">
        <v>495.54861673687003</v>
      </c>
      <c r="Q22" s="3474">
        <v>572.8145204818901</v>
      </c>
      <c r="R22" s="3474">
        <v>625.10016497885999</v>
      </c>
      <c r="S22" s="3474">
        <v>598.70544350239004</v>
      </c>
      <c r="T22" s="3474">
        <v>674.18314589066006</v>
      </c>
      <c r="U22" s="3474">
        <v>742.64971317847994</v>
      </c>
      <c r="V22" s="3474">
        <v>813.82581486336994</v>
      </c>
      <c r="W22" s="3474">
        <v>900.01472045816081</v>
      </c>
      <c r="X22" s="3474">
        <v>986.3</v>
      </c>
      <c r="Y22" s="3474">
        <v>1070</v>
      </c>
      <c r="Z22" s="3475">
        <v>1144</v>
      </c>
      <c r="AA22" s="3475">
        <v>1216.46</v>
      </c>
    </row>
    <row r="23" spans="1:27" s="11" customFormat="1" ht="11.25" x14ac:dyDescent="0.2">
      <c r="A23" s="5"/>
      <c r="B23" s="6"/>
      <c r="C23" s="6"/>
      <c r="D23" s="2040"/>
      <c r="E23" s="722"/>
      <c r="F23" s="3476"/>
      <c r="G23" s="3476">
        <f t="shared" ref="G23:X23" si="1">G22/F22-1</f>
        <v>0.1221395188737211</v>
      </c>
      <c r="H23" s="3476">
        <f t="shared" si="1"/>
        <v>0.11805094181582931</v>
      </c>
      <c r="I23" s="3476">
        <f t="shared" si="1"/>
        <v>8.9489002918669236E-2</v>
      </c>
      <c r="J23" s="3476">
        <f t="shared" si="1"/>
        <v>9.4088423701641721E-2</v>
      </c>
      <c r="K23" s="3476">
        <f t="shared" si="1"/>
        <v>0.1450713136401478</v>
      </c>
      <c r="L23" s="3476">
        <f t="shared" si="1"/>
        <v>0.11736984109584414</v>
      </c>
      <c r="M23" s="3476">
        <f t="shared" si="1"/>
        <v>7.2831717472862323E-2</v>
      </c>
      <c r="N23" s="3476">
        <f t="shared" si="1"/>
        <v>0.1737040265148504</v>
      </c>
      <c r="O23" s="3476">
        <f t="shared" si="1"/>
        <v>0.17527039167656588</v>
      </c>
      <c r="P23" s="3476">
        <f t="shared" si="1"/>
        <v>0.18781002755417342</v>
      </c>
      <c r="Q23" s="3476">
        <f t="shared" si="1"/>
        <v>0.15591992618969863</v>
      </c>
      <c r="R23" s="3476">
        <f t="shared" si="1"/>
        <v>9.1278490030217263E-2</v>
      </c>
      <c r="S23" s="3476">
        <f t="shared" si="1"/>
        <v>-4.2224787250476181E-2</v>
      </c>
      <c r="T23" s="3476">
        <f t="shared" si="1"/>
        <v>0.12606817460474407</v>
      </c>
      <c r="U23" s="3476">
        <f t="shared" si="1"/>
        <v>0.10155484856769759</v>
      </c>
      <c r="V23" s="3476">
        <f t="shared" si="1"/>
        <v>9.5840744865115735E-2</v>
      </c>
      <c r="W23" s="3476">
        <f t="shared" si="1"/>
        <v>0.1059058388425056</v>
      </c>
      <c r="X23" s="3476">
        <f t="shared" si="1"/>
        <v>9.5870964752570842E-2</v>
      </c>
      <c r="Y23" s="3476">
        <f>Y22/X22-1</f>
        <v>8.4862617864747136E-2</v>
      </c>
      <c r="Z23" s="3477">
        <f>Z22/Y22-1</f>
        <v>6.9158878504672838E-2</v>
      </c>
      <c r="AA23" s="3477">
        <f>AA22/Z22-1</f>
        <v>6.3339160839160913E-2</v>
      </c>
    </row>
    <row r="24" spans="1:27" s="11" customFormat="1" x14ac:dyDescent="0.2">
      <c r="A24" s="5"/>
      <c r="B24" s="6"/>
      <c r="C24" s="6"/>
      <c r="D24" s="2040"/>
      <c r="E24" s="722"/>
      <c r="F24" s="3421"/>
      <c r="G24" s="3421"/>
      <c r="H24" s="3421"/>
      <c r="I24" s="3421"/>
      <c r="J24" s="3421"/>
      <c r="K24" s="3421"/>
      <c r="L24" s="3421"/>
      <c r="M24" s="3421"/>
      <c r="N24" s="3421"/>
      <c r="O24" s="3421"/>
      <c r="P24" s="3478"/>
      <c r="Q24" s="3478"/>
      <c r="R24" s="3478"/>
      <c r="S24" s="3479"/>
      <c r="T24" s="3479"/>
      <c r="U24" s="3479"/>
      <c r="W24" s="3480"/>
      <c r="X24" s="3481"/>
    </row>
    <row r="25" spans="1:27" ht="12.75" x14ac:dyDescent="0.2">
      <c r="A25" s="1">
        <v>5</v>
      </c>
      <c r="B25" s="1" t="s">
        <v>90</v>
      </c>
      <c r="C25" s="1"/>
      <c r="V25" s="3483"/>
      <c r="W25" s="3480"/>
    </row>
    <row r="26" spans="1:27" x14ac:dyDescent="0.2">
      <c r="V26" s="3483"/>
      <c r="W26" s="3480"/>
    </row>
    <row r="27" spans="1:27" x14ac:dyDescent="0.2">
      <c r="M27" s="732"/>
      <c r="V27" s="3484"/>
      <c r="W27" s="3483"/>
    </row>
    <row r="28" spans="1:27" x14ac:dyDescent="0.2">
      <c r="M28" s="751"/>
      <c r="V28" s="3483"/>
      <c r="W28" s="3485"/>
    </row>
    <row r="29" spans="1:27" x14ac:dyDescent="0.2">
      <c r="M29" s="751"/>
      <c r="W29" s="3486"/>
    </row>
    <row r="30" spans="1:27" x14ac:dyDescent="0.2">
      <c r="M30" s="751"/>
      <c r="W30" s="3486"/>
    </row>
    <row r="31" spans="1:27" x14ac:dyDescent="0.2">
      <c r="M31" s="751"/>
    </row>
    <row r="32" spans="1:27" x14ac:dyDescent="0.2">
      <c r="M32" s="751"/>
      <c r="W32" s="3487"/>
    </row>
    <row r="33" spans="1:27" x14ac:dyDescent="0.2">
      <c r="M33" s="751"/>
      <c r="W33" s="3487"/>
    </row>
    <row r="34" spans="1:27" x14ac:dyDescent="0.2">
      <c r="M34" s="751"/>
      <c r="W34" s="3487"/>
    </row>
    <row r="35" spans="1:27" x14ac:dyDescent="0.2">
      <c r="M35" s="751"/>
    </row>
    <row r="36" spans="1:27" x14ac:dyDescent="0.2">
      <c r="B36" s="3030"/>
      <c r="M36" s="751"/>
    </row>
    <row r="37" spans="1:27" x14ac:dyDescent="0.2">
      <c r="M37" s="751"/>
    </row>
    <row r="38" spans="1:27" x14ac:dyDescent="0.2">
      <c r="M38" s="751"/>
    </row>
    <row r="39" spans="1:27" x14ac:dyDescent="0.2">
      <c r="M39" s="751"/>
    </row>
    <row r="40" spans="1:27" x14ac:dyDescent="0.2">
      <c r="M40" s="751"/>
    </row>
    <row r="41" spans="1:27" x14ac:dyDescent="0.2">
      <c r="M41" s="751"/>
    </row>
    <row r="42" spans="1:27" x14ac:dyDescent="0.2">
      <c r="M42" s="751"/>
    </row>
    <row r="43" spans="1:27" x14ac:dyDescent="0.2">
      <c r="M43" s="751"/>
    </row>
    <row r="44" spans="1:27" x14ac:dyDescent="0.2">
      <c r="M44" s="751"/>
    </row>
    <row r="45" spans="1:27" x14ac:dyDescent="0.2">
      <c r="M45" s="751"/>
    </row>
    <row r="46" spans="1:27" s="943" customFormat="1" ht="14.25" customHeight="1" x14ac:dyDescent="0.2">
      <c r="A46" s="1">
        <v>6</v>
      </c>
      <c r="B46" s="1" t="s">
        <v>29</v>
      </c>
      <c r="C46" s="1"/>
      <c r="D46" s="4140" t="s">
        <v>1550</v>
      </c>
      <c r="E46" s="4141"/>
      <c r="F46" s="4141"/>
      <c r="G46" s="4141"/>
      <c r="H46" s="4141"/>
      <c r="I46" s="4141"/>
      <c r="J46" s="4141"/>
      <c r="K46" s="4141"/>
      <c r="L46" s="4141"/>
      <c r="M46" s="4141"/>
      <c r="N46" s="4141"/>
      <c r="O46" s="4141"/>
      <c r="P46" s="4141"/>
      <c r="Q46" s="4141"/>
      <c r="R46" s="4141"/>
      <c r="S46" s="4141"/>
      <c r="T46" s="4141"/>
      <c r="U46" s="4141"/>
      <c r="V46" s="4141"/>
      <c r="W46" s="4141"/>
      <c r="X46" s="4141"/>
      <c r="Y46" s="4141"/>
      <c r="Z46" s="4141"/>
      <c r="AA46" s="4142"/>
    </row>
    <row r="47" spans="1:27" s="943" customFormat="1" ht="27" customHeight="1" x14ac:dyDescent="0.2">
      <c r="A47" s="40">
        <v>7</v>
      </c>
      <c r="B47" s="40" t="s">
        <v>32</v>
      </c>
      <c r="C47" s="40"/>
      <c r="D47" s="4140" t="s">
        <v>1551</v>
      </c>
      <c r="E47" s="4141"/>
      <c r="F47" s="4141"/>
      <c r="G47" s="4141"/>
      <c r="H47" s="4141"/>
      <c r="I47" s="4141"/>
      <c r="J47" s="4141"/>
      <c r="K47" s="4141"/>
      <c r="L47" s="4141"/>
      <c r="M47" s="4141"/>
      <c r="N47" s="4141"/>
      <c r="O47" s="4141"/>
      <c r="P47" s="4141"/>
      <c r="Q47" s="4141"/>
      <c r="R47" s="4141"/>
      <c r="S47" s="4141"/>
      <c r="T47" s="4141"/>
      <c r="U47" s="4141"/>
      <c r="V47" s="4141"/>
      <c r="W47" s="4141"/>
      <c r="X47" s="4141"/>
      <c r="Y47" s="4141"/>
      <c r="Z47" s="4141"/>
      <c r="AA47" s="4142"/>
    </row>
    <row r="48" spans="1:27" s="943" customFormat="1" ht="15.75" customHeight="1" x14ac:dyDescent="0.2">
      <c r="A48" s="1">
        <v>8</v>
      </c>
      <c r="B48" s="1" t="s">
        <v>31</v>
      </c>
      <c r="C48" s="1"/>
      <c r="D48" s="4140" t="s">
        <v>1552</v>
      </c>
      <c r="E48" s="4141"/>
      <c r="F48" s="4141"/>
      <c r="G48" s="4141"/>
      <c r="H48" s="4141"/>
      <c r="I48" s="4141"/>
      <c r="J48" s="4141"/>
      <c r="K48" s="4141"/>
      <c r="L48" s="4141"/>
      <c r="M48" s="4141"/>
      <c r="N48" s="4141"/>
      <c r="O48" s="4141"/>
      <c r="P48" s="4141"/>
      <c r="Q48" s="4141"/>
      <c r="R48" s="4141"/>
      <c r="S48" s="4141"/>
      <c r="T48" s="4141"/>
      <c r="U48" s="4141"/>
      <c r="V48" s="4141"/>
      <c r="W48" s="4141"/>
      <c r="X48" s="4141"/>
      <c r="Y48" s="4141"/>
      <c r="Z48" s="4141"/>
      <c r="AA48" s="4142"/>
    </row>
    <row r="49" spans="1:27" s="943" customFormat="1" ht="38.25" customHeight="1" x14ac:dyDescent="0.2">
      <c r="A49" s="1">
        <v>9</v>
      </c>
      <c r="B49" s="1" t="s">
        <v>34</v>
      </c>
      <c r="C49" s="1"/>
      <c r="D49" s="4140" t="s">
        <v>1553</v>
      </c>
      <c r="E49" s="4141"/>
      <c r="F49" s="4141"/>
      <c r="G49" s="4141"/>
      <c r="H49" s="4141"/>
      <c r="I49" s="4141"/>
      <c r="J49" s="4141"/>
      <c r="K49" s="4141"/>
      <c r="L49" s="4141"/>
      <c r="M49" s="4141"/>
      <c r="N49" s="4141"/>
      <c r="O49" s="4141"/>
      <c r="P49" s="4141"/>
      <c r="Q49" s="4141"/>
      <c r="R49" s="4141"/>
      <c r="S49" s="4141"/>
      <c r="T49" s="4141"/>
      <c r="U49" s="4141"/>
      <c r="V49" s="4141"/>
      <c r="W49" s="4141"/>
      <c r="X49" s="4141"/>
      <c r="Y49" s="4141"/>
      <c r="Z49" s="4141"/>
      <c r="AA49" s="4142"/>
    </row>
  </sheetData>
  <mergeCells count="7">
    <mergeCell ref="D49:AA49"/>
    <mergeCell ref="D2:AA2"/>
    <mergeCell ref="D3:AA3"/>
    <mergeCell ref="D4:AA4"/>
    <mergeCell ref="D47:AA47"/>
    <mergeCell ref="D48:AA48"/>
    <mergeCell ref="D46:AA46"/>
  </mergeCells>
  <pageMargins left="0.74803149606299213" right="0.74803149606299213" top="0.98425196850393704" bottom="0.98425196850393704" header="0.51181102362204722" footer="0.51181102362204722"/>
  <pageSetup paperSize="9" scale="4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52"/>
  <sheetViews>
    <sheetView showGridLines="0" view="pageBreakPreview" zoomScaleNormal="100" zoomScaleSheetLayoutView="100" workbookViewId="0">
      <selection activeCell="C2" sqref="C2"/>
    </sheetView>
  </sheetViews>
  <sheetFormatPr defaultColWidth="9.140625" defaultRowHeight="12" x14ac:dyDescent="0.2"/>
  <cols>
    <col min="1" max="1" width="3.7109375" style="3024" customWidth="1"/>
    <col min="2" max="2" width="14.42578125" style="3025" customWidth="1"/>
    <col min="3" max="3" width="3.7109375" style="3025" customWidth="1"/>
    <col min="4" max="4" width="23.42578125" style="733" customWidth="1"/>
    <col min="5" max="5" width="8.28515625" style="733" customWidth="1"/>
    <col min="6" max="10" width="8.28515625" style="3482" customWidth="1"/>
    <col min="11" max="14" width="8.28515625" style="733" customWidth="1"/>
    <col min="15" max="258" width="9.140625" style="733"/>
    <col min="259" max="259" width="3.7109375" style="733" customWidth="1"/>
    <col min="260" max="260" width="14.42578125" style="733" customWidth="1"/>
    <col min="261" max="261" width="3.7109375" style="733" customWidth="1"/>
    <col min="262" max="262" width="22.140625" style="733" bestFit="1" customWidth="1"/>
    <col min="263" max="272" width="8.28515625" style="733" customWidth="1"/>
    <col min="273" max="514" width="9.140625" style="733"/>
    <col min="515" max="515" width="3.7109375" style="733" customWidth="1"/>
    <col min="516" max="516" width="14.42578125" style="733" customWidth="1"/>
    <col min="517" max="517" width="3.7109375" style="733" customWidth="1"/>
    <col min="518" max="518" width="22.140625" style="733" bestFit="1" customWidth="1"/>
    <col min="519" max="528" width="8.28515625" style="733" customWidth="1"/>
    <col min="529" max="770" width="9.140625" style="733"/>
    <col min="771" max="771" width="3.7109375" style="733" customWidth="1"/>
    <col min="772" max="772" width="14.42578125" style="733" customWidth="1"/>
    <col min="773" max="773" width="3.7109375" style="733" customWidth="1"/>
    <col min="774" max="774" width="22.140625" style="733" bestFit="1" customWidth="1"/>
    <col min="775" max="784" width="8.28515625" style="733" customWidth="1"/>
    <col min="785" max="1026" width="9.140625" style="733"/>
    <col min="1027" max="1027" width="3.7109375" style="733" customWidth="1"/>
    <col min="1028" max="1028" width="14.42578125" style="733" customWidth="1"/>
    <col min="1029" max="1029" width="3.7109375" style="733" customWidth="1"/>
    <col min="1030" max="1030" width="22.140625" style="733" bestFit="1" customWidth="1"/>
    <col min="1031" max="1040" width="8.28515625" style="733" customWidth="1"/>
    <col min="1041" max="1282" width="9.140625" style="733"/>
    <col min="1283" max="1283" width="3.7109375" style="733" customWidth="1"/>
    <col min="1284" max="1284" width="14.42578125" style="733" customWidth="1"/>
    <col min="1285" max="1285" width="3.7109375" style="733" customWidth="1"/>
    <col min="1286" max="1286" width="22.140625" style="733" bestFit="1" customWidth="1"/>
    <col min="1287" max="1296" width="8.28515625" style="733" customWidth="1"/>
    <col min="1297" max="1538" width="9.140625" style="733"/>
    <col min="1539" max="1539" width="3.7109375" style="733" customWidth="1"/>
    <col min="1540" max="1540" width="14.42578125" style="733" customWidth="1"/>
    <col min="1541" max="1541" width="3.7109375" style="733" customWidth="1"/>
    <col min="1542" max="1542" width="22.140625" style="733" bestFit="1" customWidth="1"/>
    <col min="1543" max="1552" width="8.28515625" style="733" customWidth="1"/>
    <col min="1553" max="1794" width="9.140625" style="733"/>
    <col min="1795" max="1795" width="3.7109375" style="733" customWidth="1"/>
    <col min="1796" max="1796" width="14.42578125" style="733" customWidth="1"/>
    <col min="1797" max="1797" width="3.7109375" style="733" customWidth="1"/>
    <col min="1798" max="1798" width="22.140625" style="733" bestFit="1" customWidth="1"/>
    <col min="1799" max="1808" width="8.28515625" style="733" customWidth="1"/>
    <col min="1809" max="2050" width="9.140625" style="733"/>
    <col min="2051" max="2051" width="3.7109375" style="733" customWidth="1"/>
    <col min="2052" max="2052" width="14.42578125" style="733" customWidth="1"/>
    <col min="2053" max="2053" width="3.7109375" style="733" customWidth="1"/>
    <col min="2054" max="2054" width="22.140625" style="733" bestFit="1" customWidth="1"/>
    <col min="2055" max="2064" width="8.28515625" style="733" customWidth="1"/>
    <col min="2065" max="2306" width="9.140625" style="733"/>
    <col min="2307" max="2307" width="3.7109375" style="733" customWidth="1"/>
    <col min="2308" max="2308" width="14.42578125" style="733" customWidth="1"/>
    <col min="2309" max="2309" width="3.7109375" style="733" customWidth="1"/>
    <col min="2310" max="2310" width="22.140625" style="733" bestFit="1" customWidth="1"/>
    <col min="2311" max="2320" width="8.28515625" style="733" customWidth="1"/>
    <col min="2321" max="2562" width="9.140625" style="733"/>
    <col min="2563" max="2563" width="3.7109375" style="733" customWidth="1"/>
    <col min="2564" max="2564" width="14.42578125" style="733" customWidth="1"/>
    <col min="2565" max="2565" width="3.7109375" style="733" customWidth="1"/>
    <col min="2566" max="2566" width="22.140625" style="733" bestFit="1" customWidth="1"/>
    <col min="2567" max="2576" width="8.28515625" style="733" customWidth="1"/>
    <col min="2577" max="2818" width="9.140625" style="733"/>
    <col min="2819" max="2819" width="3.7109375" style="733" customWidth="1"/>
    <col min="2820" max="2820" width="14.42578125" style="733" customWidth="1"/>
    <col min="2821" max="2821" width="3.7109375" style="733" customWidth="1"/>
    <col min="2822" max="2822" width="22.140625" style="733" bestFit="1" customWidth="1"/>
    <col min="2823" max="2832" width="8.28515625" style="733" customWidth="1"/>
    <col min="2833" max="3074" width="9.140625" style="733"/>
    <col min="3075" max="3075" width="3.7109375" style="733" customWidth="1"/>
    <col min="3076" max="3076" width="14.42578125" style="733" customWidth="1"/>
    <col min="3077" max="3077" width="3.7109375" style="733" customWidth="1"/>
    <col min="3078" max="3078" width="22.140625" style="733" bestFit="1" customWidth="1"/>
    <col min="3079" max="3088" width="8.28515625" style="733" customWidth="1"/>
    <col min="3089" max="3330" width="9.140625" style="733"/>
    <col min="3331" max="3331" width="3.7109375" style="733" customWidth="1"/>
    <col min="3332" max="3332" width="14.42578125" style="733" customWidth="1"/>
    <col min="3333" max="3333" width="3.7109375" style="733" customWidth="1"/>
    <col min="3334" max="3334" width="22.140625" style="733" bestFit="1" customWidth="1"/>
    <col min="3335" max="3344" width="8.28515625" style="733" customWidth="1"/>
    <col min="3345" max="3586" width="9.140625" style="733"/>
    <col min="3587" max="3587" width="3.7109375" style="733" customWidth="1"/>
    <col min="3588" max="3588" width="14.42578125" style="733" customWidth="1"/>
    <col min="3589" max="3589" width="3.7109375" style="733" customWidth="1"/>
    <col min="3590" max="3590" width="22.140625" style="733" bestFit="1" customWidth="1"/>
    <col min="3591" max="3600" width="8.28515625" style="733" customWidth="1"/>
    <col min="3601" max="3842" width="9.140625" style="733"/>
    <col min="3843" max="3843" width="3.7109375" style="733" customWidth="1"/>
    <col min="3844" max="3844" width="14.42578125" style="733" customWidth="1"/>
    <col min="3845" max="3845" width="3.7109375" style="733" customWidth="1"/>
    <col min="3846" max="3846" width="22.140625" style="733" bestFit="1" customWidth="1"/>
    <col min="3847" max="3856" width="8.28515625" style="733" customWidth="1"/>
    <col min="3857" max="4098" width="9.140625" style="733"/>
    <col min="4099" max="4099" width="3.7109375" style="733" customWidth="1"/>
    <col min="4100" max="4100" width="14.42578125" style="733" customWidth="1"/>
    <col min="4101" max="4101" width="3.7109375" style="733" customWidth="1"/>
    <col min="4102" max="4102" width="22.140625" style="733" bestFit="1" customWidth="1"/>
    <col min="4103" max="4112" width="8.28515625" style="733" customWidth="1"/>
    <col min="4113" max="4354" width="9.140625" style="733"/>
    <col min="4355" max="4355" width="3.7109375" style="733" customWidth="1"/>
    <col min="4356" max="4356" width="14.42578125" style="733" customWidth="1"/>
    <col min="4357" max="4357" width="3.7109375" style="733" customWidth="1"/>
    <col min="4358" max="4358" width="22.140625" style="733" bestFit="1" customWidth="1"/>
    <col min="4359" max="4368" width="8.28515625" style="733" customWidth="1"/>
    <col min="4369" max="4610" width="9.140625" style="733"/>
    <col min="4611" max="4611" width="3.7109375" style="733" customWidth="1"/>
    <col min="4612" max="4612" width="14.42578125" style="733" customWidth="1"/>
    <col min="4613" max="4613" width="3.7109375" style="733" customWidth="1"/>
    <col min="4614" max="4614" width="22.140625" style="733" bestFit="1" customWidth="1"/>
    <col min="4615" max="4624" width="8.28515625" style="733" customWidth="1"/>
    <col min="4625" max="4866" width="9.140625" style="733"/>
    <col min="4867" max="4867" width="3.7109375" style="733" customWidth="1"/>
    <col min="4868" max="4868" width="14.42578125" style="733" customWidth="1"/>
    <col min="4869" max="4869" width="3.7109375" style="733" customWidth="1"/>
    <col min="4870" max="4870" width="22.140625" style="733" bestFit="1" customWidth="1"/>
    <col min="4871" max="4880" width="8.28515625" style="733" customWidth="1"/>
    <col min="4881" max="5122" width="9.140625" style="733"/>
    <col min="5123" max="5123" width="3.7109375" style="733" customWidth="1"/>
    <col min="5124" max="5124" width="14.42578125" style="733" customWidth="1"/>
    <col min="5125" max="5125" width="3.7109375" style="733" customWidth="1"/>
    <col min="5126" max="5126" width="22.140625" style="733" bestFit="1" customWidth="1"/>
    <col min="5127" max="5136" width="8.28515625" style="733" customWidth="1"/>
    <col min="5137" max="5378" width="9.140625" style="733"/>
    <col min="5379" max="5379" width="3.7109375" style="733" customWidth="1"/>
    <col min="5380" max="5380" width="14.42578125" style="733" customWidth="1"/>
    <col min="5381" max="5381" width="3.7109375" style="733" customWidth="1"/>
    <col min="5382" max="5382" width="22.140625" style="733" bestFit="1" customWidth="1"/>
    <col min="5383" max="5392" width="8.28515625" style="733" customWidth="1"/>
    <col min="5393" max="5634" width="9.140625" style="733"/>
    <col min="5635" max="5635" width="3.7109375" style="733" customWidth="1"/>
    <col min="5636" max="5636" width="14.42578125" style="733" customWidth="1"/>
    <col min="5637" max="5637" width="3.7109375" style="733" customWidth="1"/>
    <col min="5638" max="5638" width="22.140625" style="733" bestFit="1" customWidth="1"/>
    <col min="5639" max="5648" width="8.28515625" style="733" customWidth="1"/>
    <col min="5649" max="5890" width="9.140625" style="733"/>
    <col min="5891" max="5891" width="3.7109375" style="733" customWidth="1"/>
    <col min="5892" max="5892" width="14.42578125" style="733" customWidth="1"/>
    <col min="5893" max="5893" width="3.7109375" style="733" customWidth="1"/>
    <col min="5894" max="5894" width="22.140625" style="733" bestFit="1" customWidth="1"/>
    <col min="5895" max="5904" width="8.28515625" style="733" customWidth="1"/>
    <col min="5905" max="6146" width="9.140625" style="733"/>
    <col min="6147" max="6147" width="3.7109375" style="733" customWidth="1"/>
    <col min="6148" max="6148" width="14.42578125" style="733" customWidth="1"/>
    <col min="6149" max="6149" width="3.7109375" style="733" customWidth="1"/>
    <col min="6150" max="6150" width="22.140625" style="733" bestFit="1" customWidth="1"/>
    <col min="6151" max="6160" width="8.28515625" style="733" customWidth="1"/>
    <col min="6161" max="6402" width="9.140625" style="733"/>
    <col min="6403" max="6403" width="3.7109375" style="733" customWidth="1"/>
    <col min="6404" max="6404" width="14.42578125" style="733" customWidth="1"/>
    <col min="6405" max="6405" width="3.7109375" style="733" customWidth="1"/>
    <col min="6406" max="6406" width="22.140625" style="733" bestFit="1" customWidth="1"/>
    <col min="6407" max="6416" width="8.28515625" style="733" customWidth="1"/>
    <col min="6417" max="6658" width="9.140625" style="733"/>
    <col min="6659" max="6659" width="3.7109375" style="733" customWidth="1"/>
    <col min="6660" max="6660" width="14.42578125" style="733" customWidth="1"/>
    <col min="6661" max="6661" width="3.7109375" style="733" customWidth="1"/>
    <col min="6662" max="6662" width="22.140625" style="733" bestFit="1" customWidth="1"/>
    <col min="6663" max="6672" width="8.28515625" style="733" customWidth="1"/>
    <col min="6673" max="6914" width="9.140625" style="733"/>
    <col min="6915" max="6915" width="3.7109375" style="733" customWidth="1"/>
    <col min="6916" max="6916" width="14.42578125" style="733" customWidth="1"/>
    <col min="6917" max="6917" width="3.7109375" style="733" customWidth="1"/>
    <col min="6918" max="6918" width="22.140625" style="733" bestFit="1" customWidth="1"/>
    <col min="6919" max="6928" width="8.28515625" style="733" customWidth="1"/>
    <col min="6929" max="7170" width="9.140625" style="733"/>
    <col min="7171" max="7171" width="3.7109375" style="733" customWidth="1"/>
    <col min="7172" max="7172" width="14.42578125" style="733" customWidth="1"/>
    <col min="7173" max="7173" width="3.7109375" style="733" customWidth="1"/>
    <col min="7174" max="7174" width="22.140625" style="733" bestFit="1" customWidth="1"/>
    <col min="7175" max="7184" width="8.28515625" style="733" customWidth="1"/>
    <col min="7185" max="7426" width="9.140625" style="733"/>
    <col min="7427" max="7427" width="3.7109375" style="733" customWidth="1"/>
    <col min="7428" max="7428" width="14.42578125" style="733" customWidth="1"/>
    <col min="7429" max="7429" width="3.7109375" style="733" customWidth="1"/>
    <col min="7430" max="7430" width="22.140625" style="733" bestFit="1" customWidth="1"/>
    <col min="7431" max="7440" width="8.28515625" style="733" customWidth="1"/>
    <col min="7441" max="7682" width="9.140625" style="733"/>
    <col min="7683" max="7683" width="3.7109375" style="733" customWidth="1"/>
    <col min="7684" max="7684" width="14.42578125" style="733" customWidth="1"/>
    <col min="7685" max="7685" width="3.7109375" style="733" customWidth="1"/>
    <col min="7686" max="7686" width="22.140625" style="733" bestFit="1" customWidth="1"/>
    <col min="7687" max="7696" width="8.28515625" style="733" customWidth="1"/>
    <col min="7697" max="7938" width="9.140625" style="733"/>
    <col min="7939" max="7939" width="3.7109375" style="733" customWidth="1"/>
    <col min="7940" max="7940" width="14.42578125" style="733" customWidth="1"/>
    <col min="7941" max="7941" width="3.7109375" style="733" customWidth="1"/>
    <col min="7942" max="7942" width="22.140625" style="733" bestFit="1" customWidth="1"/>
    <col min="7943" max="7952" width="8.28515625" style="733" customWidth="1"/>
    <col min="7953" max="8194" width="9.140625" style="733"/>
    <col min="8195" max="8195" width="3.7109375" style="733" customWidth="1"/>
    <col min="8196" max="8196" width="14.42578125" style="733" customWidth="1"/>
    <col min="8197" max="8197" width="3.7109375" style="733" customWidth="1"/>
    <col min="8198" max="8198" width="22.140625" style="733" bestFit="1" customWidth="1"/>
    <col min="8199" max="8208" width="8.28515625" style="733" customWidth="1"/>
    <col min="8209" max="8450" width="9.140625" style="733"/>
    <col min="8451" max="8451" width="3.7109375" style="733" customWidth="1"/>
    <col min="8452" max="8452" width="14.42578125" style="733" customWidth="1"/>
    <col min="8453" max="8453" width="3.7109375" style="733" customWidth="1"/>
    <col min="8454" max="8454" width="22.140625" style="733" bestFit="1" customWidth="1"/>
    <col min="8455" max="8464" width="8.28515625" style="733" customWidth="1"/>
    <col min="8465" max="8706" width="9.140625" style="733"/>
    <col min="8707" max="8707" width="3.7109375" style="733" customWidth="1"/>
    <col min="8708" max="8708" width="14.42578125" style="733" customWidth="1"/>
    <col min="8709" max="8709" width="3.7109375" style="733" customWidth="1"/>
    <col min="8710" max="8710" width="22.140625" style="733" bestFit="1" customWidth="1"/>
    <col min="8711" max="8720" width="8.28515625" style="733" customWidth="1"/>
    <col min="8721" max="8962" width="9.140625" style="733"/>
    <col min="8963" max="8963" width="3.7109375" style="733" customWidth="1"/>
    <col min="8964" max="8964" width="14.42578125" style="733" customWidth="1"/>
    <col min="8965" max="8965" width="3.7109375" style="733" customWidth="1"/>
    <col min="8966" max="8966" width="22.140625" style="733" bestFit="1" customWidth="1"/>
    <col min="8967" max="8976" width="8.28515625" style="733" customWidth="1"/>
    <col min="8977" max="9218" width="9.140625" style="733"/>
    <col min="9219" max="9219" width="3.7109375" style="733" customWidth="1"/>
    <col min="9220" max="9220" width="14.42578125" style="733" customWidth="1"/>
    <col min="9221" max="9221" width="3.7109375" style="733" customWidth="1"/>
    <col min="9222" max="9222" width="22.140625" style="733" bestFit="1" customWidth="1"/>
    <col min="9223" max="9232" width="8.28515625" style="733" customWidth="1"/>
    <col min="9233" max="9474" width="9.140625" style="733"/>
    <col min="9475" max="9475" width="3.7109375" style="733" customWidth="1"/>
    <col min="9476" max="9476" width="14.42578125" style="733" customWidth="1"/>
    <col min="9477" max="9477" width="3.7109375" style="733" customWidth="1"/>
    <col min="9478" max="9478" width="22.140625" style="733" bestFit="1" customWidth="1"/>
    <col min="9479" max="9488" width="8.28515625" style="733" customWidth="1"/>
    <col min="9489" max="9730" width="9.140625" style="733"/>
    <col min="9731" max="9731" width="3.7109375" style="733" customWidth="1"/>
    <col min="9732" max="9732" width="14.42578125" style="733" customWidth="1"/>
    <col min="9733" max="9733" width="3.7109375" style="733" customWidth="1"/>
    <col min="9734" max="9734" width="22.140625" style="733" bestFit="1" customWidth="1"/>
    <col min="9735" max="9744" width="8.28515625" style="733" customWidth="1"/>
    <col min="9745" max="9986" width="9.140625" style="733"/>
    <col min="9987" max="9987" width="3.7109375" style="733" customWidth="1"/>
    <col min="9988" max="9988" width="14.42578125" style="733" customWidth="1"/>
    <col min="9989" max="9989" width="3.7109375" style="733" customWidth="1"/>
    <col min="9990" max="9990" width="22.140625" style="733" bestFit="1" customWidth="1"/>
    <col min="9991" max="10000" width="8.28515625" style="733" customWidth="1"/>
    <col min="10001" max="10242" width="9.140625" style="733"/>
    <col min="10243" max="10243" width="3.7109375" style="733" customWidth="1"/>
    <col min="10244" max="10244" width="14.42578125" style="733" customWidth="1"/>
    <col min="10245" max="10245" width="3.7109375" style="733" customWidth="1"/>
    <col min="10246" max="10246" width="22.140625" style="733" bestFit="1" customWidth="1"/>
    <col min="10247" max="10256" width="8.28515625" style="733" customWidth="1"/>
    <col min="10257" max="10498" width="9.140625" style="733"/>
    <col min="10499" max="10499" width="3.7109375" style="733" customWidth="1"/>
    <col min="10500" max="10500" width="14.42578125" style="733" customWidth="1"/>
    <col min="10501" max="10501" width="3.7109375" style="733" customWidth="1"/>
    <col min="10502" max="10502" width="22.140625" style="733" bestFit="1" customWidth="1"/>
    <col min="10503" max="10512" width="8.28515625" style="733" customWidth="1"/>
    <col min="10513" max="10754" width="9.140625" style="733"/>
    <col min="10755" max="10755" width="3.7109375" style="733" customWidth="1"/>
    <col min="10756" max="10756" width="14.42578125" style="733" customWidth="1"/>
    <col min="10757" max="10757" width="3.7109375" style="733" customWidth="1"/>
    <col min="10758" max="10758" width="22.140625" style="733" bestFit="1" customWidth="1"/>
    <col min="10759" max="10768" width="8.28515625" style="733" customWidth="1"/>
    <col min="10769" max="11010" width="9.140625" style="733"/>
    <col min="11011" max="11011" width="3.7109375" style="733" customWidth="1"/>
    <col min="11012" max="11012" width="14.42578125" style="733" customWidth="1"/>
    <col min="11013" max="11013" width="3.7109375" style="733" customWidth="1"/>
    <col min="11014" max="11014" width="22.140625" style="733" bestFit="1" customWidth="1"/>
    <col min="11015" max="11024" width="8.28515625" style="733" customWidth="1"/>
    <col min="11025" max="11266" width="9.140625" style="733"/>
    <col min="11267" max="11267" width="3.7109375" style="733" customWidth="1"/>
    <col min="11268" max="11268" width="14.42578125" style="733" customWidth="1"/>
    <col min="11269" max="11269" width="3.7109375" style="733" customWidth="1"/>
    <col min="11270" max="11270" width="22.140625" style="733" bestFit="1" customWidth="1"/>
    <col min="11271" max="11280" width="8.28515625" style="733" customWidth="1"/>
    <col min="11281" max="11522" width="9.140625" style="733"/>
    <col min="11523" max="11523" width="3.7109375" style="733" customWidth="1"/>
    <col min="11524" max="11524" width="14.42578125" style="733" customWidth="1"/>
    <col min="11525" max="11525" width="3.7109375" style="733" customWidth="1"/>
    <col min="11526" max="11526" width="22.140625" style="733" bestFit="1" customWidth="1"/>
    <col min="11527" max="11536" width="8.28515625" style="733" customWidth="1"/>
    <col min="11537" max="11778" width="9.140625" style="733"/>
    <col min="11779" max="11779" width="3.7109375" style="733" customWidth="1"/>
    <col min="11780" max="11780" width="14.42578125" style="733" customWidth="1"/>
    <col min="11781" max="11781" width="3.7109375" style="733" customWidth="1"/>
    <col min="11782" max="11782" width="22.140625" style="733" bestFit="1" customWidth="1"/>
    <col min="11783" max="11792" width="8.28515625" style="733" customWidth="1"/>
    <col min="11793" max="12034" width="9.140625" style="733"/>
    <col min="12035" max="12035" width="3.7109375" style="733" customWidth="1"/>
    <col min="12036" max="12036" width="14.42578125" style="733" customWidth="1"/>
    <col min="12037" max="12037" width="3.7109375" style="733" customWidth="1"/>
    <col min="12038" max="12038" width="22.140625" style="733" bestFit="1" customWidth="1"/>
    <col min="12039" max="12048" width="8.28515625" style="733" customWidth="1"/>
    <col min="12049" max="12290" width="9.140625" style="733"/>
    <col min="12291" max="12291" width="3.7109375" style="733" customWidth="1"/>
    <col min="12292" max="12292" width="14.42578125" style="733" customWidth="1"/>
    <col min="12293" max="12293" width="3.7109375" style="733" customWidth="1"/>
    <col min="12294" max="12294" width="22.140625" style="733" bestFit="1" customWidth="1"/>
    <col min="12295" max="12304" width="8.28515625" style="733" customWidth="1"/>
    <col min="12305" max="12546" width="9.140625" style="733"/>
    <col min="12547" max="12547" width="3.7109375" style="733" customWidth="1"/>
    <col min="12548" max="12548" width="14.42578125" style="733" customWidth="1"/>
    <col min="12549" max="12549" width="3.7109375" style="733" customWidth="1"/>
    <col min="12550" max="12550" width="22.140625" style="733" bestFit="1" customWidth="1"/>
    <col min="12551" max="12560" width="8.28515625" style="733" customWidth="1"/>
    <col min="12561" max="12802" width="9.140625" style="733"/>
    <col min="12803" max="12803" width="3.7109375" style="733" customWidth="1"/>
    <col min="12804" max="12804" width="14.42578125" style="733" customWidth="1"/>
    <col min="12805" max="12805" width="3.7109375" style="733" customWidth="1"/>
    <col min="12806" max="12806" width="22.140625" style="733" bestFit="1" customWidth="1"/>
    <col min="12807" max="12816" width="8.28515625" style="733" customWidth="1"/>
    <col min="12817" max="13058" width="9.140625" style="733"/>
    <col min="13059" max="13059" width="3.7109375" style="733" customWidth="1"/>
    <col min="13060" max="13060" width="14.42578125" style="733" customWidth="1"/>
    <col min="13061" max="13061" width="3.7109375" style="733" customWidth="1"/>
    <col min="13062" max="13062" width="22.140625" style="733" bestFit="1" customWidth="1"/>
    <col min="13063" max="13072" width="8.28515625" style="733" customWidth="1"/>
    <col min="13073" max="13314" width="9.140625" style="733"/>
    <col min="13315" max="13315" width="3.7109375" style="733" customWidth="1"/>
    <col min="13316" max="13316" width="14.42578125" style="733" customWidth="1"/>
    <col min="13317" max="13317" width="3.7109375" style="733" customWidth="1"/>
    <col min="13318" max="13318" width="22.140625" style="733" bestFit="1" customWidth="1"/>
    <col min="13319" max="13328" width="8.28515625" style="733" customWidth="1"/>
    <col min="13329" max="13570" width="9.140625" style="733"/>
    <col min="13571" max="13571" width="3.7109375" style="733" customWidth="1"/>
    <col min="13572" max="13572" width="14.42578125" style="733" customWidth="1"/>
    <col min="13573" max="13573" width="3.7109375" style="733" customWidth="1"/>
    <col min="13574" max="13574" width="22.140625" style="733" bestFit="1" customWidth="1"/>
    <col min="13575" max="13584" width="8.28515625" style="733" customWidth="1"/>
    <col min="13585" max="13826" width="9.140625" style="733"/>
    <col min="13827" max="13827" width="3.7109375" style="733" customWidth="1"/>
    <col min="13828" max="13828" width="14.42578125" style="733" customWidth="1"/>
    <col min="13829" max="13829" width="3.7109375" style="733" customWidth="1"/>
    <col min="13830" max="13830" width="22.140625" style="733" bestFit="1" customWidth="1"/>
    <col min="13831" max="13840" width="8.28515625" style="733" customWidth="1"/>
    <col min="13841" max="14082" width="9.140625" style="733"/>
    <col min="14083" max="14083" width="3.7109375" style="733" customWidth="1"/>
    <col min="14084" max="14084" width="14.42578125" style="733" customWidth="1"/>
    <col min="14085" max="14085" width="3.7109375" style="733" customWidth="1"/>
    <col min="14086" max="14086" width="22.140625" style="733" bestFit="1" customWidth="1"/>
    <col min="14087" max="14096" width="8.28515625" style="733" customWidth="1"/>
    <col min="14097" max="14338" width="9.140625" style="733"/>
    <col min="14339" max="14339" width="3.7109375" style="733" customWidth="1"/>
    <col min="14340" max="14340" width="14.42578125" style="733" customWidth="1"/>
    <col min="14341" max="14341" width="3.7109375" style="733" customWidth="1"/>
    <col min="14342" max="14342" width="22.140625" style="733" bestFit="1" customWidth="1"/>
    <col min="14343" max="14352" width="8.28515625" style="733" customWidth="1"/>
    <col min="14353" max="14594" width="9.140625" style="733"/>
    <col min="14595" max="14595" width="3.7109375" style="733" customWidth="1"/>
    <col min="14596" max="14596" width="14.42578125" style="733" customWidth="1"/>
    <col min="14597" max="14597" width="3.7109375" style="733" customWidth="1"/>
    <col min="14598" max="14598" width="22.140625" style="733" bestFit="1" customWidth="1"/>
    <col min="14599" max="14608" width="8.28515625" style="733" customWidth="1"/>
    <col min="14609" max="14850" width="9.140625" style="733"/>
    <col min="14851" max="14851" width="3.7109375" style="733" customWidth="1"/>
    <col min="14852" max="14852" width="14.42578125" style="733" customWidth="1"/>
    <col min="14853" max="14853" width="3.7109375" style="733" customWidth="1"/>
    <col min="14854" max="14854" width="22.140625" style="733" bestFit="1" customWidth="1"/>
    <col min="14855" max="14864" width="8.28515625" style="733" customWidth="1"/>
    <col min="14865" max="15106" width="9.140625" style="733"/>
    <col min="15107" max="15107" width="3.7109375" style="733" customWidth="1"/>
    <col min="15108" max="15108" width="14.42578125" style="733" customWidth="1"/>
    <col min="15109" max="15109" width="3.7109375" style="733" customWidth="1"/>
    <col min="15110" max="15110" width="22.140625" style="733" bestFit="1" customWidth="1"/>
    <col min="15111" max="15120" width="8.28515625" style="733" customWidth="1"/>
    <col min="15121" max="15362" width="9.140625" style="733"/>
    <col min="15363" max="15363" width="3.7109375" style="733" customWidth="1"/>
    <col min="15364" max="15364" width="14.42578125" style="733" customWidth="1"/>
    <col min="15365" max="15365" width="3.7109375" style="733" customWidth="1"/>
    <col min="15366" max="15366" width="22.140625" style="733" bestFit="1" customWidth="1"/>
    <col min="15367" max="15376" width="8.28515625" style="733" customWidth="1"/>
    <col min="15377" max="15618" width="9.140625" style="733"/>
    <col min="15619" max="15619" width="3.7109375" style="733" customWidth="1"/>
    <col min="15620" max="15620" width="14.42578125" style="733" customWidth="1"/>
    <col min="15621" max="15621" width="3.7109375" style="733" customWidth="1"/>
    <col min="15622" max="15622" width="22.140625" style="733" bestFit="1" customWidth="1"/>
    <col min="15623" max="15632" width="8.28515625" style="733" customWidth="1"/>
    <col min="15633" max="15874" width="9.140625" style="733"/>
    <col min="15875" max="15875" width="3.7109375" style="733" customWidth="1"/>
    <col min="15876" max="15876" width="14.42578125" style="733" customWidth="1"/>
    <col min="15877" max="15877" width="3.7109375" style="733" customWidth="1"/>
    <col min="15878" max="15878" width="22.140625" style="733" bestFit="1" customWidth="1"/>
    <col min="15879" max="15888" width="8.28515625" style="733" customWidth="1"/>
    <col min="15889" max="16130" width="9.140625" style="733"/>
    <col min="16131" max="16131" width="3.7109375" style="733" customWidth="1"/>
    <col min="16132" max="16132" width="14.42578125" style="733" customWidth="1"/>
    <col min="16133" max="16133" width="3.7109375" style="733" customWidth="1"/>
    <col min="16134" max="16134" width="22.140625" style="733" bestFit="1" customWidth="1"/>
    <col min="16135" max="16144" width="8.28515625" style="733" customWidth="1"/>
    <col min="16145" max="16384" width="9.140625" style="733"/>
  </cols>
  <sheetData>
    <row r="1" spans="1:23" s="943" customFormat="1" ht="15" x14ac:dyDescent="0.2">
      <c r="A1" s="2035"/>
      <c r="B1" s="2036"/>
      <c r="C1" s="2036"/>
      <c r="F1" s="2132"/>
      <c r="G1" s="2132"/>
      <c r="H1" s="2132"/>
      <c r="I1" s="2132"/>
      <c r="J1" s="2132"/>
    </row>
    <row r="2" spans="1:23" s="943" customFormat="1" ht="15" customHeight="1" x14ac:dyDescent="0.2">
      <c r="A2" s="1">
        <v>1</v>
      </c>
      <c r="B2" s="1" t="s">
        <v>0</v>
      </c>
      <c r="C2" s="1">
        <v>77</v>
      </c>
      <c r="D2" s="4140" t="s">
        <v>1554</v>
      </c>
      <c r="E2" s="4141"/>
      <c r="F2" s="4141"/>
      <c r="G2" s="4141"/>
      <c r="H2" s="4141"/>
      <c r="I2" s="4141"/>
      <c r="J2" s="4141"/>
      <c r="K2" s="4141"/>
      <c r="L2" s="4141"/>
      <c r="M2" s="4141"/>
      <c r="N2" s="4141"/>
      <c r="O2" s="4141"/>
      <c r="P2" s="4141"/>
      <c r="Q2" s="4141"/>
      <c r="R2" s="4141"/>
      <c r="S2" s="4141"/>
      <c r="T2" s="4141"/>
      <c r="U2" s="4142"/>
      <c r="V2" s="3023"/>
      <c r="W2" s="3023"/>
    </row>
    <row r="3" spans="1:23" s="943" customFormat="1" ht="14.25" customHeight="1" x14ac:dyDescent="0.2">
      <c r="A3" s="1">
        <v>2</v>
      </c>
      <c r="B3" s="1" t="s">
        <v>2</v>
      </c>
      <c r="C3" s="1"/>
      <c r="D3" s="4140" t="s">
        <v>1535</v>
      </c>
      <c r="E3" s="4141"/>
      <c r="F3" s="4141"/>
      <c r="G3" s="4141"/>
      <c r="H3" s="4141"/>
      <c r="I3" s="4141"/>
      <c r="J3" s="4141"/>
      <c r="K3" s="4141"/>
      <c r="L3" s="4141"/>
      <c r="M3" s="4141"/>
      <c r="N3" s="4141"/>
      <c r="O3" s="4141"/>
      <c r="P3" s="4141"/>
      <c r="Q3" s="4141"/>
      <c r="R3" s="4141"/>
      <c r="S3" s="4141"/>
      <c r="T3" s="4141"/>
      <c r="U3" s="4142"/>
    </row>
    <row r="4" spans="1:23" s="943" customFormat="1" ht="14.25" customHeight="1" x14ac:dyDescent="0.2">
      <c r="A4" s="1">
        <v>3</v>
      </c>
      <c r="B4" s="1" t="s">
        <v>4</v>
      </c>
      <c r="C4" s="1"/>
      <c r="D4" s="4140" t="s">
        <v>1555</v>
      </c>
      <c r="E4" s="4141"/>
      <c r="F4" s="4141"/>
      <c r="G4" s="4141"/>
      <c r="H4" s="4141"/>
      <c r="I4" s="4141"/>
      <c r="J4" s="4141"/>
      <c r="K4" s="4141"/>
      <c r="L4" s="4141"/>
      <c r="M4" s="4141"/>
      <c r="N4" s="4141"/>
      <c r="O4" s="4141"/>
      <c r="P4" s="4141"/>
      <c r="Q4" s="4141"/>
      <c r="R4" s="4141"/>
      <c r="S4" s="4141"/>
      <c r="T4" s="4141"/>
      <c r="U4" s="4142"/>
    </row>
    <row r="5" spans="1:23" s="943" customFormat="1" ht="14.25" customHeight="1" x14ac:dyDescent="0.2">
      <c r="A5" s="1"/>
      <c r="B5" s="1"/>
      <c r="C5" s="1"/>
      <c r="D5" s="1769"/>
      <c r="E5" s="1769"/>
      <c r="F5" s="1769"/>
      <c r="G5" s="1769"/>
      <c r="H5" s="1769"/>
      <c r="I5" s="1769"/>
      <c r="J5" s="1769"/>
      <c r="K5" s="1769"/>
      <c r="L5" s="1769"/>
      <c r="M5" s="1769"/>
      <c r="N5" s="1769"/>
      <c r="O5" s="1769"/>
      <c r="P5" s="1769"/>
      <c r="Q5" s="1769"/>
      <c r="R5" s="1769"/>
      <c r="S5" s="1769"/>
      <c r="T5" s="1769"/>
      <c r="U5" s="1769"/>
    </row>
    <row r="6" spans="1:23" s="11" customFormat="1" ht="15.75" customHeight="1" x14ac:dyDescent="0.2">
      <c r="A6" s="1">
        <v>4</v>
      </c>
      <c r="B6" s="12" t="s">
        <v>5</v>
      </c>
      <c r="C6" s="6"/>
      <c r="D6" s="1381" t="s">
        <v>112</v>
      </c>
      <c r="E6" s="1381" t="s">
        <v>1556</v>
      </c>
      <c r="F6" s="1803"/>
      <c r="G6" s="3488"/>
      <c r="H6" s="1803"/>
      <c r="I6" s="1803"/>
      <c r="J6" s="722"/>
      <c r="K6" s="17"/>
      <c r="L6" s="17"/>
      <c r="M6" s="17"/>
    </row>
    <row r="7" spans="1:23" s="11" customFormat="1" ht="15.75" customHeight="1" x14ac:dyDescent="0.2">
      <c r="A7" s="5"/>
      <c r="B7" s="6"/>
      <c r="C7" s="6"/>
      <c r="D7" s="36" t="s">
        <v>1557</v>
      </c>
      <c r="E7" s="3489" t="s">
        <v>48</v>
      </c>
      <c r="F7" s="2093" t="s">
        <v>138</v>
      </c>
      <c r="G7" s="2093" t="s">
        <v>139</v>
      </c>
      <c r="H7" s="2093" t="s">
        <v>140</v>
      </c>
      <c r="I7" s="2093" t="s">
        <v>141</v>
      </c>
      <c r="J7" s="2093" t="s">
        <v>142</v>
      </c>
      <c r="K7" s="2093" t="s">
        <v>143</v>
      </c>
      <c r="L7" s="2093" t="s">
        <v>144</v>
      </c>
      <c r="M7" s="2093" t="s">
        <v>145</v>
      </c>
      <c r="N7" s="3490" t="s">
        <v>8</v>
      </c>
      <c r="O7" s="3489" t="s">
        <v>9</v>
      </c>
      <c r="P7" s="3489" t="s">
        <v>10</v>
      </c>
      <c r="Q7" s="3489" t="s">
        <v>11</v>
      </c>
      <c r="R7" s="3489" t="s">
        <v>12</v>
      </c>
      <c r="S7" s="3489" t="s">
        <v>13</v>
      </c>
      <c r="T7" s="3491" t="s">
        <v>14</v>
      </c>
      <c r="U7" s="3491" t="s">
        <v>15</v>
      </c>
      <c r="V7" s="3492"/>
    </row>
    <row r="8" spans="1:23" s="11" customFormat="1" ht="15.75" customHeight="1" x14ac:dyDescent="0.2">
      <c r="A8" s="5"/>
      <c r="B8" s="6"/>
      <c r="C8" s="6"/>
      <c r="D8" s="23" t="s">
        <v>1558</v>
      </c>
      <c r="E8" s="1379">
        <v>36</v>
      </c>
      <c r="F8" s="1379">
        <v>36</v>
      </c>
      <c r="G8" s="1379">
        <v>36</v>
      </c>
      <c r="H8" s="1379">
        <v>34</v>
      </c>
      <c r="I8" s="1379">
        <v>34</v>
      </c>
      <c r="J8" s="1379">
        <v>34</v>
      </c>
      <c r="K8" s="1379">
        <v>31</v>
      </c>
      <c r="L8" s="1379">
        <v>31</v>
      </c>
      <c r="M8" s="1379">
        <v>34</v>
      </c>
      <c r="N8" s="1379">
        <v>34</v>
      </c>
      <c r="O8" s="1379">
        <v>39</v>
      </c>
      <c r="P8" s="1379">
        <v>40</v>
      </c>
      <c r="Q8" s="1379">
        <v>40</v>
      </c>
      <c r="R8" s="1379">
        <v>41</v>
      </c>
      <c r="S8" s="1379">
        <v>43</v>
      </c>
      <c r="T8" s="2222">
        <v>42</v>
      </c>
      <c r="U8" s="2222">
        <v>46</v>
      </c>
      <c r="V8" s="17"/>
    </row>
    <row r="9" spans="1:23" s="11" customFormat="1" ht="15.75" customHeight="1" x14ac:dyDescent="0.2">
      <c r="A9" s="5"/>
      <c r="B9" s="6"/>
      <c r="C9" s="6"/>
      <c r="D9" s="23" t="s">
        <v>1559</v>
      </c>
      <c r="E9" s="3493">
        <v>7</v>
      </c>
      <c r="F9" s="3493">
        <v>8</v>
      </c>
      <c r="G9" s="3493">
        <v>8</v>
      </c>
      <c r="H9" s="3493">
        <v>11</v>
      </c>
      <c r="I9" s="3493">
        <v>7</v>
      </c>
      <c r="J9" s="3493">
        <v>11</v>
      </c>
      <c r="K9" s="3493">
        <v>12</v>
      </c>
      <c r="L9" s="3493">
        <v>12</v>
      </c>
      <c r="M9" s="3493">
        <f>'[29]AGSA Data - 2008-09 Gen Report'!I18</f>
        <v>12</v>
      </c>
      <c r="N9" s="3493">
        <v>11</v>
      </c>
      <c r="O9" s="3493">
        <v>10</v>
      </c>
      <c r="P9" s="3493">
        <v>7</v>
      </c>
      <c r="Q9" s="3493">
        <v>6</v>
      </c>
      <c r="R9" s="3493">
        <v>7</v>
      </c>
      <c r="S9" s="3493">
        <v>6</v>
      </c>
      <c r="T9" s="2222">
        <v>3</v>
      </c>
      <c r="U9" s="2222">
        <v>9</v>
      </c>
      <c r="V9" s="17"/>
    </row>
    <row r="10" spans="1:23" s="2300" customFormat="1" ht="15.75" customHeight="1" x14ac:dyDescent="0.2">
      <c r="A10" s="3069"/>
      <c r="B10" s="2293"/>
      <c r="C10" s="2293"/>
      <c r="D10" s="3129" t="s">
        <v>1560</v>
      </c>
      <c r="E10" s="3494">
        <f t="shared" ref="E10:U10" si="0">E9/E8</f>
        <v>0.19444444444444445</v>
      </c>
      <c r="F10" s="3494">
        <f t="shared" si="0"/>
        <v>0.22222222222222221</v>
      </c>
      <c r="G10" s="3494">
        <f t="shared" si="0"/>
        <v>0.22222222222222221</v>
      </c>
      <c r="H10" s="3494">
        <f t="shared" si="0"/>
        <v>0.3235294117647059</v>
      </c>
      <c r="I10" s="3494">
        <f t="shared" si="0"/>
        <v>0.20588235294117646</v>
      </c>
      <c r="J10" s="3494">
        <f t="shared" si="0"/>
        <v>0.3235294117647059</v>
      </c>
      <c r="K10" s="3494">
        <f t="shared" si="0"/>
        <v>0.38709677419354838</v>
      </c>
      <c r="L10" s="3494">
        <f t="shared" si="0"/>
        <v>0.38709677419354838</v>
      </c>
      <c r="M10" s="3494">
        <f t="shared" si="0"/>
        <v>0.35294117647058826</v>
      </c>
      <c r="N10" s="3494">
        <f t="shared" si="0"/>
        <v>0.3235294117647059</v>
      </c>
      <c r="O10" s="3494">
        <f t="shared" si="0"/>
        <v>0.25641025641025639</v>
      </c>
      <c r="P10" s="3494">
        <f t="shared" si="0"/>
        <v>0.17499999999999999</v>
      </c>
      <c r="Q10" s="3494">
        <f t="shared" si="0"/>
        <v>0.15</v>
      </c>
      <c r="R10" s="3494">
        <f t="shared" si="0"/>
        <v>0.17073170731707318</v>
      </c>
      <c r="S10" s="3494">
        <f t="shared" si="0"/>
        <v>0.13953488372093023</v>
      </c>
      <c r="T10" s="3495">
        <f t="shared" si="0"/>
        <v>7.1428571428571425E-2</v>
      </c>
      <c r="U10" s="3495">
        <f t="shared" si="0"/>
        <v>0.19565217391304349</v>
      </c>
      <c r="V10" s="2154"/>
    </row>
    <row r="11" spans="1:23" s="11" customFormat="1" ht="15.75" customHeight="1" x14ac:dyDescent="0.2">
      <c r="A11" s="5"/>
      <c r="B11" s="6"/>
      <c r="C11" s="6"/>
      <c r="D11" s="3181" t="s">
        <v>1561</v>
      </c>
      <c r="E11" s="3496"/>
      <c r="F11" s="1378"/>
      <c r="G11" s="1378"/>
      <c r="H11" s="1378"/>
      <c r="I11" s="1378"/>
      <c r="J11" s="1378"/>
      <c r="K11" s="1378"/>
      <c r="L11" s="1378"/>
      <c r="M11" s="1378"/>
      <c r="N11" s="1378"/>
      <c r="O11" s="1378"/>
      <c r="P11" s="1378"/>
      <c r="Q11" s="1378"/>
      <c r="R11" s="1378"/>
      <c r="S11" s="1378"/>
      <c r="T11" s="2222"/>
      <c r="U11" s="2222"/>
      <c r="V11" s="17"/>
      <c r="W11" s="3424"/>
    </row>
    <row r="12" spans="1:23" s="11" customFormat="1" ht="15.75" customHeight="1" x14ac:dyDescent="0.2">
      <c r="A12" s="5"/>
      <c r="B12" s="6"/>
      <c r="C12" s="6"/>
      <c r="D12" s="23" t="s">
        <v>1562</v>
      </c>
      <c r="E12" s="27">
        <v>117</v>
      </c>
      <c r="F12" s="1379">
        <v>116</v>
      </c>
      <c r="G12" s="1379">
        <v>116</v>
      </c>
      <c r="H12" s="1379">
        <v>115</v>
      </c>
      <c r="I12" s="1379">
        <v>117</v>
      </c>
      <c r="J12" s="1379">
        <v>117</v>
      </c>
      <c r="K12" s="1379">
        <v>105</v>
      </c>
      <c r="L12" s="1379">
        <v>111</v>
      </c>
      <c r="M12" s="1379">
        <v>121</v>
      </c>
      <c r="N12" s="1379">
        <v>123</v>
      </c>
      <c r="O12" s="1379">
        <v>121</v>
      </c>
      <c r="P12" s="1379">
        <v>121</v>
      </c>
      <c r="Q12" s="1379">
        <v>123</v>
      </c>
      <c r="R12" s="1379">
        <v>124</v>
      </c>
      <c r="S12" s="1379">
        <v>124</v>
      </c>
      <c r="T12" s="2222">
        <v>123</v>
      </c>
      <c r="U12" s="2222">
        <v>123</v>
      </c>
      <c r="V12" s="17"/>
    </row>
    <row r="13" spans="1:23" s="11" customFormat="1" ht="15.75" customHeight="1" x14ac:dyDescent="0.2">
      <c r="A13" s="5"/>
      <c r="B13" s="6"/>
      <c r="C13" s="6"/>
      <c r="D13" s="23" t="s">
        <v>1559</v>
      </c>
      <c r="E13" s="3497">
        <v>95</v>
      </c>
      <c r="F13" s="3493">
        <v>62</v>
      </c>
      <c r="G13" s="3493">
        <v>36</v>
      </c>
      <c r="H13" s="3493">
        <v>36</v>
      </c>
      <c r="I13" s="3493">
        <v>46</v>
      </c>
      <c r="J13" s="3493">
        <v>50</v>
      </c>
      <c r="K13" s="3493">
        <v>57</v>
      </c>
      <c r="L13" s="3493">
        <v>44</v>
      </c>
      <c r="M13" s="3493">
        <v>37</v>
      </c>
      <c r="N13" s="3493">
        <v>34</v>
      </c>
      <c r="O13" s="3493">
        <v>36</v>
      </c>
      <c r="P13" s="3493">
        <v>39</v>
      </c>
      <c r="Q13" s="3493">
        <v>33</v>
      </c>
      <c r="R13" s="3493">
        <v>28</v>
      </c>
      <c r="S13" s="3493">
        <v>24</v>
      </c>
      <c r="T13" s="2222">
        <v>26</v>
      </c>
      <c r="U13" s="2222">
        <v>30</v>
      </c>
      <c r="V13" s="17"/>
    </row>
    <row r="14" spans="1:23" s="2300" customFormat="1" ht="15.75" customHeight="1" x14ac:dyDescent="0.2">
      <c r="A14" s="3069"/>
      <c r="B14" s="2293"/>
      <c r="C14" s="2293"/>
      <c r="D14" s="3129" t="s">
        <v>1560</v>
      </c>
      <c r="E14" s="3498">
        <f t="shared" ref="E14:U14" si="1">E13/E12</f>
        <v>0.81196581196581197</v>
      </c>
      <c r="F14" s="3498">
        <f t="shared" si="1"/>
        <v>0.53448275862068961</v>
      </c>
      <c r="G14" s="3498">
        <f t="shared" si="1"/>
        <v>0.31034482758620691</v>
      </c>
      <c r="H14" s="3498">
        <f t="shared" si="1"/>
        <v>0.31304347826086959</v>
      </c>
      <c r="I14" s="3498">
        <f t="shared" si="1"/>
        <v>0.39316239316239315</v>
      </c>
      <c r="J14" s="3498">
        <f t="shared" si="1"/>
        <v>0.42735042735042733</v>
      </c>
      <c r="K14" s="3498">
        <f t="shared" si="1"/>
        <v>0.54285714285714282</v>
      </c>
      <c r="L14" s="3498">
        <f t="shared" si="1"/>
        <v>0.3963963963963964</v>
      </c>
      <c r="M14" s="3498">
        <f t="shared" si="1"/>
        <v>0.30578512396694213</v>
      </c>
      <c r="N14" s="3498">
        <f t="shared" si="1"/>
        <v>0.27642276422764228</v>
      </c>
      <c r="O14" s="3498">
        <f t="shared" si="1"/>
        <v>0.2975206611570248</v>
      </c>
      <c r="P14" s="3498">
        <f t="shared" si="1"/>
        <v>0.32231404958677684</v>
      </c>
      <c r="Q14" s="3494">
        <f t="shared" si="1"/>
        <v>0.26829268292682928</v>
      </c>
      <c r="R14" s="3494">
        <f t="shared" si="1"/>
        <v>0.22580645161290322</v>
      </c>
      <c r="S14" s="3494">
        <f t="shared" si="1"/>
        <v>0.19354838709677419</v>
      </c>
      <c r="T14" s="3495">
        <f t="shared" si="1"/>
        <v>0.21138211382113822</v>
      </c>
      <c r="U14" s="3495">
        <f t="shared" si="1"/>
        <v>0.24390243902439024</v>
      </c>
      <c r="V14" s="2154"/>
    </row>
    <row r="15" spans="1:23" s="11" customFormat="1" ht="15.75" customHeight="1" x14ac:dyDescent="0.2">
      <c r="A15" s="5"/>
      <c r="B15" s="6"/>
      <c r="C15" s="6"/>
      <c r="D15" s="3181" t="s">
        <v>1563</v>
      </c>
      <c r="E15" s="3499"/>
      <c r="F15" s="3500"/>
      <c r="G15" s="3500"/>
      <c r="H15" s="3500"/>
      <c r="I15" s="3500"/>
      <c r="J15" s="3500"/>
      <c r="K15" s="3500"/>
      <c r="L15" s="3500"/>
      <c r="M15" s="3500"/>
      <c r="N15" s="3500"/>
      <c r="O15" s="3500"/>
      <c r="P15" s="3500"/>
      <c r="Q15" s="3500"/>
      <c r="R15" s="3500"/>
      <c r="S15" s="3500"/>
      <c r="T15" s="2222"/>
      <c r="U15" s="2222"/>
      <c r="V15" s="17"/>
    </row>
    <row r="16" spans="1:23" s="11" customFormat="1" ht="15.75" customHeight="1" x14ac:dyDescent="0.2">
      <c r="A16" s="5"/>
      <c r="B16" s="6"/>
      <c r="C16" s="6"/>
      <c r="D16" s="23" t="s">
        <v>1564</v>
      </c>
      <c r="E16" s="1379">
        <v>543</v>
      </c>
      <c r="F16" s="1379">
        <v>175</v>
      </c>
      <c r="G16" s="1379">
        <v>128</v>
      </c>
      <c r="H16" s="1379">
        <v>95</v>
      </c>
      <c r="I16" s="1379">
        <v>126</v>
      </c>
      <c r="J16" s="3089">
        <v>270</v>
      </c>
      <c r="K16" s="3089">
        <v>280</v>
      </c>
      <c r="L16" s="3089">
        <v>283</v>
      </c>
      <c r="M16" s="3089">
        <v>283</v>
      </c>
      <c r="N16" s="3089">
        <v>283</v>
      </c>
      <c r="O16" s="3089">
        <v>283</v>
      </c>
      <c r="P16" s="3089">
        <v>278</v>
      </c>
      <c r="Q16" s="3089">
        <v>278</v>
      </c>
      <c r="R16" s="3089">
        <v>278</v>
      </c>
      <c r="S16" s="3089">
        <v>275</v>
      </c>
      <c r="T16" s="2222">
        <v>263</v>
      </c>
      <c r="U16" s="2222">
        <v>250</v>
      </c>
      <c r="V16" s="17"/>
    </row>
    <row r="17" spans="1:22" s="11" customFormat="1" ht="15.75" customHeight="1" x14ac:dyDescent="0.2">
      <c r="A17" s="5"/>
      <c r="B17" s="6"/>
      <c r="C17" s="6"/>
      <c r="D17" s="23" t="s">
        <v>1559</v>
      </c>
      <c r="E17" s="3493">
        <v>414</v>
      </c>
      <c r="F17" s="3493">
        <v>131</v>
      </c>
      <c r="G17" s="3493">
        <v>77</v>
      </c>
      <c r="H17" s="3493">
        <v>58</v>
      </c>
      <c r="I17" s="3493">
        <v>72</v>
      </c>
      <c r="J17" s="3501">
        <v>225</v>
      </c>
      <c r="K17" s="3501">
        <v>223</v>
      </c>
      <c r="L17" s="3501">
        <v>187</v>
      </c>
      <c r="M17" s="3501">
        <v>166</v>
      </c>
      <c r="N17" s="3501">
        <v>153</v>
      </c>
      <c r="O17" s="3501">
        <v>151</v>
      </c>
      <c r="P17" s="3501">
        <v>161</v>
      </c>
      <c r="Q17" s="3501">
        <v>157</v>
      </c>
      <c r="R17" s="3501">
        <v>128</v>
      </c>
      <c r="S17" s="3501">
        <v>111</v>
      </c>
      <c r="T17" s="2222">
        <v>92</v>
      </c>
      <c r="U17" s="2222">
        <v>102</v>
      </c>
      <c r="V17" s="17"/>
    </row>
    <row r="18" spans="1:22" s="11" customFormat="1" ht="15.75" customHeight="1" x14ac:dyDescent="0.2">
      <c r="A18" s="5"/>
      <c r="B18" s="6"/>
      <c r="C18" s="6"/>
      <c r="D18" s="3129" t="s">
        <v>1560</v>
      </c>
      <c r="E18" s="3494">
        <f t="shared" ref="E18:Q18" si="2">E17/E16</f>
        <v>0.76243093922651939</v>
      </c>
      <c r="F18" s="3494">
        <f t="shared" si="2"/>
        <v>0.74857142857142855</v>
      </c>
      <c r="G18" s="3494">
        <f t="shared" si="2"/>
        <v>0.6015625</v>
      </c>
      <c r="H18" s="3494">
        <f t="shared" si="2"/>
        <v>0.61052631578947369</v>
      </c>
      <c r="I18" s="3494">
        <f t="shared" si="2"/>
        <v>0.5714285714285714</v>
      </c>
      <c r="J18" s="3494">
        <f t="shared" si="2"/>
        <v>0.83333333333333337</v>
      </c>
      <c r="K18" s="3494">
        <f t="shared" si="2"/>
        <v>0.79642857142857137</v>
      </c>
      <c r="L18" s="3494">
        <f t="shared" si="2"/>
        <v>0.66077738515901063</v>
      </c>
      <c r="M18" s="3494">
        <f t="shared" si="2"/>
        <v>0.58657243816254412</v>
      </c>
      <c r="N18" s="3494">
        <f t="shared" si="2"/>
        <v>0.54063604240282681</v>
      </c>
      <c r="O18" s="3494">
        <f t="shared" si="2"/>
        <v>0.53356890459363959</v>
      </c>
      <c r="P18" s="3494">
        <f t="shared" si="2"/>
        <v>0.57913669064748197</v>
      </c>
      <c r="Q18" s="3494">
        <f t="shared" si="2"/>
        <v>0.56474820143884896</v>
      </c>
      <c r="R18" s="3494">
        <v>0.46</v>
      </c>
      <c r="S18" s="3494">
        <v>0.40400000000000003</v>
      </c>
      <c r="T18" s="3495">
        <v>0.33100000000000002</v>
      </c>
      <c r="U18" s="3495">
        <f>U17/U16</f>
        <v>0.40799999999999997</v>
      </c>
      <c r="V18" s="2154"/>
    </row>
    <row r="19" spans="1:22" s="11" customFormat="1" ht="15" customHeight="1" x14ac:dyDescent="0.2">
      <c r="A19" s="5"/>
      <c r="B19" s="6"/>
      <c r="C19" s="6"/>
      <c r="D19" s="3181" t="s">
        <v>1565</v>
      </c>
      <c r="E19" s="3499"/>
      <c r="F19" s="3500"/>
      <c r="G19" s="3500"/>
      <c r="H19" s="3500"/>
      <c r="I19" s="3500"/>
      <c r="J19" s="3500"/>
      <c r="K19" s="3500"/>
      <c r="L19" s="3500"/>
      <c r="M19" s="3500"/>
      <c r="N19" s="3500"/>
      <c r="O19" s="3500"/>
      <c r="P19" s="3500"/>
      <c r="Q19" s="3500"/>
      <c r="R19" s="3500"/>
      <c r="S19" s="3500"/>
      <c r="T19" s="2222"/>
      <c r="U19" s="2222"/>
      <c r="V19" s="17"/>
    </row>
    <row r="20" spans="1:22" s="11" customFormat="1" ht="15.75" customHeight="1" x14ac:dyDescent="0.2">
      <c r="A20" s="5"/>
      <c r="B20" s="6"/>
      <c r="C20" s="6"/>
      <c r="D20" s="23" t="s">
        <v>1566</v>
      </c>
      <c r="E20" s="3502"/>
      <c r="F20" s="1379">
        <v>136</v>
      </c>
      <c r="G20" s="1379">
        <v>136</v>
      </c>
      <c r="H20" s="1379">
        <v>186</v>
      </c>
      <c r="I20" s="1379">
        <v>158</v>
      </c>
      <c r="J20" s="1379">
        <v>177</v>
      </c>
      <c r="K20" s="1379">
        <v>292</v>
      </c>
      <c r="L20" s="1379">
        <v>315</v>
      </c>
      <c r="M20" s="1379">
        <v>345</v>
      </c>
      <c r="N20" s="1379">
        <v>359</v>
      </c>
      <c r="O20" s="1379">
        <v>367</v>
      </c>
      <c r="P20" s="1379">
        <v>368</v>
      </c>
      <c r="Q20" s="1379">
        <v>307</v>
      </c>
      <c r="R20" s="1379">
        <v>301</v>
      </c>
      <c r="S20" s="1379">
        <v>291</v>
      </c>
      <c r="T20" s="2222">
        <v>292</v>
      </c>
      <c r="U20" s="2222">
        <v>247</v>
      </c>
      <c r="V20" s="17"/>
    </row>
    <row r="21" spans="1:22" s="11" customFormat="1" ht="15.75" customHeight="1" x14ac:dyDescent="0.2">
      <c r="A21" s="5"/>
      <c r="B21" s="6"/>
      <c r="C21" s="6"/>
      <c r="D21" s="23" t="s">
        <v>1559</v>
      </c>
      <c r="E21" s="3503"/>
      <c r="F21" s="3493">
        <v>63</v>
      </c>
      <c r="G21" s="3493">
        <v>53</v>
      </c>
      <c r="H21" s="3493">
        <v>56</v>
      </c>
      <c r="I21" s="3493">
        <v>20</v>
      </c>
      <c r="J21" s="3493">
        <v>47</v>
      </c>
      <c r="K21" s="3493">
        <v>84</v>
      </c>
      <c r="L21" s="3493">
        <v>71</v>
      </c>
      <c r="M21" s="3493">
        <v>78</v>
      </c>
      <c r="N21" s="3493">
        <v>58</v>
      </c>
      <c r="O21" s="3493">
        <v>57</v>
      </c>
      <c r="P21" s="3493">
        <v>61</v>
      </c>
      <c r="Q21" s="3493">
        <v>64</v>
      </c>
      <c r="R21" s="3493">
        <v>66</v>
      </c>
      <c r="S21" s="3493">
        <v>62</v>
      </c>
      <c r="T21" s="2222">
        <v>62</v>
      </c>
      <c r="U21" s="2222">
        <v>67</v>
      </c>
      <c r="V21" s="17"/>
    </row>
    <row r="22" spans="1:22" s="11" customFormat="1" ht="15.75" customHeight="1" x14ac:dyDescent="0.2">
      <c r="A22" s="5"/>
      <c r="B22" s="6" t="s">
        <v>167</v>
      </c>
      <c r="C22" s="6"/>
      <c r="D22" s="30" t="s">
        <v>1560</v>
      </c>
      <c r="E22" s="3504"/>
      <c r="F22" s="3505">
        <f t="shared" ref="F22:U22" si="3">F21/F20</f>
        <v>0.46323529411764708</v>
      </c>
      <c r="G22" s="3505">
        <f t="shared" si="3"/>
        <v>0.38970588235294118</v>
      </c>
      <c r="H22" s="3505">
        <f t="shared" si="3"/>
        <v>0.30107526881720431</v>
      </c>
      <c r="I22" s="3505">
        <f t="shared" si="3"/>
        <v>0.12658227848101267</v>
      </c>
      <c r="J22" s="3505">
        <f t="shared" si="3"/>
        <v>0.2655367231638418</v>
      </c>
      <c r="K22" s="3505">
        <f t="shared" si="3"/>
        <v>0.28767123287671231</v>
      </c>
      <c r="L22" s="3505">
        <f t="shared" si="3"/>
        <v>0.2253968253968254</v>
      </c>
      <c r="M22" s="3505">
        <f t="shared" si="3"/>
        <v>0.22608695652173913</v>
      </c>
      <c r="N22" s="3505">
        <f t="shared" si="3"/>
        <v>0.16155988857938719</v>
      </c>
      <c r="O22" s="3505">
        <f t="shared" si="3"/>
        <v>0.15531335149863759</v>
      </c>
      <c r="P22" s="3505">
        <f t="shared" si="3"/>
        <v>0.16576086956521738</v>
      </c>
      <c r="Q22" s="3505">
        <f t="shared" si="3"/>
        <v>0.20846905537459284</v>
      </c>
      <c r="R22" s="3505">
        <f t="shared" si="3"/>
        <v>0.21926910299003322</v>
      </c>
      <c r="S22" s="3505">
        <f t="shared" si="3"/>
        <v>0.21305841924398625</v>
      </c>
      <c r="T22" s="3506">
        <f t="shared" si="3"/>
        <v>0.21232876712328766</v>
      </c>
      <c r="U22" s="3506">
        <f t="shared" si="3"/>
        <v>0.27125506072874495</v>
      </c>
      <c r="V22" s="2154"/>
    </row>
    <row r="23" spans="1:22" s="11" customFormat="1" ht="15.75" customHeight="1" x14ac:dyDescent="0.2">
      <c r="A23" s="5"/>
      <c r="B23" s="6"/>
      <c r="C23" s="6"/>
      <c r="D23" s="17"/>
      <c r="E23" s="2235"/>
      <c r="F23" s="2154"/>
      <c r="G23" s="2154"/>
      <c r="H23" s="2154"/>
      <c r="I23" s="2154"/>
      <c r="J23" s="2154"/>
      <c r="K23" s="2154"/>
      <c r="L23" s="2154"/>
      <c r="M23" s="2154"/>
      <c r="N23" s="2154"/>
      <c r="O23" s="2154"/>
      <c r="P23" s="2154"/>
      <c r="Q23" s="2154"/>
      <c r="R23" s="3507"/>
      <c r="S23" s="3507"/>
    </row>
    <row r="24" spans="1:22" s="11" customFormat="1" ht="15.75" customHeight="1" x14ac:dyDescent="0.2">
      <c r="A24" s="5"/>
      <c r="B24" s="6"/>
      <c r="C24" s="6"/>
      <c r="D24" s="17"/>
      <c r="E24" s="2235"/>
      <c r="F24" s="2154"/>
      <c r="G24" s="2154"/>
      <c r="H24" s="2154"/>
      <c r="I24" s="2154"/>
      <c r="J24" s="2154"/>
      <c r="K24" s="2154"/>
      <c r="L24" s="2154"/>
      <c r="M24" s="2154"/>
    </row>
    <row r="25" spans="1:22" s="11" customFormat="1" ht="15.75" customHeight="1" x14ac:dyDescent="0.2">
      <c r="A25" s="5"/>
      <c r="B25" s="6"/>
      <c r="C25" s="6"/>
      <c r="D25" s="17"/>
      <c r="E25" s="2235"/>
      <c r="F25" s="2154"/>
      <c r="G25" s="2154"/>
      <c r="H25" s="2154"/>
      <c r="I25" s="2154"/>
      <c r="J25" s="2154"/>
      <c r="K25" s="2154"/>
      <c r="L25" s="2154"/>
      <c r="M25" s="2154"/>
    </row>
    <row r="26" spans="1:22" s="11" customFormat="1" ht="15.75" customHeight="1" x14ac:dyDescent="0.2">
      <c r="A26" s="5"/>
      <c r="B26" s="6"/>
      <c r="C26" s="6"/>
      <c r="D26" s="17"/>
      <c r="E26" s="2235"/>
      <c r="F26" s="2154"/>
      <c r="G26" s="2154"/>
      <c r="H26" s="2154"/>
      <c r="I26" s="2154"/>
      <c r="J26" s="2154"/>
      <c r="K26" s="2154"/>
      <c r="L26" s="2154"/>
      <c r="M26" s="2154"/>
    </row>
    <row r="27" spans="1:22" s="11" customFormat="1" ht="15.75" customHeight="1" x14ac:dyDescent="0.2">
      <c r="A27" s="5"/>
      <c r="B27" s="6"/>
      <c r="C27" s="6"/>
      <c r="D27" s="17"/>
      <c r="E27" s="2235"/>
      <c r="F27" s="2154"/>
      <c r="G27" s="2154"/>
      <c r="H27" s="2154"/>
      <c r="I27" s="2154"/>
      <c r="J27" s="2154"/>
      <c r="K27" s="2154"/>
      <c r="L27" s="2154"/>
      <c r="M27" s="2154"/>
    </row>
    <row r="28" spans="1:22" s="11" customFormat="1" ht="15.75" customHeight="1" x14ac:dyDescent="0.2">
      <c r="A28" s="5"/>
      <c r="B28" s="6"/>
      <c r="C28" s="6"/>
      <c r="D28" s="17"/>
      <c r="E28" s="2235"/>
      <c r="F28" s="2154"/>
      <c r="G28" s="2154"/>
      <c r="H28" s="2154"/>
      <c r="I28" s="2154"/>
      <c r="J28" s="2154"/>
      <c r="K28" s="2154"/>
      <c r="L28" s="2154"/>
      <c r="M28" s="2154"/>
    </row>
    <row r="29" spans="1:22" s="11" customFormat="1" ht="15.75" customHeight="1" x14ac:dyDescent="0.2">
      <c r="A29" s="5"/>
      <c r="B29" s="6"/>
      <c r="C29" s="6"/>
      <c r="D29" s="17"/>
      <c r="E29" s="2235"/>
      <c r="F29" s="2154"/>
      <c r="G29" s="2154"/>
      <c r="H29" s="2154"/>
      <c r="I29" s="2154"/>
      <c r="J29" s="2154"/>
      <c r="K29" s="2154"/>
      <c r="L29" s="2154"/>
      <c r="M29" s="2154"/>
    </row>
    <row r="30" spans="1:22" s="11" customFormat="1" ht="15.75" customHeight="1" x14ac:dyDescent="0.2">
      <c r="A30" s="5"/>
      <c r="B30" s="6"/>
      <c r="C30" s="6"/>
      <c r="D30" s="17"/>
      <c r="E30" s="2235"/>
      <c r="F30" s="2154"/>
      <c r="G30" s="2154"/>
      <c r="H30" s="2154"/>
      <c r="I30" s="2154"/>
      <c r="J30" s="2154"/>
      <c r="K30" s="2154"/>
      <c r="L30" s="2154"/>
      <c r="M30" s="2154"/>
    </row>
    <row r="31" spans="1:22" s="11" customFormat="1" ht="15.75" customHeight="1" x14ac:dyDescent="0.2">
      <c r="A31" s="5"/>
      <c r="B31" s="6"/>
      <c r="C31" s="6"/>
      <c r="D31" s="17"/>
      <c r="E31" s="2235"/>
      <c r="F31" s="2154"/>
      <c r="G31" s="2154"/>
      <c r="H31" s="2154"/>
      <c r="I31" s="2154"/>
      <c r="J31" s="2154"/>
      <c r="K31" s="2154"/>
      <c r="L31" s="2154"/>
      <c r="M31" s="2154"/>
    </row>
    <row r="32" spans="1:22" s="11" customFormat="1" ht="15.75" customHeight="1" x14ac:dyDescent="0.2">
      <c r="A32" s="5"/>
      <c r="B32" s="6"/>
      <c r="C32" s="6"/>
      <c r="D32" s="17"/>
      <c r="E32" s="2235"/>
      <c r="F32" s="2154"/>
      <c r="G32" s="2154"/>
      <c r="H32" s="2154"/>
      <c r="I32" s="2154"/>
      <c r="J32" s="2154"/>
      <c r="K32" s="2154"/>
      <c r="L32" s="2154"/>
      <c r="M32" s="2154"/>
    </row>
    <row r="33" spans="1:21" s="11" customFormat="1" ht="15.75" customHeight="1" x14ac:dyDescent="0.2">
      <c r="A33" s="5"/>
      <c r="B33" s="6"/>
      <c r="C33" s="6"/>
      <c r="D33" s="17"/>
      <c r="E33" s="2235"/>
      <c r="F33" s="2154"/>
      <c r="G33" s="2154"/>
      <c r="H33" s="2154"/>
      <c r="I33" s="2154"/>
      <c r="J33" s="2154"/>
      <c r="K33" s="2154"/>
      <c r="L33" s="2154"/>
      <c r="M33" s="2154"/>
    </row>
    <row r="34" spans="1:21" s="11" customFormat="1" ht="15.75" customHeight="1" x14ac:dyDescent="0.2">
      <c r="A34" s="5"/>
      <c r="B34" s="6"/>
      <c r="C34" s="6"/>
      <c r="D34" s="17"/>
      <c r="E34" s="2235"/>
      <c r="F34" s="2154"/>
      <c r="G34" s="2154"/>
      <c r="H34" s="2154"/>
      <c r="I34" s="2154"/>
      <c r="J34" s="2154"/>
      <c r="K34" s="2154"/>
      <c r="L34" s="2154"/>
      <c r="M34" s="2154"/>
    </row>
    <row r="35" spans="1:21" s="11" customFormat="1" ht="15.75" customHeight="1" x14ac:dyDescent="0.2">
      <c r="A35" s="5"/>
      <c r="B35" s="6"/>
      <c r="C35" s="6"/>
      <c r="D35" s="17"/>
      <c r="E35" s="2235"/>
      <c r="F35" s="2154"/>
      <c r="G35" s="2154"/>
      <c r="H35" s="2154"/>
      <c r="I35" s="2154"/>
      <c r="J35" s="2154"/>
      <c r="K35" s="2154"/>
      <c r="L35" s="2154"/>
      <c r="M35" s="2154"/>
    </row>
    <row r="36" spans="1:21" ht="11.25" customHeight="1" x14ac:dyDescent="0.2">
      <c r="D36" s="17"/>
      <c r="E36" s="2235"/>
      <c r="F36" s="2154"/>
      <c r="G36" s="2154"/>
      <c r="H36" s="2154"/>
      <c r="I36" s="2154"/>
      <c r="J36" s="2154"/>
      <c r="K36" s="3508"/>
      <c r="L36" s="3508"/>
      <c r="M36" s="3508"/>
    </row>
    <row r="37" spans="1:21" s="943" customFormat="1" ht="14.25" x14ac:dyDescent="0.2">
      <c r="A37" s="1"/>
      <c r="B37" s="1"/>
      <c r="C37" s="1"/>
      <c r="D37" s="3509"/>
      <c r="E37" s="3"/>
      <c r="F37" s="4"/>
      <c r="G37" s="4"/>
      <c r="H37" s="4"/>
      <c r="I37" s="4"/>
      <c r="J37" s="4"/>
      <c r="K37" s="3"/>
      <c r="L37" s="3"/>
      <c r="M37" s="3"/>
      <c r="N37" s="3"/>
    </row>
    <row r="38" spans="1:21" s="943" customFormat="1" ht="14.25" x14ac:dyDescent="0.2">
      <c r="A38" s="1"/>
      <c r="B38" s="1"/>
      <c r="C38" s="1"/>
      <c r="D38" s="3509"/>
      <c r="E38" s="3"/>
      <c r="F38" s="4"/>
      <c r="G38" s="4"/>
      <c r="H38" s="4"/>
      <c r="I38" s="4"/>
      <c r="J38" s="4"/>
      <c r="K38" s="3"/>
      <c r="L38" s="3"/>
      <c r="M38" s="3"/>
      <c r="N38" s="3"/>
    </row>
    <row r="39" spans="1:21" s="943" customFormat="1" ht="15" customHeight="1" x14ac:dyDescent="0.2">
      <c r="A39" s="1">
        <v>5</v>
      </c>
      <c r="B39" s="1" t="s">
        <v>29</v>
      </c>
      <c r="C39" s="1"/>
      <c r="D39" s="4140" t="s">
        <v>1267</v>
      </c>
      <c r="E39" s="4141"/>
      <c r="F39" s="4141"/>
      <c r="G39" s="4141"/>
      <c r="H39" s="4141"/>
      <c r="I39" s="4141"/>
      <c r="J39" s="4141"/>
      <c r="K39" s="4141"/>
      <c r="L39" s="4141"/>
      <c r="M39" s="4141"/>
      <c r="N39" s="4141"/>
      <c r="O39" s="4141"/>
      <c r="P39" s="4141"/>
      <c r="Q39" s="4141"/>
      <c r="R39" s="4141"/>
      <c r="S39" s="4141"/>
      <c r="T39" s="4142"/>
      <c r="U39" s="1769"/>
    </row>
    <row r="40" spans="1:21" s="943" customFormat="1" ht="90" customHeight="1" x14ac:dyDescent="0.2">
      <c r="A40" s="40">
        <v>6</v>
      </c>
      <c r="B40" s="40" t="s">
        <v>32</v>
      </c>
      <c r="C40" s="40"/>
      <c r="D40" s="4140" t="s">
        <v>1745</v>
      </c>
      <c r="E40" s="4141"/>
      <c r="F40" s="4141"/>
      <c r="G40" s="4141"/>
      <c r="H40" s="4141"/>
      <c r="I40" s="4141"/>
      <c r="J40" s="4141"/>
      <c r="K40" s="4141"/>
      <c r="L40" s="4141"/>
      <c r="M40" s="4141"/>
      <c r="N40" s="4141"/>
      <c r="O40" s="4141"/>
      <c r="P40" s="4141"/>
      <c r="Q40" s="4141"/>
      <c r="R40" s="4141"/>
      <c r="S40" s="4141"/>
      <c r="T40" s="4142"/>
      <c r="U40" s="1769"/>
    </row>
    <row r="41" spans="1:21" s="943" customFormat="1" ht="14.25" customHeight="1" x14ac:dyDescent="0.2">
      <c r="A41" s="1">
        <v>7</v>
      </c>
      <c r="B41" s="1" t="s">
        <v>31</v>
      </c>
      <c r="C41" s="1"/>
      <c r="D41" s="4140" t="s">
        <v>1567</v>
      </c>
      <c r="E41" s="4141"/>
      <c r="F41" s="4141"/>
      <c r="G41" s="4141"/>
      <c r="H41" s="4141"/>
      <c r="I41" s="4141"/>
      <c r="J41" s="4141"/>
      <c r="K41" s="4141"/>
      <c r="L41" s="4141"/>
      <c r="M41" s="4141"/>
      <c r="N41" s="4141"/>
      <c r="O41" s="4141"/>
      <c r="P41" s="4141"/>
      <c r="Q41" s="4141"/>
      <c r="R41" s="4141"/>
      <c r="S41" s="4141"/>
      <c r="T41" s="4142"/>
      <c r="U41" s="1769"/>
    </row>
    <row r="42" spans="1:21" s="943" customFormat="1" ht="15" customHeight="1" x14ac:dyDescent="0.2">
      <c r="A42" s="1"/>
    </row>
    <row r="43" spans="1:21" x14ac:dyDescent="0.2">
      <c r="A43" s="3510"/>
    </row>
    <row r="44" spans="1:21" x14ac:dyDescent="0.2">
      <c r="A44" s="3510"/>
    </row>
    <row r="46" spans="1:21" ht="12.75" x14ac:dyDescent="0.2">
      <c r="D46" s="1381"/>
      <c r="E46" s="1381"/>
      <c r="F46" s="1803"/>
      <c r="G46" s="3488"/>
      <c r="H46" s="1803"/>
      <c r="I46" s="1803"/>
      <c r="J46" s="722"/>
      <c r="K46" s="17"/>
      <c r="L46" s="17"/>
      <c r="M46" s="17"/>
    </row>
    <row r="47" spans="1:21" x14ac:dyDescent="0.2">
      <c r="D47" s="749"/>
      <c r="E47" s="749"/>
      <c r="F47" s="1743"/>
      <c r="G47" s="1743"/>
      <c r="H47" s="1743"/>
      <c r="I47" s="1743"/>
      <c r="J47" s="1775"/>
      <c r="K47" s="1775"/>
      <c r="L47" s="1775"/>
      <c r="M47" s="1775"/>
    </row>
    <row r="48" spans="1:21" x14ac:dyDescent="0.2">
      <c r="D48" s="2063"/>
      <c r="E48" s="3511"/>
      <c r="F48" s="3512"/>
      <c r="G48" s="3512"/>
      <c r="H48" s="3512"/>
      <c r="I48" s="3512"/>
      <c r="J48" s="3512"/>
      <c r="K48" s="3512"/>
      <c r="L48" s="3512"/>
      <c r="M48" s="3512"/>
    </row>
    <row r="49" spans="4:16" x14ac:dyDescent="0.2">
      <c r="D49" s="2063"/>
      <c r="E49" s="3513"/>
      <c r="F49" s="3512"/>
      <c r="G49" s="3512"/>
      <c r="H49" s="3512"/>
      <c r="I49" s="3512"/>
      <c r="J49" s="3512"/>
      <c r="K49" s="3512"/>
      <c r="L49" s="3512"/>
      <c r="M49" s="3512"/>
    </row>
    <row r="50" spans="4:16" x14ac:dyDescent="0.2">
      <c r="D50" s="2063"/>
      <c r="E50" s="3512"/>
      <c r="F50" s="3512"/>
      <c r="G50" s="3512"/>
      <c r="H50" s="3512"/>
      <c r="I50" s="3512"/>
      <c r="J50" s="3512"/>
      <c r="K50" s="3512"/>
      <c r="L50" s="3512"/>
      <c r="M50" s="3512"/>
    </row>
    <row r="51" spans="4:16" x14ac:dyDescent="0.2">
      <c r="D51" s="18"/>
      <c r="E51" s="3416"/>
      <c r="F51" s="1868"/>
      <c r="G51" s="1868"/>
      <c r="H51" s="1868"/>
      <c r="I51" s="1868"/>
      <c r="J51" s="1868"/>
      <c r="K51" s="1868"/>
      <c r="L51" s="1868"/>
      <c r="M51" s="1868"/>
    </row>
    <row r="52" spans="4:16" x14ac:dyDescent="0.2">
      <c r="O52" s="3514"/>
      <c r="P52" s="3514"/>
    </row>
  </sheetData>
  <mergeCells count="6">
    <mergeCell ref="D41:T41"/>
    <mergeCell ref="D39:T39"/>
    <mergeCell ref="D40:T40"/>
    <mergeCell ref="D2:U2"/>
    <mergeCell ref="D3:U3"/>
    <mergeCell ref="D4:U4"/>
  </mergeCells>
  <pageMargins left="0.74803149606299213" right="0.74803149606299213" top="0.98425196850393704" bottom="0.98425196850393704" header="0.51181102362204722" footer="0.51181102362204722"/>
  <pageSetup paperSize="9" scale="6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pageSetUpPr fitToPage="1"/>
  </sheetPr>
  <dimension ref="A1:Z41"/>
  <sheetViews>
    <sheetView showGridLines="0" view="pageBreakPreview" zoomScaleNormal="100" zoomScaleSheetLayoutView="100" workbookViewId="0">
      <selection activeCell="D40" sqref="D40:Y40"/>
    </sheetView>
  </sheetViews>
  <sheetFormatPr defaultColWidth="9.140625" defaultRowHeight="12" x14ac:dyDescent="0.2"/>
  <cols>
    <col min="1" max="1" width="3.7109375" style="3024" customWidth="1"/>
    <col min="2" max="2" width="14.42578125" style="3025" customWidth="1"/>
    <col min="3" max="3" width="3.7109375" style="3025" customWidth="1"/>
    <col min="4" max="4" width="14.7109375" style="733" customWidth="1"/>
    <col min="5" max="25" width="7" style="733" customWidth="1"/>
    <col min="26" max="259" width="9.140625" style="733"/>
    <col min="260" max="260" width="3.7109375" style="733" customWidth="1"/>
    <col min="261" max="261" width="14.42578125" style="733" customWidth="1"/>
    <col min="262" max="262" width="3.7109375" style="733" customWidth="1"/>
    <col min="263" max="263" width="14.7109375" style="733" customWidth="1"/>
    <col min="264" max="277" width="7" style="733" customWidth="1"/>
    <col min="278" max="279" width="13.85546875" style="733" customWidth="1"/>
    <col min="280" max="515" width="9.140625" style="733"/>
    <col min="516" max="516" width="3.7109375" style="733" customWidth="1"/>
    <col min="517" max="517" width="14.42578125" style="733" customWidth="1"/>
    <col min="518" max="518" width="3.7109375" style="733" customWidth="1"/>
    <col min="519" max="519" width="14.7109375" style="733" customWidth="1"/>
    <col min="520" max="533" width="7" style="733" customWidth="1"/>
    <col min="534" max="535" width="13.85546875" style="733" customWidth="1"/>
    <col min="536" max="771" width="9.140625" style="733"/>
    <col min="772" max="772" width="3.7109375" style="733" customWidth="1"/>
    <col min="773" max="773" width="14.42578125" style="733" customWidth="1"/>
    <col min="774" max="774" width="3.7109375" style="733" customWidth="1"/>
    <col min="775" max="775" width="14.7109375" style="733" customWidth="1"/>
    <col min="776" max="789" width="7" style="733" customWidth="1"/>
    <col min="790" max="791" width="13.85546875" style="733" customWidth="1"/>
    <col min="792" max="1027" width="9.140625" style="733"/>
    <col min="1028" max="1028" width="3.7109375" style="733" customWidth="1"/>
    <col min="1029" max="1029" width="14.42578125" style="733" customWidth="1"/>
    <col min="1030" max="1030" width="3.7109375" style="733" customWidth="1"/>
    <col min="1031" max="1031" width="14.7109375" style="733" customWidth="1"/>
    <col min="1032" max="1045" width="7" style="733" customWidth="1"/>
    <col min="1046" max="1047" width="13.85546875" style="733" customWidth="1"/>
    <col min="1048" max="1283" width="9.140625" style="733"/>
    <col min="1284" max="1284" width="3.7109375" style="733" customWidth="1"/>
    <col min="1285" max="1285" width="14.42578125" style="733" customWidth="1"/>
    <col min="1286" max="1286" width="3.7109375" style="733" customWidth="1"/>
    <col min="1287" max="1287" width="14.7109375" style="733" customWidth="1"/>
    <col min="1288" max="1301" width="7" style="733" customWidth="1"/>
    <col min="1302" max="1303" width="13.85546875" style="733" customWidth="1"/>
    <col min="1304" max="1539" width="9.140625" style="733"/>
    <col min="1540" max="1540" width="3.7109375" style="733" customWidth="1"/>
    <col min="1541" max="1541" width="14.42578125" style="733" customWidth="1"/>
    <col min="1542" max="1542" width="3.7109375" style="733" customWidth="1"/>
    <col min="1543" max="1543" width="14.7109375" style="733" customWidth="1"/>
    <col min="1544" max="1557" width="7" style="733" customWidth="1"/>
    <col min="1558" max="1559" width="13.85546875" style="733" customWidth="1"/>
    <col min="1560" max="1795" width="9.140625" style="733"/>
    <col min="1796" max="1796" width="3.7109375" style="733" customWidth="1"/>
    <col min="1797" max="1797" width="14.42578125" style="733" customWidth="1"/>
    <col min="1798" max="1798" width="3.7109375" style="733" customWidth="1"/>
    <col min="1799" max="1799" width="14.7109375" style="733" customWidth="1"/>
    <col min="1800" max="1813" width="7" style="733" customWidth="1"/>
    <col min="1814" max="1815" width="13.85546875" style="733" customWidth="1"/>
    <col min="1816" max="2051" width="9.140625" style="733"/>
    <col min="2052" max="2052" width="3.7109375" style="733" customWidth="1"/>
    <col min="2053" max="2053" width="14.42578125" style="733" customWidth="1"/>
    <col min="2054" max="2054" width="3.7109375" style="733" customWidth="1"/>
    <col min="2055" max="2055" width="14.7109375" style="733" customWidth="1"/>
    <col min="2056" max="2069" width="7" style="733" customWidth="1"/>
    <col min="2070" max="2071" width="13.85546875" style="733" customWidth="1"/>
    <col min="2072" max="2307" width="9.140625" style="733"/>
    <col min="2308" max="2308" width="3.7109375" style="733" customWidth="1"/>
    <col min="2309" max="2309" width="14.42578125" style="733" customWidth="1"/>
    <col min="2310" max="2310" width="3.7109375" style="733" customWidth="1"/>
    <col min="2311" max="2311" width="14.7109375" style="733" customWidth="1"/>
    <col min="2312" max="2325" width="7" style="733" customWidth="1"/>
    <col min="2326" max="2327" width="13.85546875" style="733" customWidth="1"/>
    <col min="2328" max="2563" width="9.140625" style="733"/>
    <col min="2564" max="2564" width="3.7109375" style="733" customWidth="1"/>
    <col min="2565" max="2565" width="14.42578125" style="733" customWidth="1"/>
    <col min="2566" max="2566" width="3.7109375" style="733" customWidth="1"/>
    <col min="2567" max="2567" width="14.7109375" style="733" customWidth="1"/>
    <col min="2568" max="2581" width="7" style="733" customWidth="1"/>
    <col min="2582" max="2583" width="13.85546875" style="733" customWidth="1"/>
    <col min="2584" max="2819" width="9.140625" style="733"/>
    <col min="2820" max="2820" width="3.7109375" style="733" customWidth="1"/>
    <col min="2821" max="2821" width="14.42578125" style="733" customWidth="1"/>
    <col min="2822" max="2822" width="3.7109375" style="733" customWidth="1"/>
    <col min="2823" max="2823" width="14.7109375" style="733" customWidth="1"/>
    <col min="2824" max="2837" width="7" style="733" customWidth="1"/>
    <col min="2838" max="2839" width="13.85546875" style="733" customWidth="1"/>
    <col min="2840" max="3075" width="9.140625" style="733"/>
    <col min="3076" max="3076" width="3.7109375" style="733" customWidth="1"/>
    <col min="3077" max="3077" width="14.42578125" style="733" customWidth="1"/>
    <col min="3078" max="3078" width="3.7109375" style="733" customWidth="1"/>
    <col min="3079" max="3079" width="14.7109375" style="733" customWidth="1"/>
    <col min="3080" max="3093" width="7" style="733" customWidth="1"/>
    <col min="3094" max="3095" width="13.85546875" style="733" customWidth="1"/>
    <col min="3096" max="3331" width="9.140625" style="733"/>
    <col min="3332" max="3332" width="3.7109375" style="733" customWidth="1"/>
    <col min="3333" max="3333" width="14.42578125" style="733" customWidth="1"/>
    <col min="3334" max="3334" width="3.7109375" style="733" customWidth="1"/>
    <col min="3335" max="3335" width="14.7109375" style="733" customWidth="1"/>
    <col min="3336" max="3349" width="7" style="733" customWidth="1"/>
    <col min="3350" max="3351" width="13.85546875" style="733" customWidth="1"/>
    <col min="3352" max="3587" width="9.140625" style="733"/>
    <col min="3588" max="3588" width="3.7109375" style="733" customWidth="1"/>
    <col min="3589" max="3589" width="14.42578125" style="733" customWidth="1"/>
    <col min="3590" max="3590" width="3.7109375" style="733" customWidth="1"/>
    <col min="3591" max="3591" width="14.7109375" style="733" customWidth="1"/>
    <col min="3592" max="3605" width="7" style="733" customWidth="1"/>
    <col min="3606" max="3607" width="13.85546875" style="733" customWidth="1"/>
    <col min="3608" max="3843" width="9.140625" style="733"/>
    <col min="3844" max="3844" width="3.7109375" style="733" customWidth="1"/>
    <col min="3845" max="3845" width="14.42578125" style="733" customWidth="1"/>
    <col min="3846" max="3846" width="3.7109375" style="733" customWidth="1"/>
    <col min="3847" max="3847" width="14.7109375" style="733" customWidth="1"/>
    <col min="3848" max="3861" width="7" style="733" customWidth="1"/>
    <col min="3862" max="3863" width="13.85546875" style="733" customWidth="1"/>
    <col min="3864" max="4099" width="9.140625" style="733"/>
    <col min="4100" max="4100" width="3.7109375" style="733" customWidth="1"/>
    <col min="4101" max="4101" width="14.42578125" style="733" customWidth="1"/>
    <col min="4102" max="4102" width="3.7109375" style="733" customWidth="1"/>
    <col min="4103" max="4103" width="14.7109375" style="733" customWidth="1"/>
    <col min="4104" max="4117" width="7" style="733" customWidth="1"/>
    <col min="4118" max="4119" width="13.85546875" style="733" customWidth="1"/>
    <col min="4120" max="4355" width="9.140625" style="733"/>
    <col min="4356" max="4356" width="3.7109375" style="733" customWidth="1"/>
    <col min="4357" max="4357" width="14.42578125" style="733" customWidth="1"/>
    <col min="4358" max="4358" width="3.7109375" style="733" customWidth="1"/>
    <col min="4359" max="4359" width="14.7109375" style="733" customWidth="1"/>
    <col min="4360" max="4373" width="7" style="733" customWidth="1"/>
    <col min="4374" max="4375" width="13.85546875" style="733" customWidth="1"/>
    <col min="4376" max="4611" width="9.140625" style="733"/>
    <col min="4612" max="4612" width="3.7109375" style="733" customWidth="1"/>
    <col min="4613" max="4613" width="14.42578125" style="733" customWidth="1"/>
    <col min="4614" max="4614" width="3.7109375" style="733" customWidth="1"/>
    <col min="4615" max="4615" width="14.7109375" style="733" customWidth="1"/>
    <col min="4616" max="4629" width="7" style="733" customWidth="1"/>
    <col min="4630" max="4631" width="13.85546875" style="733" customWidth="1"/>
    <col min="4632" max="4867" width="9.140625" style="733"/>
    <col min="4868" max="4868" width="3.7109375" style="733" customWidth="1"/>
    <col min="4869" max="4869" width="14.42578125" style="733" customWidth="1"/>
    <col min="4870" max="4870" width="3.7109375" style="733" customWidth="1"/>
    <col min="4871" max="4871" width="14.7109375" style="733" customWidth="1"/>
    <col min="4872" max="4885" width="7" style="733" customWidth="1"/>
    <col min="4886" max="4887" width="13.85546875" style="733" customWidth="1"/>
    <col min="4888" max="5123" width="9.140625" style="733"/>
    <col min="5124" max="5124" width="3.7109375" style="733" customWidth="1"/>
    <col min="5125" max="5125" width="14.42578125" style="733" customWidth="1"/>
    <col min="5126" max="5126" width="3.7109375" style="733" customWidth="1"/>
    <col min="5127" max="5127" width="14.7109375" style="733" customWidth="1"/>
    <col min="5128" max="5141" width="7" style="733" customWidth="1"/>
    <col min="5142" max="5143" width="13.85546875" style="733" customWidth="1"/>
    <col min="5144" max="5379" width="9.140625" style="733"/>
    <col min="5380" max="5380" width="3.7109375" style="733" customWidth="1"/>
    <col min="5381" max="5381" width="14.42578125" style="733" customWidth="1"/>
    <col min="5382" max="5382" width="3.7109375" style="733" customWidth="1"/>
    <col min="5383" max="5383" width="14.7109375" style="733" customWidth="1"/>
    <col min="5384" max="5397" width="7" style="733" customWidth="1"/>
    <col min="5398" max="5399" width="13.85546875" style="733" customWidth="1"/>
    <col min="5400" max="5635" width="9.140625" style="733"/>
    <col min="5636" max="5636" width="3.7109375" style="733" customWidth="1"/>
    <col min="5637" max="5637" width="14.42578125" style="733" customWidth="1"/>
    <col min="5638" max="5638" width="3.7109375" style="733" customWidth="1"/>
    <col min="5639" max="5639" width="14.7109375" style="733" customWidth="1"/>
    <col min="5640" max="5653" width="7" style="733" customWidth="1"/>
    <col min="5654" max="5655" width="13.85546875" style="733" customWidth="1"/>
    <col min="5656" max="5891" width="9.140625" style="733"/>
    <col min="5892" max="5892" width="3.7109375" style="733" customWidth="1"/>
    <col min="5893" max="5893" width="14.42578125" style="733" customWidth="1"/>
    <col min="5894" max="5894" width="3.7109375" style="733" customWidth="1"/>
    <col min="5895" max="5895" width="14.7109375" style="733" customWidth="1"/>
    <col min="5896" max="5909" width="7" style="733" customWidth="1"/>
    <col min="5910" max="5911" width="13.85546875" style="733" customWidth="1"/>
    <col min="5912" max="6147" width="9.140625" style="733"/>
    <col min="6148" max="6148" width="3.7109375" style="733" customWidth="1"/>
    <col min="6149" max="6149" width="14.42578125" style="733" customWidth="1"/>
    <col min="6150" max="6150" width="3.7109375" style="733" customWidth="1"/>
    <col min="6151" max="6151" width="14.7109375" style="733" customWidth="1"/>
    <col min="6152" max="6165" width="7" style="733" customWidth="1"/>
    <col min="6166" max="6167" width="13.85546875" style="733" customWidth="1"/>
    <col min="6168" max="6403" width="9.140625" style="733"/>
    <col min="6404" max="6404" width="3.7109375" style="733" customWidth="1"/>
    <col min="6405" max="6405" width="14.42578125" style="733" customWidth="1"/>
    <col min="6406" max="6406" width="3.7109375" style="733" customWidth="1"/>
    <col min="6407" max="6407" width="14.7109375" style="733" customWidth="1"/>
    <col min="6408" max="6421" width="7" style="733" customWidth="1"/>
    <col min="6422" max="6423" width="13.85546875" style="733" customWidth="1"/>
    <col min="6424" max="6659" width="9.140625" style="733"/>
    <col min="6660" max="6660" width="3.7109375" style="733" customWidth="1"/>
    <col min="6661" max="6661" width="14.42578125" style="733" customWidth="1"/>
    <col min="6662" max="6662" width="3.7109375" style="733" customWidth="1"/>
    <col min="6663" max="6663" width="14.7109375" style="733" customWidth="1"/>
    <col min="6664" max="6677" width="7" style="733" customWidth="1"/>
    <col min="6678" max="6679" width="13.85546875" style="733" customWidth="1"/>
    <col min="6680" max="6915" width="9.140625" style="733"/>
    <col min="6916" max="6916" width="3.7109375" style="733" customWidth="1"/>
    <col min="6917" max="6917" width="14.42578125" style="733" customWidth="1"/>
    <col min="6918" max="6918" width="3.7109375" style="733" customWidth="1"/>
    <col min="6919" max="6919" width="14.7109375" style="733" customWidth="1"/>
    <col min="6920" max="6933" width="7" style="733" customWidth="1"/>
    <col min="6934" max="6935" width="13.85546875" style="733" customWidth="1"/>
    <col min="6936" max="7171" width="9.140625" style="733"/>
    <col min="7172" max="7172" width="3.7109375" style="733" customWidth="1"/>
    <col min="7173" max="7173" width="14.42578125" style="733" customWidth="1"/>
    <col min="7174" max="7174" width="3.7109375" style="733" customWidth="1"/>
    <col min="7175" max="7175" width="14.7109375" style="733" customWidth="1"/>
    <col min="7176" max="7189" width="7" style="733" customWidth="1"/>
    <col min="7190" max="7191" width="13.85546875" style="733" customWidth="1"/>
    <col min="7192" max="7427" width="9.140625" style="733"/>
    <col min="7428" max="7428" width="3.7109375" style="733" customWidth="1"/>
    <col min="7429" max="7429" width="14.42578125" style="733" customWidth="1"/>
    <col min="7430" max="7430" width="3.7109375" style="733" customWidth="1"/>
    <col min="7431" max="7431" width="14.7109375" style="733" customWidth="1"/>
    <col min="7432" max="7445" width="7" style="733" customWidth="1"/>
    <col min="7446" max="7447" width="13.85546875" style="733" customWidth="1"/>
    <col min="7448" max="7683" width="9.140625" style="733"/>
    <col min="7684" max="7684" width="3.7109375" style="733" customWidth="1"/>
    <col min="7685" max="7685" width="14.42578125" style="733" customWidth="1"/>
    <col min="7686" max="7686" width="3.7109375" style="733" customWidth="1"/>
    <col min="7687" max="7687" width="14.7109375" style="733" customWidth="1"/>
    <col min="7688" max="7701" width="7" style="733" customWidth="1"/>
    <col min="7702" max="7703" width="13.85546875" style="733" customWidth="1"/>
    <col min="7704" max="7939" width="9.140625" style="733"/>
    <col min="7940" max="7940" width="3.7109375" style="733" customWidth="1"/>
    <col min="7941" max="7941" width="14.42578125" style="733" customWidth="1"/>
    <col min="7942" max="7942" width="3.7109375" style="733" customWidth="1"/>
    <col min="7943" max="7943" width="14.7109375" style="733" customWidth="1"/>
    <col min="7944" max="7957" width="7" style="733" customWidth="1"/>
    <col min="7958" max="7959" width="13.85546875" style="733" customWidth="1"/>
    <col min="7960" max="8195" width="9.140625" style="733"/>
    <col min="8196" max="8196" width="3.7109375" style="733" customWidth="1"/>
    <col min="8197" max="8197" width="14.42578125" style="733" customWidth="1"/>
    <col min="8198" max="8198" width="3.7109375" style="733" customWidth="1"/>
    <col min="8199" max="8199" width="14.7109375" style="733" customWidth="1"/>
    <col min="8200" max="8213" width="7" style="733" customWidth="1"/>
    <col min="8214" max="8215" width="13.85546875" style="733" customWidth="1"/>
    <col min="8216" max="8451" width="9.140625" style="733"/>
    <col min="8452" max="8452" width="3.7109375" style="733" customWidth="1"/>
    <col min="8453" max="8453" width="14.42578125" style="733" customWidth="1"/>
    <col min="8454" max="8454" width="3.7109375" style="733" customWidth="1"/>
    <col min="8455" max="8455" width="14.7109375" style="733" customWidth="1"/>
    <col min="8456" max="8469" width="7" style="733" customWidth="1"/>
    <col min="8470" max="8471" width="13.85546875" style="733" customWidth="1"/>
    <col min="8472" max="8707" width="9.140625" style="733"/>
    <col min="8708" max="8708" width="3.7109375" style="733" customWidth="1"/>
    <col min="8709" max="8709" width="14.42578125" style="733" customWidth="1"/>
    <col min="8710" max="8710" width="3.7109375" style="733" customWidth="1"/>
    <col min="8711" max="8711" width="14.7109375" style="733" customWidth="1"/>
    <col min="8712" max="8725" width="7" style="733" customWidth="1"/>
    <col min="8726" max="8727" width="13.85546875" style="733" customWidth="1"/>
    <col min="8728" max="8963" width="9.140625" style="733"/>
    <col min="8964" max="8964" width="3.7109375" style="733" customWidth="1"/>
    <col min="8965" max="8965" width="14.42578125" style="733" customWidth="1"/>
    <col min="8966" max="8966" width="3.7109375" style="733" customWidth="1"/>
    <col min="8967" max="8967" width="14.7109375" style="733" customWidth="1"/>
    <col min="8968" max="8981" width="7" style="733" customWidth="1"/>
    <col min="8982" max="8983" width="13.85546875" style="733" customWidth="1"/>
    <col min="8984" max="9219" width="9.140625" style="733"/>
    <col min="9220" max="9220" width="3.7109375" style="733" customWidth="1"/>
    <col min="9221" max="9221" width="14.42578125" style="733" customWidth="1"/>
    <col min="9222" max="9222" width="3.7109375" style="733" customWidth="1"/>
    <col min="9223" max="9223" width="14.7109375" style="733" customWidth="1"/>
    <col min="9224" max="9237" width="7" style="733" customWidth="1"/>
    <col min="9238" max="9239" width="13.85546875" style="733" customWidth="1"/>
    <col min="9240" max="9475" width="9.140625" style="733"/>
    <col min="9476" max="9476" width="3.7109375" style="733" customWidth="1"/>
    <col min="9477" max="9477" width="14.42578125" style="733" customWidth="1"/>
    <col min="9478" max="9478" width="3.7109375" style="733" customWidth="1"/>
    <col min="9479" max="9479" width="14.7109375" style="733" customWidth="1"/>
    <col min="9480" max="9493" width="7" style="733" customWidth="1"/>
    <col min="9494" max="9495" width="13.85546875" style="733" customWidth="1"/>
    <col min="9496" max="9731" width="9.140625" style="733"/>
    <col min="9732" max="9732" width="3.7109375" style="733" customWidth="1"/>
    <col min="9733" max="9733" width="14.42578125" style="733" customWidth="1"/>
    <col min="9734" max="9734" width="3.7109375" style="733" customWidth="1"/>
    <col min="9735" max="9735" width="14.7109375" style="733" customWidth="1"/>
    <col min="9736" max="9749" width="7" style="733" customWidth="1"/>
    <col min="9750" max="9751" width="13.85546875" style="733" customWidth="1"/>
    <col min="9752" max="9987" width="9.140625" style="733"/>
    <col min="9988" max="9988" width="3.7109375" style="733" customWidth="1"/>
    <col min="9989" max="9989" width="14.42578125" style="733" customWidth="1"/>
    <col min="9990" max="9990" width="3.7109375" style="733" customWidth="1"/>
    <col min="9991" max="9991" width="14.7109375" style="733" customWidth="1"/>
    <col min="9992" max="10005" width="7" style="733" customWidth="1"/>
    <col min="10006" max="10007" width="13.85546875" style="733" customWidth="1"/>
    <col min="10008" max="10243" width="9.140625" style="733"/>
    <col min="10244" max="10244" width="3.7109375" style="733" customWidth="1"/>
    <col min="10245" max="10245" width="14.42578125" style="733" customWidth="1"/>
    <col min="10246" max="10246" width="3.7109375" style="733" customWidth="1"/>
    <col min="10247" max="10247" width="14.7109375" style="733" customWidth="1"/>
    <col min="10248" max="10261" width="7" style="733" customWidth="1"/>
    <col min="10262" max="10263" width="13.85546875" style="733" customWidth="1"/>
    <col min="10264" max="10499" width="9.140625" style="733"/>
    <col min="10500" max="10500" width="3.7109375" style="733" customWidth="1"/>
    <col min="10501" max="10501" width="14.42578125" style="733" customWidth="1"/>
    <col min="10502" max="10502" width="3.7109375" style="733" customWidth="1"/>
    <col min="10503" max="10503" width="14.7109375" style="733" customWidth="1"/>
    <col min="10504" max="10517" width="7" style="733" customWidth="1"/>
    <col min="10518" max="10519" width="13.85546875" style="733" customWidth="1"/>
    <col min="10520" max="10755" width="9.140625" style="733"/>
    <col min="10756" max="10756" width="3.7109375" style="733" customWidth="1"/>
    <col min="10757" max="10757" width="14.42578125" style="733" customWidth="1"/>
    <col min="10758" max="10758" width="3.7109375" style="733" customWidth="1"/>
    <col min="10759" max="10759" width="14.7109375" style="733" customWidth="1"/>
    <col min="10760" max="10773" width="7" style="733" customWidth="1"/>
    <col min="10774" max="10775" width="13.85546875" style="733" customWidth="1"/>
    <col min="10776" max="11011" width="9.140625" style="733"/>
    <col min="11012" max="11012" width="3.7109375" style="733" customWidth="1"/>
    <col min="11013" max="11013" width="14.42578125" style="733" customWidth="1"/>
    <col min="11014" max="11014" width="3.7109375" style="733" customWidth="1"/>
    <col min="11015" max="11015" width="14.7109375" style="733" customWidth="1"/>
    <col min="11016" max="11029" width="7" style="733" customWidth="1"/>
    <col min="11030" max="11031" width="13.85546875" style="733" customWidth="1"/>
    <col min="11032" max="11267" width="9.140625" style="733"/>
    <col min="11268" max="11268" width="3.7109375" style="733" customWidth="1"/>
    <col min="11269" max="11269" width="14.42578125" style="733" customWidth="1"/>
    <col min="11270" max="11270" width="3.7109375" style="733" customWidth="1"/>
    <col min="11271" max="11271" width="14.7109375" style="733" customWidth="1"/>
    <col min="11272" max="11285" width="7" style="733" customWidth="1"/>
    <col min="11286" max="11287" width="13.85546875" style="733" customWidth="1"/>
    <col min="11288" max="11523" width="9.140625" style="733"/>
    <col min="11524" max="11524" width="3.7109375" style="733" customWidth="1"/>
    <col min="11525" max="11525" width="14.42578125" style="733" customWidth="1"/>
    <col min="11526" max="11526" width="3.7109375" style="733" customWidth="1"/>
    <col min="11527" max="11527" width="14.7109375" style="733" customWidth="1"/>
    <col min="11528" max="11541" width="7" style="733" customWidth="1"/>
    <col min="11542" max="11543" width="13.85546875" style="733" customWidth="1"/>
    <col min="11544" max="11779" width="9.140625" style="733"/>
    <col min="11780" max="11780" width="3.7109375" style="733" customWidth="1"/>
    <col min="11781" max="11781" width="14.42578125" style="733" customWidth="1"/>
    <col min="11782" max="11782" width="3.7109375" style="733" customWidth="1"/>
    <col min="11783" max="11783" width="14.7109375" style="733" customWidth="1"/>
    <col min="11784" max="11797" width="7" style="733" customWidth="1"/>
    <col min="11798" max="11799" width="13.85546875" style="733" customWidth="1"/>
    <col min="11800" max="12035" width="9.140625" style="733"/>
    <col min="12036" max="12036" width="3.7109375" style="733" customWidth="1"/>
    <col min="12037" max="12037" width="14.42578125" style="733" customWidth="1"/>
    <col min="12038" max="12038" width="3.7109375" style="733" customWidth="1"/>
    <col min="12039" max="12039" width="14.7109375" style="733" customWidth="1"/>
    <col min="12040" max="12053" width="7" style="733" customWidth="1"/>
    <col min="12054" max="12055" width="13.85546875" style="733" customWidth="1"/>
    <col min="12056" max="12291" width="9.140625" style="733"/>
    <col min="12292" max="12292" width="3.7109375" style="733" customWidth="1"/>
    <col min="12293" max="12293" width="14.42578125" style="733" customWidth="1"/>
    <col min="12294" max="12294" width="3.7109375" style="733" customWidth="1"/>
    <col min="12295" max="12295" width="14.7109375" style="733" customWidth="1"/>
    <col min="12296" max="12309" width="7" style="733" customWidth="1"/>
    <col min="12310" max="12311" width="13.85546875" style="733" customWidth="1"/>
    <col min="12312" max="12547" width="9.140625" style="733"/>
    <col min="12548" max="12548" width="3.7109375" style="733" customWidth="1"/>
    <col min="12549" max="12549" width="14.42578125" style="733" customWidth="1"/>
    <col min="12550" max="12550" width="3.7109375" style="733" customWidth="1"/>
    <col min="12551" max="12551" width="14.7109375" style="733" customWidth="1"/>
    <col min="12552" max="12565" width="7" style="733" customWidth="1"/>
    <col min="12566" max="12567" width="13.85546875" style="733" customWidth="1"/>
    <col min="12568" max="12803" width="9.140625" style="733"/>
    <col min="12804" max="12804" width="3.7109375" style="733" customWidth="1"/>
    <col min="12805" max="12805" width="14.42578125" style="733" customWidth="1"/>
    <col min="12806" max="12806" width="3.7109375" style="733" customWidth="1"/>
    <col min="12807" max="12807" width="14.7109375" style="733" customWidth="1"/>
    <col min="12808" max="12821" width="7" style="733" customWidth="1"/>
    <col min="12822" max="12823" width="13.85546875" style="733" customWidth="1"/>
    <col min="12824" max="13059" width="9.140625" style="733"/>
    <col min="13060" max="13060" width="3.7109375" style="733" customWidth="1"/>
    <col min="13061" max="13061" width="14.42578125" style="733" customWidth="1"/>
    <col min="13062" max="13062" width="3.7109375" style="733" customWidth="1"/>
    <col min="13063" max="13063" width="14.7109375" style="733" customWidth="1"/>
    <col min="13064" max="13077" width="7" style="733" customWidth="1"/>
    <col min="13078" max="13079" width="13.85546875" style="733" customWidth="1"/>
    <col min="13080" max="13315" width="9.140625" style="733"/>
    <col min="13316" max="13316" width="3.7109375" style="733" customWidth="1"/>
    <col min="13317" max="13317" width="14.42578125" style="733" customWidth="1"/>
    <col min="13318" max="13318" width="3.7109375" style="733" customWidth="1"/>
    <col min="13319" max="13319" width="14.7109375" style="733" customWidth="1"/>
    <col min="13320" max="13333" width="7" style="733" customWidth="1"/>
    <col min="13334" max="13335" width="13.85546875" style="733" customWidth="1"/>
    <col min="13336" max="13571" width="9.140625" style="733"/>
    <col min="13572" max="13572" width="3.7109375" style="733" customWidth="1"/>
    <col min="13573" max="13573" width="14.42578125" style="733" customWidth="1"/>
    <col min="13574" max="13574" width="3.7109375" style="733" customWidth="1"/>
    <col min="13575" max="13575" width="14.7109375" style="733" customWidth="1"/>
    <col min="13576" max="13589" width="7" style="733" customWidth="1"/>
    <col min="13590" max="13591" width="13.85546875" style="733" customWidth="1"/>
    <col min="13592" max="13827" width="9.140625" style="733"/>
    <col min="13828" max="13828" width="3.7109375" style="733" customWidth="1"/>
    <col min="13829" max="13829" width="14.42578125" style="733" customWidth="1"/>
    <col min="13830" max="13830" width="3.7109375" style="733" customWidth="1"/>
    <col min="13831" max="13831" width="14.7109375" style="733" customWidth="1"/>
    <col min="13832" max="13845" width="7" style="733" customWidth="1"/>
    <col min="13846" max="13847" width="13.85546875" style="733" customWidth="1"/>
    <col min="13848" max="14083" width="9.140625" style="733"/>
    <col min="14084" max="14084" width="3.7109375" style="733" customWidth="1"/>
    <col min="14085" max="14085" width="14.42578125" style="733" customWidth="1"/>
    <col min="14086" max="14086" width="3.7109375" style="733" customWidth="1"/>
    <col min="14087" max="14087" width="14.7109375" style="733" customWidth="1"/>
    <col min="14088" max="14101" width="7" style="733" customWidth="1"/>
    <col min="14102" max="14103" width="13.85546875" style="733" customWidth="1"/>
    <col min="14104" max="14339" width="9.140625" style="733"/>
    <col min="14340" max="14340" width="3.7109375" style="733" customWidth="1"/>
    <col min="14341" max="14341" width="14.42578125" style="733" customWidth="1"/>
    <col min="14342" max="14342" width="3.7109375" style="733" customWidth="1"/>
    <col min="14343" max="14343" width="14.7109375" style="733" customWidth="1"/>
    <col min="14344" max="14357" width="7" style="733" customWidth="1"/>
    <col min="14358" max="14359" width="13.85546875" style="733" customWidth="1"/>
    <col min="14360" max="14595" width="9.140625" style="733"/>
    <col min="14596" max="14596" width="3.7109375" style="733" customWidth="1"/>
    <col min="14597" max="14597" width="14.42578125" style="733" customWidth="1"/>
    <col min="14598" max="14598" width="3.7109375" style="733" customWidth="1"/>
    <col min="14599" max="14599" width="14.7109375" style="733" customWidth="1"/>
    <col min="14600" max="14613" width="7" style="733" customWidth="1"/>
    <col min="14614" max="14615" width="13.85546875" style="733" customWidth="1"/>
    <col min="14616" max="14851" width="9.140625" style="733"/>
    <col min="14852" max="14852" width="3.7109375" style="733" customWidth="1"/>
    <col min="14853" max="14853" width="14.42578125" style="733" customWidth="1"/>
    <col min="14854" max="14854" width="3.7109375" style="733" customWidth="1"/>
    <col min="14855" max="14855" width="14.7109375" style="733" customWidth="1"/>
    <col min="14856" max="14869" width="7" style="733" customWidth="1"/>
    <col min="14870" max="14871" width="13.85546875" style="733" customWidth="1"/>
    <col min="14872" max="15107" width="9.140625" style="733"/>
    <col min="15108" max="15108" width="3.7109375" style="733" customWidth="1"/>
    <col min="15109" max="15109" width="14.42578125" style="733" customWidth="1"/>
    <col min="15110" max="15110" width="3.7109375" style="733" customWidth="1"/>
    <col min="15111" max="15111" width="14.7109375" style="733" customWidth="1"/>
    <col min="15112" max="15125" width="7" style="733" customWidth="1"/>
    <col min="15126" max="15127" width="13.85546875" style="733" customWidth="1"/>
    <col min="15128" max="15363" width="9.140625" style="733"/>
    <col min="15364" max="15364" width="3.7109375" style="733" customWidth="1"/>
    <col min="15365" max="15365" width="14.42578125" style="733" customWidth="1"/>
    <col min="15366" max="15366" width="3.7109375" style="733" customWidth="1"/>
    <col min="15367" max="15367" width="14.7109375" style="733" customWidth="1"/>
    <col min="15368" max="15381" width="7" style="733" customWidth="1"/>
    <col min="15382" max="15383" width="13.85546875" style="733" customWidth="1"/>
    <col min="15384" max="15619" width="9.140625" style="733"/>
    <col min="15620" max="15620" width="3.7109375" style="733" customWidth="1"/>
    <col min="15621" max="15621" width="14.42578125" style="733" customWidth="1"/>
    <col min="15622" max="15622" width="3.7109375" style="733" customWidth="1"/>
    <col min="15623" max="15623" width="14.7109375" style="733" customWidth="1"/>
    <col min="15624" max="15637" width="7" style="733" customWidth="1"/>
    <col min="15638" max="15639" width="13.85546875" style="733" customWidth="1"/>
    <col min="15640" max="15875" width="9.140625" style="733"/>
    <col min="15876" max="15876" width="3.7109375" style="733" customWidth="1"/>
    <col min="15877" max="15877" width="14.42578125" style="733" customWidth="1"/>
    <col min="15878" max="15878" width="3.7109375" style="733" customWidth="1"/>
    <col min="15879" max="15879" width="14.7109375" style="733" customWidth="1"/>
    <col min="15880" max="15893" width="7" style="733" customWidth="1"/>
    <col min="15894" max="15895" width="13.85546875" style="733" customWidth="1"/>
    <col min="15896" max="16131" width="9.140625" style="733"/>
    <col min="16132" max="16132" width="3.7109375" style="733" customWidth="1"/>
    <col min="16133" max="16133" width="14.42578125" style="733" customWidth="1"/>
    <col min="16134" max="16134" width="3.7109375" style="733" customWidth="1"/>
    <col min="16135" max="16135" width="14.7109375" style="733" customWidth="1"/>
    <col min="16136" max="16149" width="7" style="733" customWidth="1"/>
    <col min="16150" max="16151" width="13.85546875" style="733" customWidth="1"/>
    <col min="16152" max="16384" width="9.140625" style="733"/>
  </cols>
  <sheetData>
    <row r="1" spans="1:26" s="943" customFormat="1" ht="15" x14ac:dyDescent="0.2">
      <c r="A1" s="2035"/>
      <c r="B1" s="2036"/>
      <c r="C1" s="2036"/>
    </row>
    <row r="2" spans="1:26" s="943" customFormat="1" ht="14.25" customHeight="1" x14ac:dyDescent="0.2">
      <c r="A2" s="1">
        <v>1</v>
      </c>
      <c r="B2" s="1" t="s">
        <v>0</v>
      </c>
      <c r="C2" s="1">
        <v>78</v>
      </c>
      <c r="D2" s="4140" t="s">
        <v>1568</v>
      </c>
      <c r="E2" s="4141"/>
      <c r="F2" s="4141"/>
      <c r="G2" s="4141"/>
      <c r="H2" s="4141"/>
      <c r="I2" s="4141"/>
      <c r="J2" s="4141"/>
      <c r="K2" s="4141"/>
      <c r="L2" s="4141"/>
      <c r="M2" s="4141"/>
      <c r="N2" s="4141"/>
      <c r="O2" s="4141"/>
      <c r="P2" s="4141"/>
      <c r="Q2" s="4141"/>
      <c r="R2" s="4141"/>
      <c r="S2" s="4141"/>
      <c r="T2" s="4141"/>
      <c r="U2" s="4141"/>
      <c r="V2" s="4141"/>
      <c r="W2" s="4141"/>
      <c r="X2" s="4141"/>
      <c r="Y2" s="4142"/>
    </row>
    <row r="3" spans="1:26" s="943" customFormat="1" ht="14.25" customHeight="1" x14ac:dyDescent="0.2">
      <c r="A3" s="1">
        <v>2</v>
      </c>
      <c r="B3" s="1" t="s">
        <v>2</v>
      </c>
      <c r="C3" s="1"/>
      <c r="D3" s="4140" t="s">
        <v>1569</v>
      </c>
      <c r="E3" s="4141"/>
      <c r="F3" s="4141"/>
      <c r="G3" s="4141"/>
      <c r="H3" s="4141"/>
      <c r="I3" s="4141"/>
      <c r="J3" s="4141"/>
      <c r="K3" s="4141"/>
      <c r="L3" s="4141"/>
      <c r="M3" s="4141"/>
      <c r="N3" s="4141"/>
      <c r="O3" s="4141"/>
      <c r="P3" s="4141"/>
      <c r="Q3" s="4141"/>
      <c r="R3" s="4141"/>
      <c r="S3" s="4141"/>
      <c r="T3" s="4141"/>
      <c r="U3" s="4141"/>
      <c r="V3" s="4141"/>
      <c r="W3" s="4141"/>
      <c r="X3" s="4141"/>
      <c r="Y3" s="4142"/>
    </row>
    <row r="4" spans="1:26" s="943" customFormat="1" ht="14.25" customHeight="1" x14ac:dyDescent="0.2">
      <c r="A4" s="1">
        <v>3</v>
      </c>
      <c r="B4" s="1" t="s">
        <v>4</v>
      </c>
      <c r="C4" s="1"/>
      <c r="D4" s="4140" t="s">
        <v>1570</v>
      </c>
      <c r="E4" s="4141"/>
      <c r="F4" s="4141"/>
      <c r="G4" s="4141"/>
      <c r="H4" s="4141"/>
      <c r="I4" s="4141"/>
      <c r="J4" s="4141"/>
      <c r="K4" s="4141"/>
      <c r="L4" s="4141"/>
      <c r="M4" s="4141"/>
      <c r="N4" s="4141"/>
      <c r="O4" s="4141"/>
      <c r="P4" s="4141"/>
      <c r="Q4" s="4141"/>
      <c r="R4" s="4141"/>
      <c r="S4" s="4141"/>
      <c r="T4" s="4141"/>
      <c r="U4" s="4141"/>
      <c r="V4" s="4141"/>
      <c r="W4" s="4141"/>
      <c r="X4" s="4141"/>
      <c r="Y4" s="4142"/>
    </row>
    <row r="5" spans="1:26" s="943" customFormat="1" ht="14.25" hidden="1" customHeight="1" x14ac:dyDescent="0.2">
      <c r="A5" s="1"/>
      <c r="B5" s="1"/>
      <c r="C5" s="1"/>
      <c r="D5" s="4450"/>
      <c r="E5" s="4451"/>
      <c r="F5" s="4451"/>
      <c r="G5" s="4451"/>
      <c r="H5" s="4451"/>
      <c r="I5" s="4451"/>
      <c r="J5" s="4451"/>
      <c r="K5" s="4451"/>
      <c r="L5" s="4451"/>
      <c r="M5" s="4451"/>
      <c r="N5" s="4451"/>
      <c r="O5" s="4451"/>
      <c r="P5" s="4451"/>
      <c r="Q5" s="4451"/>
      <c r="R5" s="4451"/>
      <c r="S5" s="4451"/>
      <c r="T5" s="4451"/>
      <c r="U5" s="4451"/>
      <c r="V5" s="4451"/>
      <c r="W5" s="4452"/>
      <c r="X5" s="1769"/>
      <c r="Y5" s="1769"/>
    </row>
    <row r="6" spans="1:26" s="943" customFormat="1" ht="14.25" hidden="1" customHeight="1" x14ac:dyDescent="0.2">
      <c r="A6" s="1"/>
      <c r="B6" s="1"/>
      <c r="C6" s="1"/>
      <c r="D6" s="4450"/>
      <c r="E6" s="4451"/>
      <c r="F6" s="4451"/>
      <c r="G6" s="4451"/>
      <c r="H6" s="4451"/>
      <c r="I6" s="4451"/>
      <c r="J6" s="4451"/>
      <c r="K6" s="4451"/>
      <c r="L6" s="4451"/>
      <c r="M6" s="4451"/>
      <c r="N6" s="4451"/>
      <c r="O6" s="4451"/>
      <c r="P6" s="4451"/>
      <c r="Q6" s="4451"/>
      <c r="R6" s="4451"/>
      <c r="S6" s="4451"/>
      <c r="T6" s="4451"/>
      <c r="U6" s="4451"/>
      <c r="V6" s="4451"/>
      <c r="W6" s="4452"/>
      <c r="X6" s="1769"/>
      <c r="Y6" s="1769"/>
    </row>
    <row r="7" spans="1:26" ht="15" hidden="1" customHeight="1" x14ac:dyDescent="0.2">
      <c r="C7" s="12"/>
      <c r="D7" s="4453"/>
      <c r="E7" s="4454"/>
      <c r="F7" s="4454"/>
      <c r="G7" s="4454"/>
      <c r="H7" s="4454"/>
      <c r="I7" s="4454"/>
      <c r="J7" s="4454"/>
      <c r="K7" s="4454"/>
      <c r="L7" s="4454"/>
      <c r="M7" s="4454"/>
      <c r="N7" s="4454"/>
      <c r="O7" s="4454"/>
      <c r="P7" s="4454"/>
      <c r="Q7" s="4454"/>
      <c r="R7" s="4454"/>
      <c r="S7" s="4454"/>
      <c r="T7" s="4454"/>
      <c r="U7" s="4454"/>
      <c r="V7" s="4454"/>
      <c r="W7" s="4455"/>
    </row>
    <row r="8" spans="1:26" ht="15" customHeight="1" x14ac:dyDescent="0.2">
      <c r="C8" s="12"/>
      <c r="D8" s="3657"/>
      <c r="E8" s="3657"/>
      <c r="F8" s="3657"/>
      <c r="G8" s="3657"/>
      <c r="H8" s="3657"/>
      <c r="I8" s="3657"/>
      <c r="J8" s="3657"/>
      <c r="K8" s="3657"/>
      <c r="L8" s="3657"/>
      <c r="M8" s="3657"/>
      <c r="N8" s="3657"/>
      <c r="O8" s="3657"/>
      <c r="P8" s="3657"/>
      <c r="Q8" s="3657"/>
      <c r="R8" s="3657"/>
      <c r="S8" s="3657"/>
      <c r="T8" s="3657"/>
      <c r="U8" s="3657"/>
      <c r="V8" s="3657"/>
      <c r="W8" s="3657"/>
    </row>
    <row r="9" spans="1:26" s="11" customFormat="1" ht="17.25" customHeight="1" x14ac:dyDescent="0.2">
      <c r="A9" s="1">
        <v>4</v>
      </c>
      <c r="B9" s="12" t="s">
        <v>5</v>
      </c>
      <c r="C9" s="6"/>
      <c r="D9" s="1405" t="s">
        <v>40</v>
      </c>
      <c r="E9" s="1405" t="s">
        <v>1571</v>
      </c>
      <c r="F9" s="1405"/>
      <c r="G9" s="1405"/>
      <c r="H9" s="2089"/>
      <c r="I9" s="2089"/>
      <c r="J9" s="1405"/>
      <c r="K9" s="1405"/>
      <c r="L9" s="1405"/>
      <c r="M9" s="17"/>
      <c r="N9" s="17"/>
      <c r="O9" s="17"/>
      <c r="P9" s="17"/>
      <c r="Q9" s="17"/>
      <c r="R9" s="17"/>
      <c r="S9" s="17"/>
      <c r="T9" s="17"/>
      <c r="U9" s="17"/>
    </row>
    <row r="10" spans="1:26" s="11" customFormat="1" ht="19.5" customHeight="1" x14ac:dyDescent="0.2">
      <c r="A10" s="5"/>
      <c r="B10" s="6"/>
      <c r="C10" s="1778"/>
      <c r="D10" s="3515"/>
      <c r="E10" s="3516">
        <v>1997</v>
      </c>
      <c r="F10" s="3516">
        <v>1998</v>
      </c>
      <c r="G10" s="3516">
        <v>1999</v>
      </c>
      <c r="H10" s="3516">
        <v>2000</v>
      </c>
      <c r="I10" s="3516">
        <v>2001</v>
      </c>
      <c r="J10" s="3516">
        <v>2002</v>
      </c>
      <c r="K10" s="3516">
        <v>2003</v>
      </c>
      <c r="L10" s="3516">
        <v>2004</v>
      </c>
      <c r="M10" s="3516">
        <v>2005</v>
      </c>
      <c r="N10" s="3516">
        <v>2006</v>
      </c>
      <c r="O10" s="3516">
        <v>2007</v>
      </c>
      <c r="P10" s="3516">
        <v>2008</v>
      </c>
      <c r="Q10" s="3516">
        <v>2009</v>
      </c>
      <c r="R10" s="3517">
        <v>2010</v>
      </c>
      <c r="S10" s="3517">
        <v>2011</v>
      </c>
      <c r="T10" s="3517">
        <v>2012</v>
      </c>
      <c r="U10" s="3517">
        <v>2013</v>
      </c>
      <c r="V10" s="3517">
        <v>2014</v>
      </c>
      <c r="W10" s="3518">
        <v>2015</v>
      </c>
      <c r="X10" s="3518">
        <v>2016</v>
      </c>
      <c r="Y10" s="3518">
        <v>2017</v>
      </c>
      <c r="Z10" s="3519"/>
    </row>
    <row r="11" spans="1:26" s="11" customFormat="1" ht="20.25" customHeight="1" x14ac:dyDescent="0.2">
      <c r="A11" s="5"/>
      <c r="B11" s="6"/>
      <c r="C11" s="1778"/>
      <c r="D11" s="3520" t="s">
        <v>1572</v>
      </c>
      <c r="E11" s="3521">
        <v>33</v>
      </c>
      <c r="F11" s="3521">
        <v>32</v>
      </c>
      <c r="G11" s="3521">
        <v>34</v>
      </c>
      <c r="H11" s="3521">
        <v>34</v>
      </c>
      <c r="I11" s="3521">
        <v>38</v>
      </c>
      <c r="J11" s="3521">
        <v>36</v>
      </c>
      <c r="K11" s="3521">
        <v>48</v>
      </c>
      <c r="L11" s="3521">
        <v>44</v>
      </c>
      <c r="M11" s="3521">
        <v>46</v>
      </c>
      <c r="N11" s="3521">
        <v>51</v>
      </c>
      <c r="O11" s="3521">
        <v>43</v>
      </c>
      <c r="P11" s="3521">
        <v>54</v>
      </c>
      <c r="Q11" s="3521">
        <v>55</v>
      </c>
      <c r="R11" s="3522">
        <v>54</v>
      </c>
      <c r="S11" s="3522">
        <v>64</v>
      </c>
      <c r="T11" s="3522">
        <v>69</v>
      </c>
      <c r="U11" s="3522">
        <v>72</v>
      </c>
      <c r="V11" s="27">
        <v>67</v>
      </c>
      <c r="W11" s="27">
        <v>61</v>
      </c>
      <c r="X11" s="27">
        <v>64</v>
      </c>
      <c r="Y11" s="27">
        <v>71</v>
      </c>
      <c r="Z11" s="17"/>
    </row>
    <row r="12" spans="1:26" s="17" customFormat="1" ht="25.5" customHeight="1" x14ac:dyDescent="0.2">
      <c r="A12" s="2195"/>
      <c r="B12" s="1778"/>
      <c r="C12" s="1778"/>
      <c r="D12" s="3520" t="s">
        <v>1573</v>
      </c>
      <c r="E12" s="3521">
        <v>49</v>
      </c>
      <c r="F12" s="3521">
        <v>52</v>
      </c>
      <c r="G12" s="3521">
        <v>50</v>
      </c>
      <c r="H12" s="3521">
        <v>50</v>
      </c>
      <c r="I12" s="3521">
        <v>48</v>
      </c>
      <c r="J12" s="3521">
        <v>48</v>
      </c>
      <c r="K12" s="3521">
        <v>44</v>
      </c>
      <c r="L12" s="3521">
        <v>46</v>
      </c>
      <c r="M12" s="3521">
        <v>45</v>
      </c>
      <c r="N12" s="3521">
        <v>46</v>
      </c>
      <c r="O12" s="3521">
        <v>51</v>
      </c>
      <c r="P12" s="3521">
        <v>49</v>
      </c>
      <c r="Q12" s="3521">
        <v>47</v>
      </c>
      <c r="R12" s="3522">
        <v>45</v>
      </c>
      <c r="S12" s="3522">
        <v>41</v>
      </c>
      <c r="T12" s="3522">
        <v>43</v>
      </c>
      <c r="U12" s="3522">
        <v>42</v>
      </c>
      <c r="V12" s="3522">
        <v>44</v>
      </c>
      <c r="W12" s="3522">
        <v>44</v>
      </c>
      <c r="X12" s="3522">
        <v>45</v>
      </c>
      <c r="Y12" s="3522">
        <v>43</v>
      </c>
      <c r="Z12" s="3523"/>
    </row>
    <row r="13" spans="1:26" s="11" customFormat="1" ht="14.25" customHeight="1" x14ac:dyDescent="0.2">
      <c r="A13" s="5"/>
      <c r="B13" s="6"/>
      <c r="C13" s="1778"/>
      <c r="D13" s="3524" t="s">
        <v>341</v>
      </c>
      <c r="E13" s="3525"/>
      <c r="F13" s="3525">
        <v>85</v>
      </c>
      <c r="G13" s="3525">
        <v>99</v>
      </c>
      <c r="H13" s="3525">
        <v>90</v>
      </c>
      <c r="I13" s="3525">
        <v>91</v>
      </c>
      <c r="J13" s="3525">
        <v>102</v>
      </c>
      <c r="K13" s="3525">
        <v>133</v>
      </c>
      <c r="L13" s="3525">
        <v>146</v>
      </c>
      <c r="M13" s="3525">
        <v>159</v>
      </c>
      <c r="N13" s="3525">
        <v>163</v>
      </c>
      <c r="O13" s="3525">
        <v>180</v>
      </c>
      <c r="P13" s="3525">
        <v>180</v>
      </c>
      <c r="Q13" s="3525">
        <v>180</v>
      </c>
      <c r="R13" s="3526">
        <v>178</v>
      </c>
      <c r="S13" s="3526">
        <v>183</v>
      </c>
      <c r="T13" s="3526">
        <v>176</v>
      </c>
      <c r="U13" s="3526">
        <v>177</v>
      </c>
      <c r="V13" s="3526">
        <v>175</v>
      </c>
      <c r="W13" s="3526">
        <v>168</v>
      </c>
      <c r="X13" s="3526">
        <v>176</v>
      </c>
      <c r="Y13" s="3526">
        <v>180</v>
      </c>
      <c r="Z13" s="3523"/>
    </row>
    <row r="14" spans="1:26" s="11" customFormat="1" ht="14.25" customHeight="1" x14ac:dyDescent="0.2">
      <c r="A14" s="1">
        <v>5</v>
      </c>
      <c r="B14" s="12" t="s">
        <v>90</v>
      </c>
      <c r="C14" s="6"/>
      <c r="D14" s="2085"/>
      <c r="E14" s="2065"/>
      <c r="F14" s="2065"/>
      <c r="G14" s="2065"/>
      <c r="H14" s="2065"/>
      <c r="I14" s="2065"/>
      <c r="J14" s="2065"/>
      <c r="K14" s="2065"/>
      <c r="L14" s="2065"/>
      <c r="M14" s="2065"/>
      <c r="N14" s="2065"/>
      <c r="O14" s="2065"/>
      <c r="P14" s="2065"/>
      <c r="Q14" s="2065"/>
      <c r="R14" s="2065"/>
      <c r="S14" s="2065"/>
      <c r="T14" s="2065"/>
    </row>
    <row r="15" spans="1:26" x14ac:dyDescent="0.2">
      <c r="M15" s="751"/>
    </row>
    <row r="16" spans="1:26" x14ac:dyDescent="0.2">
      <c r="M16" s="751"/>
    </row>
    <row r="17" spans="13:23" x14ac:dyDescent="0.2">
      <c r="M17" s="751"/>
    </row>
    <row r="18" spans="13:23" x14ac:dyDescent="0.2">
      <c r="M18" s="751"/>
    </row>
    <row r="19" spans="13:23" x14ac:dyDescent="0.2">
      <c r="M19" s="751"/>
      <c r="W19" s="733" t="s">
        <v>325</v>
      </c>
    </row>
    <row r="20" spans="13:23" x14ac:dyDescent="0.2">
      <c r="M20" s="751"/>
    </row>
    <row r="21" spans="13:23" x14ac:dyDescent="0.2">
      <c r="M21" s="751"/>
    </row>
    <row r="22" spans="13:23" x14ac:dyDescent="0.2">
      <c r="M22" s="3527"/>
    </row>
    <row r="23" spans="13:23" x14ac:dyDescent="0.2">
      <c r="M23" s="751"/>
    </row>
    <row r="37" spans="1:25" s="943" customFormat="1" ht="14.25" customHeight="1" x14ac:dyDescent="0.2">
      <c r="A37" s="1">
        <v>6</v>
      </c>
      <c r="B37" s="1" t="s">
        <v>29</v>
      </c>
      <c r="C37" s="1"/>
      <c r="D37" s="4140" t="s">
        <v>1574</v>
      </c>
      <c r="E37" s="4141"/>
      <c r="F37" s="4141"/>
      <c r="G37" s="4141"/>
      <c r="H37" s="4141"/>
      <c r="I37" s="4141"/>
      <c r="J37" s="4141"/>
      <c r="K37" s="4141"/>
      <c r="L37" s="4141"/>
      <c r="M37" s="4141"/>
      <c r="N37" s="4141"/>
      <c r="O37" s="4141"/>
      <c r="P37" s="4141"/>
      <c r="Q37" s="4141"/>
      <c r="R37" s="4141"/>
      <c r="S37" s="4141"/>
      <c r="T37" s="4141"/>
      <c r="U37" s="4141"/>
      <c r="V37" s="4141"/>
      <c r="W37" s="4141"/>
      <c r="X37" s="4141"/>
      <c r="Y37" s="4142"/>
    </row>
    <row r="38" spans="1:25" s="943" customFormat="1" ht="19.5" customHeight="1" x14ac:dyDescent="0.2">
      <c r="A38" s="40">
        <v>7</v>
      </c>
      <c r="B38" s="40" t="s">
        <v>32</v>
      </c>
      <c r="C38" s="40"/>
      <c r="D38" s="4140" t="s">
        <v>1575</v>
      </c>
      <c r="E38" s="4141"/>
      <c r="F38" s="4141"/>
      <c r="G38" s="4141"/>
      <c r="H38" s="4141"/>
      <c r="I38" s="4141"/>
      <c r="J38" s="4141"/>
      <c r="K38" s="4141"/>
      <c r="L38" s="4141"/>
      <c r="M38" s="4141"/>
      <c r="N38" s="4141"/>
      <c r="O38" s="4141"/>
      <c r="P38" s="4141"/>
      <c r="Q38" s="4141"/>
      <c r="R38" s="4141"/>
      <c r="S38" s="4141"/>
      <c r="T38" s="4141"/>
      <c r="U38" s="4141"/>
      <c r="V38" s="4141"/>
      <c r="W38" s="4141"/>
      <c r="X38" s="4141"/>
      <c r="Y38" s="4142"/>
    </row>
    <row r="39" spans="1:25" s="943" customFormat="1" ht="30" customHeight="1" x14ac:dyDescent="0.2">
      <c r="A39" s="1">
        <v>8</v>
      </c>
      <c r="B39" s="1" t="s">
        <v>34</v>
      </c>
      <c r="C39" s="1"/>
      <c r="D39" s="4140" t="s">
        <v>1576</v>
      </c>
      <c r="E39" s="4141"/>
      <c r="F39" s="4141"/>
      <c r="G39" s="4141"/>
      <c r="H39" s="4141"/>
      <c r="I39" s="4141"/>
      <c r="J39" s="4141"/>
      <c r="K39" s="4141"/>
      <c r="L39" s="4141"/>
      <c r="M39" s="4141"/>
      <c r="N39" s="4141"/>
      <c r="O39" s="4141"/>
      <c r="P39" s="4141"/>
      <c r="Q39" s="4141"/>
      <c r="R39" s="4141"/>
      <c r="S39" s="4141"/>
      <c r="T39" s="4141"/>
      <c r="U39" s="4141"/>
      <c r="V39" s="4141"/>
      <c r="W39" s="4141"/>
      <c r="X39" s="4141"/>
      <c r="Y39" s="4142"/>
    </row>
    <row r="40" spans="1:25" s="943" customFormat="1" ht="14.25" customHeight="1" x14ac:dyDescent="0.2">
      <c r="A40" s="1">
        <v>9</v>
      </c>
      <c r="B40" s="1" t="s">
        <v>31</v>
      </c>
      <c r="C40" s="1"/>
      <c r="D40" s="4140" t="s">
        <v>1577</v>
      </c>
      <c r="E40" s="4141"/>
      <c r="F40" s="4141"/>
      <c r="G40" s="4141"/>
      <c r="H40" s="4141"/>
      <c r="I40" s="4141"/>
      <c r="J40" s="4141"/>
      <c r="K40" s="4141"/>
      <c r="L40" s="4141"/>
      <c r="M40" s="4141"/>
      <c r="N40" s="4141"/>
      <c r="O40" s="4141"/>
      <c r="P40" s="4141"/>
      <c r="Q40" s="4141"/>
      <c r="R40" s="4141"/>
      <c r="S40" s="4141"/>
      <c r="T40" s="4141"/>
      <c r="U40" s="4141"/>
      <c r="V40" s="4141"/>
      <c r="W40" s="4141"/>
      <c r="X40" s="4141"/>
      <c r="Y40" s="4142"/>
    </row>
    <row r="41" spans="1:25" s="3036" customFormat="1" ht="15" x14ac:dyDescent="0.25">
      <c r="A41" s="3528"/>
      <c r="B41" s="3030"/>
      <c r="C41" s="3030"/>
      <c r="D41" s="4449"/>
      <c r="E41" s="4449"/>
      <c r="F41" s="4449"/>
      <c r="G41" s="4449"/>
      <c r="H41" s="4449"/>
      <c r="I41" s="4449"/>
      <c r="J41" s="4449"/>
      <c r="K41" s="4449"/>
      <c r="L41" s="4449"/>
      <c r="M41" s="4449"/>
      <c r="N41" s="4449"/>
      <c r="O41" s="4449"/>
      <c r="P41" s="4449"/>
      <c r="Q41" s="4449"/>
      <c r="R41" s="4449"/>
      <c r="S41" s="4449"/>
      <c r="T41" s="4449"/>
      <c r="U41" s="688"/>
      <c r="V41" s="3109"/>
    </row>
  </sheetData>
  <mergeCells count="9">
    <mergeCell ref="D40:Y40"/>
    <mergeCell ref="D41:T41"/>
    <mergeCell ref="D5:W7"/>
    <mergeCell ref="D2:Y2"/>
    <mergeCell ref="D3:Y3"/>
    <mergeCell ref="D4:Y4"/>
    <mergeCell ref="D37:Y37"/>
    <mergeCell ref="D38:Y38"/>
    <mergeCell ref="D39:Y39"/>
  </mergeCells>
  <hyperlinks>
    <hyperlink ref="D40" r:id="rId1" display="www.transparency.org"/>
  </hyperlinks>
  <pageMargins left="0.74803149606299213" right="0.74803149606299213" top="0.98425196850393704" bottom="0.98425196850393704" header="0.51181102362204722" footer="0.51181102362204722"/>
  <pageSetup paperSize="9" scale="67" orientation="landscape" r:id="rId2"/>
  <headerFooter alignWithMargins="0">
    <oddHeader>&amp;C&amp;"-,Bold"DEVELOPMENT INDICATORS 2014</oddHeader>
    <oddFooter>&amp;LDepartment of Planning, Monitoring and Evaluation (DPME). &amp;CPage &amp;P of &amp;N&amp;R&amp;D</oddFooter>
  </headerFooter>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pageSetUpPr fitToPage="1"/>
  </sheetPr>
  <dimension ref="A1:BC63"/>
  <sheetViews>
    <sheetView showGridLines="0" view="pageBreakPreview" zoomScaleNormal="100" zoomScaleSheetLayoutView="100" workbookViewId="0">
      <selection activeCell="C2" sqref="C2"/>
    </sheetView>
  </sheetViews>
  <sheetFormatPr defaultRowHeight="15" x14ac:dyDescent="0.2"/>
  <cols>
    <col min="1" max="1" width="3.7109375" style="3529" customWidth="1"/>
    <col min="2" max="2" width="14.42578125" style="3529" customWidth="1"/>
    <col min="3" max="3" width="3.7109375" style="3529" customWidth="1"/>
    <col min="4" max="11" width="10.7109375" style="1321" customWidth="1"/>
    <col min="12" max="12" width="9.140625" style="1321" customWidth="1"/>
    <col min="13" max="13" width="4.85546875" style="1321" customWidth="1"/>
    <col min="14" max="24" width="10.7109375" style="1321" customWidth="1"/>
    <col min="25" max="25" width="11.28515625" style="1321" customWidth="1"/>
    <col min="26" max="26" width="11" style="1321" customWidth="1"/>
    <col min="27" max="27" width="11.85546875" style="1321" customWidth="1"/>
    <col min="28" max="28" width="10.28515625" style="1321" customWidth="1"/>
    <col min="29" max="29" width="9.140625" style="1321"/>
    <col min="30" max="35" width="10.7109375" style="1321" customWidth="1"/>
    <col min="36" max="275" width="9.140625" style="1321"/>
    <col min="276" max="276" width="3.7109375" style="1321" customWidth="1"/>
    <col min="277" max="277" width="14.42578125" style="1321" customWidth="1"/>
    <col min="278" max="278" width="3.7109375" style="1321" customWidth="1"/>
    <col min="279" max="293" width="10.7109375" style="1321" customWidth="1"/>
    <col min="294" max="294" width="8.7109375" style="1321" customWidth="1"/>
    <col min="295" max="531" width="9.140625" style="1321"/>
    <col min="532" max="532" width="3.7109375" style="1321" customWidth="1"/>
    <col min="533" max="533" width="14.42578125" style="1321" customWidth="1"/>
    <col min="534" max="534" width="3.7109375" style="1321" customWidth="1"/>
    <col min="535" max="549" width="10.7109375" style="1321" customWidth="1"/>
    <col min="550" max="550" width="8.7109375" style="1321" customWidth="1"/>
    <col min="551" max="787" width="9.140625" style="1321"/>
    <col min="788" max="788" width="3.7109375" style="1321" customWidth="1"/>
    <col min="789" max="789" width="14.42578125" style="1321" customWidth="1"/>
    <col min="790" max="790" width="3.7109375" style="1321" customWidth="1"/>
    <col min="791" max="805" width="10.7109375" style="1321" customWidth="1"/>
    <col min="806" max="806" width="8.7109375" style="1321" customWidth="1"/>
    <col min="807" max="1043" width="9.140625" style="1321"/>
    <col min="1044" max="1044" width="3.7109375" style="1321" customWidth="1"/>
    <col min="1045" max="1045" width="14.42578125" style="1321" customWidth="1"/>
    <col min="1046" max="1046" width="3.7109375" style="1321" customWidth="1"/>
    <col min="1047" max="1061" width="10.7109375" style="1321" customWidth="1"/>
    <col min="1062" max="1062" width="8.7109375" style="1321" customWidth="1"/>
    <col min="1063" max="1299" width="9.140625" style="1321"/>
    <col min="1300" max="1300" width="3.7109375" style="1321" customWidth="1"/>
    <col min="1301" max="1301" width="14.42578125" style="1321" customWidth="1"/>
    <col min="1302" max="1302" width="3.7109375" style="1321" customWidth="1"/>
    <col min="1303" max="1317" width="10.7109375" style="1321" customWidth="1"/>
    <col min="1318" max="1318" width="8.7109375" style="1321" customWidth="1"/>
    <col min="1319" max="1555" width="9.140625" style="1321"/>
    <col min="1556" max="1556" width="3.7109375" style="1321" customWidth="1"/>
    <col min="1557" max="1557" width="14.42578125" style="1321" customWidth="1"/>
    <col min="1558" max="1558" width="3.7109375" style="1321" customWidth="1"/>
    <col min="1559" max="1573" width="10.7109375" style="1321" customWidth="1"/>
    <col min="1574" max="1574" width="8.7109375" style="1321" customWidth="1"/>
    <col min="1575" max="1811" width="9.140625" style="1321"/>
    <col min="1812" max="1812" width="3.7109375" style="1321" customWidth="1"/>
    <col min="1813" max="1813" width="14.42578125" style="1321" customWidth="1"/>
    <col min="1814" max="1814" width="3.7109375" style="1321" customWidth="1"/>
    <col min="1815" max="1829" width="10.7109375" style="1321" customWidth="1"/>
    <col min="1830" max="1830" width="8.7109375" style="1321" customWidth="1"/>
    <col min="1831" max="2067" width="9.140625" style="1321"/>
    <col min="2068" max="2068" width="3.7109375" style="1321" customWidth="1"/>
    <col min="2069" max="2069" width="14.42578125" style="1321" customWidth="1"/>
    <col min="2070" max="2070" width="3.7109375" style="1321" customWidth="1"/>
    <col min="2071" max="2085" width="10.7109375" style="1321" customWidth="1"/>
    <col min="2086" max="2086" width="8.7109375" style="1321" customWidth="1"/>
    <col min="2087" max="2323" width="9.140625" style="1321"/>
    <col min="2324" max="2324" width="3.7109375" style="1321" customWidth="1"/>
    <col min="2325" max="2325" width="14.42578125" style="1321" customWidth="1"/>
    <col min="2326" max="2326" width="3.7109375" style="1321" customWidth="1"/>
    <col min="2327" max="2341" width="10.7109375" style="1321" customWidth="1"/>
    <col min="2342" max="2342" width="8.7109375" style="1321" customWidth="1"/>
    <col min="2343" max="2579" width="9.140625" style="1321"/>
    <col min="2580" max="2580" width="3.7109375" style="1321" customWidth="1"/>
    <col min="2581" max="2581" width="14.42578125" style="1321" customWidth="1"/>
    <col min="2582" max="2582" width="3.7109375" style="1321" customWidth="1"/>
    <col min="2583" max="2597" width="10.7109375" style="1321" customWidth="1"/>
    <col min="2598" max="2598" width="8.7109375" style="1321" customWidth="1"/>
    <col min="2599" max="2835" width="9.140625" style="1321"/>
    <col min="2836" max="2836" width="3.7109375" style="1321" customWidth="1"/>
    <col min="2837" max="2837" width="14.42578125" style="1321" customWidth="1"/>
    <col min="2838" max="2838" width="3.7109375" style="1321" customWidth="1"/>
    <col min="2839" max="2853" width="10.7109375" style="1321" customWidth="1"/>
    <col min="2854" max="2854" width="8.7109375" style="1321" customWidth="1"/>
    <col min="2855" max="3091" width="9.140625" style="1321"/>
    <col min="3092" max="3092" width="3.7109375" style="1321" customWidth="1"/>
    <col min="3093" max="3093" width="14.42578125" style="1321" customWidth="1"/>
    <col min="3094" max="3094" width="3.7109375" style="1321" customWidth="1"/>
    <col min="3095" max="3109" width="10.7109375" style="1321" customWidth="1"/>
    <col min="3110" max="3110" width="8.7109375" style="1321" customWidth="1"/>
    <col min="3111" max="3347" width="9.140625" style="1321"/>
    <col min="3348" max="3348" width="3.7109375" style="1321" customWidth="1"/>
    <col min="3349" max="3349" width="14.42578125" style="1321" customWidth="1"/>
    <col min="3350" max="3350" width="3.7109375" style="1321" customWidth="1"/>
    <col min="3351" max="3365" width="10.7109375" style="1321" customWidth="1"/>
    <col min="3366" max="3366" width="8.7109375" style="1321" customWidth="1"/>
    <col min="3367" max="3603" width="9.140625" style="1321"/>
    <col min="3604" max="3604" width="3.7109375" style="1321" customWidth="1"/>
    <col min="3605" max="3605" width="14.42578125" style="1321" customWidth="1"/>
    <col min="3606" max="3606" width="3.7109375" style="1321" customWidth="1"/>
    <col min="3607" max="3621" width="10.7109375" style="1321" customWidth="1"/>
    <col min="3622" max="3622" width="8.7109375" style="1321" customWidth="1"/>
    <col min="3623" max="3859" width="9.140625" style="1321"/>
    <col min="3860" max="3860" width="3.7109375" style="1321" customWidth="1"/>
    <col min="3861" max="3861" width="14.42578125" style="1321" customWidth="1"/>
    <col min="3862" max="3862" width="3.7109375" style="1321" customWidth="1"/>
    <col min="3863" max="3877" width="10.7109375" style="1321" customWidth="1"/>
    <col min="3878" max="3878" width="8.7109375" style="1321" customWidth="1"/>
    <col min="3879" max="4115" width="9.140625" style="1321"/>
    <col min="4116" max="4116" width="3.7109375" style="1321" customWidth="1"/>
    <col min="4117" max="4117" width="14.42578125" style="1321" customWidth="1"/>
    <col min="4118" max="4118" width="3.7109375" style="1321" customWidth="1"/>
    <col min="4119" max="4133" width="10.7109375" style="1321" customWidth="1"/>
    <col min="4134" max="4134" width="8.7109375" style="1321" customWidth="1"/>
    <col min="4135" max="4371" width="9.140625" style="1321"/>
    <col min="4372" max="4372" width="3.7109375" style="1321" customWidth="1"/>
    <col min="4373" max="4373" width="14.42578125" style="1321" customWidth="1"/>
    <col min="4374" max="4374" width="3.7109375" style="1321" customWidth="1"/>
    <col min="4375" max="4389" width="10.7109375" style="1321" customWidth="1"/>
    <col min="4390" max="4390" width="8.7109375" style="1321" customWidth="1"/>
    <col min="4391" max="4627" width="9.140625" style="1321"/>
    <col min="4628" max="4628" width="3.7109375" style="1321" customWidth="1"/>
    <col min="4629" max="4629" width="14.42578125" style="1321" customWidth="1"/>
    <col min="4630" max="4630" width="3.7109375" style="1321" customWidth="1"/>
    <col min="4631" max="4645" width="10.7109375" style="1321" customWidth="1"/>
    <col min="4646" max="4646" width="8.7109375" style="1321" customWidth="1"/>
    <col min="4647" max="4883" width="9.140625" style="1321"/>
    <col min="4884" max="4884" width="3.7109375" style="1321" customWidth="1"/>
    <col min="4885" max="4885" width="14.42578125" style="1321" customWidth="1"/>
    <col min="4886" max="4886" width="3.7109375" style="1321" customWidth="1"/>
    <col min="4887" max="4901" width="10.7109375" style="1321" customWidth="1"/>
    <col min="4902" max="4902" width="8.7109375" style="1321" customWidth="1"/>
    <col min="4903" max="5139" width="9.140625" style="1321"/>
    <col min="5140" max="5140" width="3.7109375" style="1321" customWidth="1"/>
    <col min="5141" max="5141" width="14.42578125" style="1321" customWidth="1"/>
    <col min="5142" max="5142" width="3.7109375" style="1321" customWidth="1"/>
    <col min="5143" max="5157" width="10.7109375" style="1321" customWidth="1"/>
    <col min="5158" max="5158" width="8.7109375" style="1321" customWidth="1"/>
    <col min="5159" max="5395" width="9.140625" style="1321"/>
    <col min="5396" max="5396" width="3.7109375" style="1321" customWidth="1"/>
    <col min="5397" max="5397" width="14.42578125" style="1321" customWidth="1"/>
    <col min="5398" max="5398" width="3.7109375" style="1321" customWidth="1"/>
    <col min="5399" max="5413" width="10.7109375" style="1321" customWidth="1"/>
    <col min="5414" max="5414" width="8.7109375" style="1321" customWidth="1"/>
    <col min="5415" max="5651" width="9.140625" style="1321"/>
    <col min="5652" max="5652" width="3.7109375" style="1321" customWidth="1"/>
    <col min="5653" max="5653" width="14.42578125" style="1321" customWidth="1"/>
    <col min="5654" max="5654" width="3.7109375" style="1321" customWidth="1"/>
    <col min="5655" max="5669" width="10.7109375" style="1321" customWidth="1"/>
    <col min="5670" max="5670" width="8.7109375" style="1321" customWidth="1"/>
    <col min="5671" max="5907" width="9.140625" style="1321"/>
    <col min="5908" max="5908" width="3.7109375" style="1321" customWidth="1"/>
    <col min="5909" max="5909" width="14.42578125" style="1321" customWidth="1"/>
    <col min="5910" max="5910" width="3.7109375" style="1321" customWidth="1"/>
    <col min="5911" max="5925" width="10.7109375" style="1321" customWidth="1"/>
    <col min="5926" max="5926" width="8.7109375" style="1321" customWidth="1"/>
    <col min="5927" max="6163" width="9.140625" style="1321"/>
    <col min="6164" max="6164" width="3.7109375" style="1321" customWidth="1"/>
    <col min="6165" max="6165" width="14.42578125" style="1321" customWidth="1"/>
    <col min="6166" max="6166" width="3.7109375" style="1321" customWidth="1"/>
    <col min="6167" max="6181" width="10.7109375" style="1321" customWidth="1"/>
    <col min="6182" max="6182" width="8.7109375" style="1321" customWidth="1"/>
    <col min="6183" max="6419" width="9.140625" style="1321"/>
    <col min="6420" max="6420" width="3.7109375" style="1321" customWidth="1"/>
    <col min="6421" max="6421" width="14.42578125" style="1321" customWidth="1"/>
    <col min="6422" max="6422" width="3.7109375" style="1321" customWidth="1"/>
    <col min="6423" max="6437" width="10.7109375" style="1321" customWidth="1"/>
    <col min="6438" max="6438" width="8.7109375" style="1321" customWidth="1"/>
    <col min="6439" max="6675" width="9.140625" style="1321"/>
    <col min="6676" max="6676" width="3.7109375" style="1321" customWidth="1"/>
    <col min="6677" max="6677" width="14.42578125" style="1321" customWidth="1"/>
    <col min="6678" max="6678" width="3.7109375" style="1321" customWidth="1"/>
    <col min="6679" max="6693" width="10.7109375" style="1321" customWidth="1"/>
    <col min="6694" max="6694" width="8.7109375" style="1321" customWidth="1"/>
    <col min="6695" max="6931" width="9.140625" style="1321"/>
    <col min="6932" max="6932" width="3.7109375" style="1321" customWidth="1"/>
    <col min="6933" max="6933" width="14.42578125" style="1321" customWidth="1"/>
    <col min="6934" max="6934" width="3.7109375" style="1321" customWidth="1"/>
    <col min="6935" max="6949" width="10.7109375" style="1321" customWidth="1"/>
    <col min="6950" max="6950" width="8.7109375" style="1321" customWidth="1"/>
    <col min="6951" max="7187" width="9.140625" style="1321"/>
    <col min="7188" max="7188" width="3.7109375" style="1321" customWidth="1"/>
    <col min="7189" max="7189" width="14.42578125" style="1321" customWidth="1"/>
    <col min="7190" max="7190" width="3.7109375" style="1321" customWidth="1"/>
    <col min="7191" max="7205" width="10.7109375" style="1321" customWidth="1"/>
    <col min="7206" max="7206" width="8.7109375" style="1321" customWidth="1"/>
    <col min="7207" max="7443" width="9.140625" style="1321"/>
    <col min="7444" max="7444" width="3.7109375" style="1321" customWidth="1"/>
    <col min="7445" max="7445" width="14.42578125" style="1321" customWidth="1"/>
    <col min="7446" max="7446" width="3.7109375" style="1321" customWidth="1"/>
    <col min="7447" max="7461" width="10.7109375" style="1321" customWidth="1"/>
    <col min="7462" max="7462" width="8.7109375" style="1321" customWidth="1"/>
    <col min="7463" max="7699" width="9.140625" style="1321"/>
    <col min="7700" max="7700" width="3.7109375" style="1321" customWidth="1"/>
    <col min="7701" max="7701" width="14.42578125" style="1321" customWidth="1"/>
    <col min="7702" max="7702" width="3.7109375" style="1321" customWidth="1"/>
    <col min="7703" max="7717" width="10.7109375" style="1321" customWidth="1"/>
    <col min="7718" max="7718" width="8.7109375" style="1321" customWidth="1"/>
    <col min="7719" max="7955" width="9.140625" style="1321"/>
    <col min="7956" max="7956" width="3.7109375" style="1321" customWidth="1"/>
    <col min="7957" max="7957" width="14.42578125" style="1321" customWidth="1"/>
    <col min="7958" max="7958" width="3.7109375" style="1321" customWidth="1"/>
    <col min="7959" max="7973" width="10.7109375" style="1321" customWidth="1"/>
    <col min="7974" max="7974" width="8.7109375" style="1321" customWidth="1"/>
    <col min="7975" max="8211" width="9.140625" style="1321"/>
    <col min="8212" max="8212" width="3.7109375" style="1321" customWidth="1"/>
    <col min="8213" max="8213" width="14.42578125" style="1321" customWidth="1"/>
    <col min="8214" max="8214" width="3.7109375" style="1321" customWidth="1"/>
    <col min="8215" max="8229" width="10.7109375" style="1321" customWidth="1"/>
    <col min="8230" max="8230" width="8.7109375" style="1321" customWidth="1"/>
    <col min="8231" max="8467" width="9.140625" style="1321"/>
    <col min="8468" max="8468" width="3.7109375" style="1321" customWidth="1"/>
    <col min="8469" max="8469" width="14.42578125" style="1321" customWidth="1"/>
    <col min="8470" max="8470" width="3.7109375" style="1321" customWidth="1"/>
    <col min="8471" max="8485" width="10.7109375" style="1321" customWidth="1"/>
    <col min="8486" max="8486" width="8.7109375" style="1321" customWidth="1"/>
    <col min="8487" max="8723" width="9.140625" style="1321"/>
    <col min="8724" max="8724" width="3.7109375" style="1321" customWidth="1"/>
    <col min="8725" max="8725" width="14.42578125" style="1321" customWidth="1"/>
    <col min="8726" max="8726" width="3.7109375" style="1321" customWidth="1"/>
    <col min="8727" max="8741" width="10.7109375" style="1321" customWidth="1"/>
    <col min="8742" max="8742" width="8.7109375" style="1321" customWidth="1"/>
    <col min="8743" max="8979" width="9.140625" style="1321"/>
    <col min="8980" max="8980" width="3.7109375" style="1321" customWidth="1"/>
    <col min="8981" max="8981" width="14.42578125" style="1321" customWidth="1"/>
    <col min="8982" max="8982" width="3.7109375" style="1321" customWidth="1"/>
    <col min="8983" max="8997" width="10.7109375" style="1321" customWidth="1"/>
    <col min="8998" max="8998" width="8.7109375" style="1321" customWidth="1"/>
    <col min="8999" max="9235" width="9.140625" style="1321"/>
    <col min="9236" max="9236" width="3.7109375" style="1321" customWidth="1"/>
    <col min="9237" max="9237" width="14.42578125" style="1321" customWidth="1"/>
    <col min="9238" max="9238" width="3.7109375" style="1321" customWidth="1"/>
    <col min="9239" max="9253" width="10.7109375" style="1321" customWidth="1"/>
    <col min="9254" max="9254" width="8.7109375" style="1321" customWidth="1"/>
    <col min="9255" max="9491" width="9.140625" style="1321"/>
    <col min="9492" max="9492" width="3.7109375" style="1321" customWidth="1"/>
    <col min="9493" max="9493" width="14.42578125" style="1321" customWidth="1"/>
    <col min="9494" max="9494" width="3.7109375" style="1321" customWidth="1"/>
    <col min="9495" max="9509" width="10.7109375" style="1321" customWidth="1"/>
    <col min="9510" max="9510" width="8.7109375" style="1321" customWidth="1"/>
    <col min="9511" max="9747" width="9.140625" style="1321"/>
    <col min="9748" max="9748" width="3.7109375" style="1321" customWidth="1"/>
    <col min="9749" max="9749" width="14.42578125" style="1321" customWidth="1"/>
    <col min="9750" max="9750" width="3.7109375" style="1321" customWidth="1"/>
    <col min="9751" max="9765" width="10.7109375" style="1321" customWidth="1"/>
    <col min="9766" max="9766" width="8.7109375" style="1321" customWidth="1"/>
    <col min="9767" max="10003" width="9.140625" style="1321"/>
    <col min="10004" max="10004" width="3.7109375" style="1321" customWidth="1"/>
    <col min="10005" max="10005" width="14.42578125" style="1321" customWidth="1"/>
    <col min="10006" max="10006" width="3.7109375" style="1321" customWidth="1"/>
    <col min="10007" max="10021" width="10.7109375" style="1321" customWidth="1"/>
    <col min="10022" max="10022" width="8.7109375" style="1321" customWidth="1"/>
    <col min="10023" max="10259" width="9.140625" style="1321"/>
    <col min="10260" max="10260" width="3.7109375" style="1321" customWidth="1"/>
    <col min="10261" max="10261" width="14.42578125" style="1321" customWidth="1"/>
    <col min="10262" max="10262" width="3.7109375" style="1321" customWidth="1"/>
    <col min="10263" max="10277" width="10.7109375" style="1321" customWidth="1"/>
    <col min="10278" max="10278" width="8.7109375" style="1321" customWidth="1"/>
    <col min="10279" max="10515" width="9.140625" style="1321"/>
    <col min="10516" max="10516" width="3.7109375" style="1321" customWidth="1"/>
    <col min="10517" max="10517" width="14.42578125" style="1321" customWidth="1"/>
    <col min="10518" max="10518" width="3.7109375" style="1321" customWidth="1"/>
    <col min="10519" max="10533" width="10.7109375" style="1321" customWidth="1"/>
    <col min="10534" max="10534" width="8.7109375" style="1321" customWidth="1"/>
    <col min="10535" max="10771" width="9.140625" style="1321"/>
    <col min="10772" max="10772" width="3.7109375" style="1321" customWidth="1"/>
    <col min="10773" max="10773" width="14.42578125" style="1321" customWidth="1"/>
    <col min="10774" max="10774" width="3.7109375" style="1321" customWidth="1"/>
    <col min="10775" max="10789" width="10.7109375" style="1321" customWidth="1"/>
    <col min="10790" max="10790" width="8.7109375" style="1321" customWidth="1"/>
    <col min="10791" max="11027" width="9.140625" style="1321"/>
    <col min="11028" max="11028" width="3.7109375" style="1321" customWidth="1"/>
    <col min="11029" max="11029" width="14.42578125" style="1321" customWidth="1"/>
    <col min="11030" max="11030" width="3.7109375" style="1321" customWidth="1"/>
    <col min="11031" max="11045" width="10.7109375" style="1321" customWidth="1"/>
    <col min="11046" max="11046" width="8.7109375" style="1321" customWidth="1"/>
    <col min="11047" max="11283" width="9.140625" style="1321"/>
    <col min="11284" max="11284" width="3.7109375" style="1321" customWidth="1"/>
    <col min="11285" max="11285" width="14.42578125" style="1321" customWidth="1"/>
    <col min="11286" max="11286" width="3.7109375" style="1321" customWidth="1"/>
    <col min="11287" max="11301" width="10.7109375" style="1321" customWidth="1"/>
    <col min="11302" max="11302" width="8.7109375" style="1321" customWidth="1"/>
    <col min="11303" max="11539" width="9.140625" style="1321"/>
    <col min="11540" max="11540" width="3.7109375" style="1321" customWidth="1"/>
    <col min="11541" max="11541" width="14.42578125" style="1321" customWidth="1"/>
    <col min="11542" max="11542" width="3.7109375" style="1321" customWidth="1"/>
    <col min="11543" max="11557" width="10.7109375" style="1321" customWidth="1"/>
    <col min="11558" max="11558" width="8.7109375" style="1321" customWidth="1"/>
    <col min="11559" max="11795" width="9.140625" style="1321"/>
    <col min="11796" max="11796" width="3.7109375" style="1321" customWidth="1"/>
    <col min="11797" max="11797" width="14.42578125" style="1321" customWidth="1"/>
    <col min="11798" max="11798" width="3.7109375" style="1321" customWidth="1"/>
    <col min="11799" max="11813" width="10.7109375" style="1321" customWidth="1"/>
    <col min="11814" max="11814" width="8.7109375" style="1321" customWidth="1"/>
    <col min="11815" max="12051" width="9.140625" style="1321"/>
    <col min="12052" max="12052" width="3.7109375" style="1321" customWidth="1"/>
    <col min="12053" max="12053" width="14.42578125" style="1321" customWidth="1"/>
    <col min="12054" max="12054" width="3.7109375" style="1321" customWidth="1"/>
    <col min="12055" max="12069" width="10.7109375" style="1321" customWidth="1"/>
    <col min="12070" max="12070" width="8.7109375" style="1321" customWidth="1"/>
    <col min="12071" max="12307" width="9.140625" style="1321"/>
    <col min="12308" max="12308" width="3.7109375" style="1321" customWidth="1"/>
    <col min="12309" max="12309" width="14.42578125" style="1321" customWidth="1"/>
    <col min="12310" max="12310" width="3.7109375" style="1321" customWidth="1"/>
    <col min="12311" max="12325" width="10.7109375" style="1321" customWidth="1"/>
    <col min="12326" max="12326" width="8.7109375" style="1321" customWidth="1"/>
    <col min="12327" max="12563" width="9.140625" style="1321"/>
    <col min="12564" max="12564" width="3.7109375" style="1321" customWidth="1"/>
    <col min="12565" max="12565" width="14.42578125" style="1321" customWidth="1"/>
    <col min="12566" max="12566" width="3.7109375" style="1321" customWidth="1"/>
    <col min="12567" max="12581" width="10.7109375" style="1321" customWidth="1"/>
    <col min="12582" max="12582" width="8.7109375" style="1321" customWidth="1"/>
    <col min="12583" max="12819" width="9.140625" style="1321"/>
    <col min="12820" max="12820" width="3.7109375" style="1321" customWidth="1"/>
    <col min="12821" max="12821" width="14.42578125" style="1321" customWidth="1"/>
    <col min="12822" max="12822" width="3.7109375" style="1321" customWidth="1"/>
    <col min="12823" max="12837" width="10.7109375" style="1321" customWidth="1"/>
    <col min="12838" max="12838" width="8.7109375" style="1321" customWidth="1"/>
    <col min="12839" max="13075" width="9.140625" style="1321"/>
    <col min="13076" max="13076" width="3.7109375" style="1321" customWidth="1"/>
    <col min="13077" max="13077" width="14.42578125" style="1321" customWidth="1"/>
    <col min="13078" max="13078" width="3.7109375" style="1321" customWidth="1"/>
    <col min="13079" max="13093" width="10.7109375" style="1321" customWidth="1"/>
    <col min="13094" max="13094" width="8.7109375" style="1321" customWidth="1"/>
    <col min="13095" max="13331" width="9.140625" style="1321"/>
    <col min="13332" max="13332" width="3.7109375" style="1321" customWidth="1"/>
    <col min="13333" max="13333" width="14.42578125" style="1321" customWidth="1"/>
    <col min="13334" max="13334" width="3.7109375" style="1321" customWidth="1"/>
    <col min="13335" max="13349" width="10.7109375" style="1321" customWidth="1"/>
    <col min="13350" max="13350" width="8.7109375" style="1321" customWidth="1"/>
    <col min="13351" max="13587" width="9.140625" style="1321"/>
    <col min="13588" max="13588" width="3.7109375" style="1321" customWidth="1"/>
    <col min="13589" max="13589" width="14.42578125" style="1321" customWidth="1"/>
    <col min="13590" max="13590" width="3.7109375" style="1321" customWidth="1"/>
    <col min="13591" max="13605" width="10.7109375" style="1321" customWidth="1"/>
    <col min="13606" max="13606" width="8.7109375" style="1321" customWidth="1"/>
    <col min="13607" max="13843" width="9.140625" style="1321"/>
    <col min="13844" max="13844" width="3.7109375" style="1321" customWidth="1"/>
    <col min="13845" max="13845" width="14.42578125" style="1321" customWidth="1"/>
    <col min="13846" max="13846" width="3.7109375" style="1321" customWidth="1"/>
    <col min="13847" max="13861" width="10.7109375" style="1321" customWidth="1"/>
    <col min="13862" max="13862" width="8.7109375" style="1321" customWidth="1"/>
    <col min="13863" max="14099" width="9.140625" style="1321"/>
    <col min="14100" max="14100" width="3.7109375" style="1321" customWidth="1"/>
    <col min="14101" max="14101" width="14.42578125" style="1321" customWidth="1"/>
    <col min="14102" max="14102" width="3.7109375" style="1321" customWidth="1"/>
    <col min="14103" max="14117" width="10.7109375" style="1321" customWidth="1"/>
    <col min="14118" max="14118" width="8.7109375" style="1321" customWidth="1"/>
    <col min="14119" max="14355" width="9.140625" style="1321"/>
    <col min="14356" max="14356" width="3.7109375" style="1321" customWidth="1"/>
    <col min="14357" max="14357" width="14.42578125" style="1321" customWidth="1"/>
    <col min="14358" max="14358" width="3.7109375" style="1321" customWidth="1"/>
    <col min="14359" max="14373" width="10.7109375" style="1321" customWidth="1"/>
    <col min="14374" max="14374" width="8.7109375" style="1321" customWidth="1"/>
    <col min="14375" max="14611" width="9.140625" style="1321"/>
    <col min="14612" max="14612" width="3.7109375" style="1321" customWidth="1"/>
    <col min="14613" max="14613" width="14.42578125" style="1321" customWidth="1"/>
    <col min="14614" max="14614" width="3.7109375" style="1321" customWidth="1"/>
    <col min="14615" max="14629" width="10.7109375" style="1321" customWidth="1"/>
    <col min="14630" max="14630" width="8.7109375" style="1321" customWidth="1"/>
    <col min="14631" max="14867" width="9.140625" style="1321"/>
    <col min="14868" max="14868" width="3.7109375" style="1321" customWidth="1"/>
    <col min="14869" max="14869" width="14.42578125" style="1321" customWidth="1"/>
    <col min="14870" max="14870" width="3.7109375" style="1321" customWidth="1"/>
    <col min="14871" max="14885" width="10.7109375" style="1321" customWidth="1"/>
    <col min="14886" max="14886" width="8.7109375" style="1321" customWidth="1"/>
    <col min="14887" max="15123" width="9.140625" style="1321"/>
    <col min="15124" max="15124" width="3.7109375" style="1321" customWidth="1"/>
    <col min="15125" max="15125" width="14.42578125" style="1321" customWidth="1"/>
    <col min="15126" max="15126" width="3.7109375" style="1321" customWidth="1"/>
    <col min="15127" max="15141" width="10.7109375" style="1321" customWidth="1"/>
    <col min="15142" max="15142" width="8.7109375" style="1321" customWidth="1"/>
    <col min="15143" max="15379" width="9.140625" style="1321"/>
    <col min="15380" max="15380" width="3.7109375" style="1321" customWidth="1"/>
    <col min="15381" max="15381" width="14.42578125" style="1321" customWidth="1"/>
    <col min="15382" max="15382" width="3.7109375" style="1321" customWidth="1"/>
    <col min="15383" max="15397" width="10.7109375" style="1321" customWidth="1"/>
    <col min="15398" max="15398" width="8.7109375" style="1321" customWidth="1"/>
    <col min="15399" max="15635" width="9.140625" style="1321"/>
    <col min="15636" max="15636" width="3.7109375" style="1321" customWidth="1"/>
    <col min="15637" max="15637" width="14.42578125" style="1321" customWidth="1"/>
    <col min="15638" max="15638" width="3.7109375" style="1321" customWidth="1"/>
    <col min="15639" max="15653" width="10.7109375" style="1321" customWidth="1"/>
    <col min="15654" max="15654" width="8.7109375" style="1321" customWidth="1"/>
    <col min="15655" max="15891" width="9.140625" style="1321"/>
    <col min="15892" max="15892" width="3.7109375" style="1321" customWidth="1"/>
    <col min="15893" max="15893" width="14.42578125" style="1321" customWidth="1"/>
    <col min="15894" max="15894" width="3.7109375" style="1321" customWidth="1"/>
    <col min="15895" max="15909" width="10.7109375" style="1321" customWidth="1"/>
    <col min="15910" max="15910" width="8.7109375" style="1321" customWidth="1"/>
    <col min="15911" max="16147" width="9.140625" style="1321"/>
    <col min="16148" max="16148" width="3.7109375" style="1321" customWidth="1"/>
    <col min="16149" max="16149" width="14.42578125" style="1321" customWidth="1"/>
    <col min="16150" max="16150" width="3.7109375" style="1321" customWidth="1"/>
    <col min="16151" max="16165" width="10.7109375" style="1321" customWidth="1"/>
    <col min="16166" max="16166" width="8.7109375" style="1321" customWidth="1"/>
    <col min="16167" max="16384" width="9.140625" style="1321"/>
  </cols>
  <sheetData>
    <row r="1" spans="1:55" x14ac:dyDescent="0.25">
      <c r="O1" s="2819"/>
      <c r="P1" s="2819"/>
      <c r="Q1" s="2819"/>
      <c r="R1" s="2819"/>
      <c r="T1" s="2819"/>
      <c r="U1" s="2819"/>
      <c r="V1" s="2819"/>
      <c r="W1" s="2819"/>
      <c r="X1" s="2819"/>
      <c r="Y1" s="2819"/>
      <c r="Z1" s="2819"/>
      <c r="AA1" s="2819"/>
      <c r="AB1" s="2819"/>
      <c r="AC1" s="2819"/>
    </row>
    <row r="2" spans="1:55" ht="12.75" customHeight="1" x14ac:dyDescent="0.2">
      <c r="A2" s="1">
        <v>1</v>
      </c>
      <c r="B2" s="1" t="s">
        <v>0</v>
      </c>
      <c r="C2" s="1">
        <v>79</v>
      </c>
      <c r="D2" s="4140" t="s">
        <v>1578</v>
      </c>
      <c r="E2" s="4141"/>
      <c r="F2" s="4141"/>
      <c r="G2" s="4141"/>
      <c r="H2" s="4141"/>
      <c r="I2" s="4141"/>
      <c r="J2" s="4141"/>
      <c r="K2" s="4141"/>
      <c r="L2" s="4141"/>
      <c r="M2" s="4141"/>
      <c r="N2" s="4141"/>
      <c r="O2" s="4141"/>
      <c r="P2" s="4141"/>
      <c r="Q2" s="4141"/>
      <c r="R2" s="4141"/>
      <c r="S2" s="4141"/>
      <c r="T2" s="4141"/>
      <c r="U2" s="4141"/>
      <c r="V2" s="4141"/>
      <c r="W2" s="4141"/>
      <c r="X2" s="4141"/>
      <c r="Y2" s="4141"/>
      <c r="Z2" s="4141"/>
      <c r="AA2" s="4141"/>
      <c r="AB2" s="4141"/>
      <c r="AC2" s="4141"/>
      <c r="AD2" s="4142"/>
      <c r="AE2" s="1769"/>
      <c r="AF2" s="1769"/>
      <c r="AG2" s="1769"/>
      <c r="AH2" s="1769"/>
      <c r="AI2" s="1769"/>
    </row>
    <row r="3" spans="1:55" ht="12.75" customHeight="1" x14ac:dyDescent="0.2">
      <c r="A3" s="1">
        <v>2</v>
      </c>
      <c r="B3" s="1" t="s">
        <v>2</v>
      </c>
      <c r="C3" s="1"/>
      <c r="D3" s="4140" t="s">
        <v>1579</v>
      </c>
      <c r="E3" s="4141"/>
      <c r="F3" s="4141"/>
      <c r="G3" s="4141"/>
      <c r="H3" s="4141"/>
      <c r="I3" s="4141"/>
      <c r="J3" s="4141"/>
      <c r="K3" s="4141"/>
      <c r="L3" s="4141"/>
      <c r="M3" s="4141"/>
      <c r="N3" s="4141"/>
      <c r="O3" s="4141"/>
      <c r="P3" s="4141"/>
      <c r="Q3" s="4141"/>
      <c r="R3" s="4141"/>
      <c r="S3" s="4141"/>
      <c r="T3" s="4141"/>
      <c r="U3" s="4141"/>
      <c r="V3" s="4141"/>
      <c r="W3" s="4141"/>
      <c r="X3" s="4141"/>
      <c r="Y3" s="4141"/>
      <c r="Z3" s="4141"/>
      <c r="AA3" s="4141"/>
      <c r="AB3" s="4141"/>
      <c r="AC3" s="4141"/>
      <c r="AD3" s="4142"/>
      <c r="AE3" s="1769"/>
      <c r="AF3" s="1769"/>
      <c r="AG3" s="1769"/>
      <c r="AH3" s="1769"/>
      <c r="AI3" s="1769"/>
    </row>
    <row r="4" spans="1:55" ht="15" customHeight="1" x14ac:dyDescent="0.2">
      <c r="A4" s="1">
        <v>3</v>
      </c>
      <c r="B4" s="1" t="s">
        <v>4</v>
      </c>
      <c r="C4" s="1"/>
      <c r="D4" s="4140" t="s">
        <v>1580</v>
      </c>
      <c r="E4" s="4141"/>
      <c r="F4" s="4141"/>
      <c r="G4" s="4141"/>
      <c r="H4" s="4141"/>
      <c r="I4" s="4141"/>
      <c r="J4" s="4141"/>
      <c r="K4" s="4141"/>
      <c r="L4" s="4141"/>
      <c r="M4" s="4141"/>
      <c r="N4" s="4141"/>
      <c r="O4" s="4141"/>
      <c r="P4" s="4141"/>
      <c r="Q4" s="4141"/>
      <c r="R4" s="4141"/>
      <c r="S4" s="4141"/>
      <c r="T4" s="4141"/>
      <c r="U4" s="4141"/>
      <c r="V4" s="4141"/>
      <c r="W4" s="4141"/>
      <c r="X4" s="4141"/>
      <c r="Y4" s="4141"/>
      <c r="Z4" s="4141"/>
      <c r="AA4" s="4141"/>
      <c r="AB4" s="4141"/>
      <c r="AC4" s="4141"/>
      <c r="AD4" s="4142"/>
      <c r="AE4" s="1769"/>
      <c r="AF4" s="1769"/>
      <c r="AG4" s="1769"/>
      <c r="AH4" s="1769"/>
      <c r="AI4" s="1769"/>
    </row>
    <row r="5" spans="1:55" ht="15" customHeight="1" x14ac:dyDescent="0.2">
      <c r="A5" s="1"/>
      <c r="B5" s="1"/>
      <c r="C5" s="1"/>
      <c r="D5" s="1769"/>
      <c r="E5" s="1769"/>
      <c r="F5" s="1769"/>
      <c r="G5" s="1769"/>
      <c r="H5" s="1769"/>
      <c r="I5" s="1769"/>
      <c r="J5" s="1769"/>
      <c r="K5" s="1769"/>
      <c r="L5" s="1769"/>
      <c r="M5" s="1769"/>
      <c r="N5" s="1769"/>
      <c r="O5" s="1769"/>
      <c r="P5" s="1769"/>
      <c r="Q5" s="1769"/>
      <c r="R5" s="1769"/>
      <c r="S5" s="1769"/>
      <c r="T5" s="1769"/>
      <c r="U5" s="1769"/>
      <c r="V5" s="1769"/>
      <c r="W5" s="1769"/>
      <c r="X5" s="1769"/>
      <c r="Y5" s="1769"/>
      <c r="Z5" s="1769"/>
      <c r="AA5" s="1769"/>
      <c r="AB5" s="1769"/>
      <c r="AC5" s="1769"/>
      <c r="AD5" s="1769"/>
      <c r="AE5" s="1769"/>
      <c r="AF5" s="1769"/>
      <c r="AG5" s="1769"/>
      <c r="AH5" s="1769"/>
      <c r="AI5" s="1769"/>
    </row>
    <row r="6" spans="1:55" ht="13.5" thickBot="1" x14ac:dyDescent="0.25">
      <c r="A6" s="3528">
        <v>4</v>
      </c>
      <c r="B6" s="3528" t="s">
        <v>5</v>
      </c>
      <c r="C6" s="6"/>
      <c r="D6" s="2089" t="s">
        <v>1581</v>
      </c>
      <c r="E6" s="2089">
        <v>2006</v>
      </c>
      <c r="F6" s="3531"/>
      <c r="G6" s="3531"/>
      <c r="H6" s="3531"/>
      <c r="I6" s="2089">
        <v>2008</v>
      </c>
      <c r="J6" s="2089"/>
      <c r="K6" s="1355"/>
      <c r="L6" s="1355"/>
      <c r="M6" s="1355"/>
      <c r="N6" s="2089">
        <v>2010</v>
      </c>
      <c r="O6" s="2089"/>
      <c r="P6" s="1355"/>
      <c r="Q6" s="1355"/>
      <c r="R6" s="1355"/>
      <c r="S6" s="2089">
        <v>2012</v>
      </c>
      <c r="T6" s="2089"/>
      <c r="U6" s="1355"/>
      <c r="V6" s="1355"/>
      <c r="W6" s="1355"/>
      <c r="X6" s="1355"/>
      <c r="Y6" s="2089">
        <v>2015</v>
      </c>
      <c r="Z6" s="17"/>
      <c r="AA6" s="17"/>
      <c r="AB6" s="1322"/>
      <c r="AC6" s="1322"/>
      <c r="AD6" s="1322"/>
      <c r="AE6" s="2089">
        <v>2016</v>
      </c>
      <c r="AF6" s="17"/>
      <c r="AG6" s="17"/>
      <c r="AH6" s="1322"/>
      <c r="AI6" s="1322"/>
      <c r="AJ6" s="1322"/>
      <c r="AK6" s="2089">
        <v>2017</v>
      </c>
      <c r="AL6" s="17"/>
      <c r="AM6" s="17"/>
      <c r="AN6" s="1322"/>
      <c r="AO6" s="1322"/>
      <c r="AP6" s="1322"/>
      <c r="AQ6" s="1322"/>
      <c r="AR6" s="1322"/>
      <c r="AS6" s="1322"/>
      <c r="AT6" s="1322"/>
      <c r="AU6" s="1322"/>
      <c r="AV6" s="1322"/>
      <c r="AW6" s="1322"/>
      <c r="AX6" s="1322"/>
      <c r="AY6" s="1322"/>
      <c r="AZ6" s="1322"/>
      <c r="BA6" s="1322"/>
      <c r="BB6" s="1322"/>
      <c r="BC6" s="1322"/>
    </row>
    <row r="7" spans="1:55" ht="12.75" x14ac:dyDescent="0.2">
      <c r="A7" s="5"/>
      <c r="B7" s="6"/>
      <c r="C7" s="6"/>
      <c r="D7" s="3532"/>
      <c r="E7" s="3533"/>
      <c r="F7" s="3534"/>
      <c r="G7" s="3534"/>
      <c r="H7" s="3535"/>
      <c r="I7" s="3532"/>
      <c r="J7" s="3533"/>
      <c r="K7" s="3534"/>
      <c r="L7" s="3534"/>
      <c r="M7" s="3535"/>
      <c r="N7" s="3532"/>
      <c r="O7" s="3533"/>
      <c r="P7" s="3534"/>
      <c r="Q7" s="3534"/>
      <c r="R7" s="3535"/>
      <c r="S7" s="3532"/>
      <c r="T7" s="3533"/>
      <c r="U7" s="3534"/>
      <c r="V7" s="3534"/>
      <c r="W7" s="3534"/>
      <c r="X7" s="3535"/>
      <c r="Y7" s="3532"/>
      <c r="Z7" s="3533"/>
      <c r="AA7" s="3534"/>
      <c r="AB7" s="3534"/>
      <c r="AC7" s="3534"/>
      <c r="AD7" s="3535"/>
      <c r="AE7" s="3532"/>
      <c r="AF7" s="3533"/>
      <c r="AG7" s="3534"/>
      <c r="AH7" s="3534"/>
      <c r="AI7" s="3534"/>
      <c r="AJ7" s="3535"/>
      <c r="AK7" s="3532"/>
      <c r="AL7" s="3533"/>
      <c r="AM7" s="3534"/>
      <c r="AN7" s="3534"/>
      <c r="AO7" s="3534"/>
      <c r="AP7" s="3535"/>
      <c r="AQ7" s="1355"/>
      <c r="AR7" s="1355"/>
      <c r="AS7" s="1355"/>
      <c r="AT7" s="1355"/>
      <c r="AU7" s="1355"/>
      <c r="AV7" s="1355"/>
      <c r="AW7" s="1355"/>
      <c r="AX7" s="1355"/>
      <c r="AY7" s="1355"/>
      <c r="AZ7" s="1355"/>
      <c r="BA7" s="1355"/>
      <c r="BB7" s="1355"/>
      <c r="BC7" s="1355"/>
    </row>
    <row r="8" spans="1:55" ht="12.75" customHeight="1" x14ac:dyDescent="0.2">
      <c r="A8" s="5"/>
      <c r="B8" s="6"/>
      <c r="C8" s="6"/>
      <c r="D8" s="3536" t="s">
        <v>1582</v>
      </c>
      <c r="E8" s="1778"/>
      <c r="F8" s="1778"/>
      <c r="G8" s="1778"/>
      <c r="H8" s="3537"/>
      <c r="I8" s="3538"/>
      <c r="J8" s="1778"/>
      <c r="K8" s="1778"/>
      <c r="L8" s="1778"/>
      <c r="M8" s="3537"/>
      <c r="N8" s="3538"/>
      <c r="O8" s="1778"/>
      <c r="P8" s="1778"/>
      <c r="Q8" s="1778"/>
      <c r="R8" s="3537"/>
      <c r="S8" s="3538"/>
      <c r="T8" s="1778"/>
      <c r="U8" s="1778"/>
      <c r="V8" s="1778"/>
      <c r="W8" s="1778"/>
      <c r="X8" s="3537"/>
      <c r="Y8" s="3538"/>
      <c r="Z8" s="1778"/>
      <c r="AA8" s="1778"/>
      <c r="AB8" s="1778"/>
      <c r="AC8" s="1778"/>
      <c r="AD8" s="3537"/>
      <c r="AE8" s="3538"/>
      <c r="AF8" s="1778"/>
      <c r="AG8" s="1778"/>
      <c r="AH8" s="1778"/>
      <c r="AI8" s="1778"/>
      <c r="AJ8" s="3537"/>
      <c r="AK8" s="3538"/>
      <c r="AL8" s="1778"/>
      <c r="AM8" s="1778"/>
      <c r="AN8" s="1778"/>
      <c r="AO8" s="1778"/>
      <c r="AP8" s="3537"/>
      <c r="AQ8" s="1778"/>
      <c r="AR8" s="1778"/>
      <c r="AS8" s="1778"/>
      <c r="AT8" s="1778"/>
      <c r="AU8" s="1778"/>
      <c r="AV8" s="1778"/>
      <c r="AW8" s="1778"/>
      <c r="AX8" s="1778"/>
      <c r="AY8" s="1778"/>
      <c r="AZ8" s="1778"/>
      <c r="BA8" s="1778"/>
      <c r="BB8" s="1778"/>
      <c r="BC8" s="1778"/>
    </row>
    <row r="9" spans="1:55" ht="22.5" x14ac:dyDescent="0.2">
      <c r="A9" s="5"/>
      <c r="B9" s="6"/>
      <c r="C9" s="6"/>
      <c r="D9" s="3539"/>
      <c r="E9" s="3540" t="s">
        <v>1583</v>
      </c>
      <c r="F9" s="3540" t="s">
        <v>1584</v>
      </c>
      <c r="G9" s="3540" t="s">
        <v>250</v>
      </c>
      <c r="H9" s="3541"/>
      <c r="I9" s="3542" t="s">
        <v>1583</v>
      </c>
      <c r="J9" s="3543" t="s">
        <v>346</v>
      </c>
      <c r="K9" s="3544" t="s">
        <v>1585</v>
      </c>
      <c r="L9" s="3544"/>
      <c r="M9" s="3541"/>
      <c r="N9" s="3542" t="s">
        <v>1583</v>
      </c>
      <c r="O9" s="3544" t="s">
        <v>1586</v>
      </c>
      <c r="P9" s="3544" t="s">
        <v>1587</v>
      </c>
      <c r="Q9" s="3544" t="s">
        <v>1585</v>
      </c>
      <c r="R9" s="3541"/>
      <c r="S9" s="3542" t="s">
        <v>251</v>
      </c>
      <c r="T9" s="3543" t="s">
        <v>28</v>
      </c>
      <c r="U9" s="3544" t="s">
        <v>250</v>
      </c>
      <c r="V9" s="3544" t="s">
        <v>1587</v>
      </c>
      <c r="W9" s="3544" t="s">
        <v>1586</v>
      </c>
      <c r="X9" s="3541"/>
      <c r="Y9" s="3542" t="s">
        <v>251</v>
      </c>
      <c r="Z9" s="3544" t="s">
        <v>1587</v>
      </c>
      <c r="AA9" s="3543" t="s">
        <v>28</v>
      </c>
      <c r="AB9" s="3544" t="s">
        <v>1586</v>
      </c>
      <c r="AC9" s="3544"/>
      <c r="AD9" s="3541"/>
      <c r="AE9" s="3542" t="s">
        <v>251</v>
      </c>
      <c r="AF9" s="3544" t="s">
        <v>1587</v>
      </c>
      <c r="AG9" s="3543" t="s">
        <v>28</v>
      </c>
      <c r="AH9" s="3544" t="s">
        <v>1586</v>
      </c>
      <c r="AI9" s="3544"/>
      <c r="AJ9" s="3541"/>
      <c r="AK9" s="3542" t="s">
        <v>251</v>
      </c>
      <c r="AL9" s="3544" t="s">
        <v>1587</v>
      </c>
      <c r="AM9" s="3543" t="s">
        <v>28</v>
      </c>
      <c r="AN9" s="3544" t="s">
        <v>1586</v>
      </c>
      <c r="AO9" s="3544"/>
      <c r="AP9" s="3541"/>
      <c r="AQ9" s="1778"/>
      <c r="AR9" s="1778"/>
      <c r="AS9" s="1778"/>
      <c r="AT9" s="1778"/>
      <c r="AU9" s="1778"/>
      <c r="AV9" s="1778"/>
      <c r="AW9" s="1778"/>
      <c r="AX9" s="1778"/>
      <c r="AY9" s="1778"/>
      <c r="AZ9" s="1778"/>
      <c r="BA9" s="1778"/>
      <c r="BB9" s="1778"/>
      <c r="BC9" s="1778"/>
    </row>
    <row r="10" spans="1:55" ht="22.5" x14ac:dyDescent="0.2">
      <c r="A10" s="5"/>
      <c r="B10" s="6"/>
      <c r="C10" s="6"/>
      <c r="D10" s="3545"/>
      <c r="E10" s="3546" t="s">
        <v>1588</v>
      </c>
      <c r="F10" s="3547" t="s">
        <v>346</v>
      </c>
      <c r="G10" s="3546" t="s">
        <v>1585</v>
      </c>
      <c r="H10" s="3548"/>
      <c r="I10" s="3549" t="s">
        <v>1588</v>
      </c>
      <c r="J10" s="3546" t="s">
        <v>250</v>
      </c>
      <c r="K10" s="3550"/>
      <c r="L10" s="3551"/>
      <c r="M10" s="3548"/>
      <c r="N10" s="3549" t="s">
        <v>251</v>
      </c>
      <c r="O10" s="3552" t="s">
        <v>28</v>
      </c>
      <c r="P10" s="3546" t="s">
        <v>250</v>
      </c>
      <c r="Q10" s="3551"/>
      <c r="R10" s="3548"/>
      <c r="S10" s="3549" t="s">
        <v>1583</v>
      </c>
      <c r="T10" s="3552"/>
      <c r="U10" s="3546"/>
      <c r="V10" s="3551"/>
      <c r="W10" s="3551"/>
      <c r="X10" s="3548"/>
      <c r="Y10" s="3549" t="s">
        <v>1585</v>
      </c>
      <c r="Z10" s="3551"/>
      <c r="AA10" s="3551"/>
      <c r="AB10" s="3551"/>
      <c r="AC10" s="3551"/>
      <c r="AD10" s="3553"/>
      <c r="AE10" s="3549" t="s">
        <v>1585</v>
      </c>
      <c r="AF10" s="3551"/>
      <c r="AG10" s="3551"/>
      <c r="AH10" s="3551"/>
      <c r="AI10" s="3551"/>
      <c r="AJ10" s="3553"/>
      <c r="AK10" s="3549" t="s">
        <v>1585</v>
      </c>
      <c r="AL10" s="3551"/>
      <c r="AM10" s="3551"/>
      <c r="AN10" s="3551"/>
      <c r="AO10" s="3551"/>
      <c r="AP10" s="3553"/>
      <c r="AQ10" s="2234"/>
      <c r="AR10" s="2234"/>
      <c r="AS10" s="2234"/>
      <c r="AT10" s="2234"/>
      <c r="AU10" s="2234"/>
      <c r="AV10" s="2234"/>
      <c r="AW10" s="2234"/>
      <c r="AX10" s="2234"/>
      <c r="AY10" s="2234"/>
      <c r="AZ10" s="2234"/>
      <c r="BA10" s="2234"/>
      <c r="BB10" s="2234"/>
      <c r="BC10" s="2234"/>
    </row>
    <row r="11" spans="1:55" ht="12.75" customHeight="1" x14ac:dyDescent="0.2">
      <c r="A11" s="5"/>
      <c r="B11" s="6"/>
      <c r="C11" s="6"/>
      <c r="D11" s="3536" t="s">
        <v>1589</v>
      </c>
      <c r="E11" s="1778"/>
      <c r="F11" s="1778"/>
      <c r="G11" s="1778"/>
      <c r="H11" s="3537"/>
      <c r="I11" s="3554"/>
      <c r="J11" s="2234"/>
      <c r="K11" s="2234"/>
      <c r="L11" s="2234"/>
      <c r="M11" s="3537"/>
      <c r="N11" s="3554"/>
      <c r="O11" s="2234"/>
      <c r="P11" s="2234"/>
      <c r="Q11" s="2234"/>
      <c r="R11" s="3537"/>
      <c r="S11" s="3554"/>
      <c r="T11" s="2234"/>
      <c r="U11" s="2234"/>
      <c r="V11" s="2234"/>
      <c r="W11" s="2234"/>
      <c r="X11" s="3537"/>
      <c r="Y11" s="3554"/>
      <c r="Z11" s="2234"/>
      <c r="AA11" s="2234"/>
      <c r="AB11" s="2234"/>
      <c r="AC11" s="2234"/>
      <c r="AD11" s="3555"/>
      <c r="AE11" s="3554"/>
      <c r="AF11" s="2234"/>
      <c r="AG11" s="2234"/>
      <c r="AH11" s="2234"/>
      <c r="AI11" s="2234"/>
      <c r="AJ11" s="3555"/>
      <c r="AK11" s="3554"/>
      <c r="AL11" s="2234"/>
      <c r="AM11" s="2234"/>
      <c r="AN11" s="2234"/>
      <c r="AO11" s="2234"/>
      <c r="AP11" s="3555"/>
      <c r="AQ11" s="2234"/>
      <c r="AR11" s="2234"/>
      <c r="AS11" s="2234"/>
      <c r="AT11" s="2234"/>
      <c r="AU11" s="2234"/>
      <c r="AV11" s="2234"/>
      <c r="AW11" s="2234"/>
      <c r="AX11" s="2234"/>
      <c r="AY11" s="2234"/>
      <c r="AZ11" s="2234"/>
      <c r="BA11" s="2234"/>
      <c r="BB11" s="2234"/>
      <c r="BC11" s="2234"/>
    </row>
    <row r="12" spans="1:55" ht="22.5" x14ac:dyDescent="0.2">
      <c r="A12" s="5"/>
      <c r="B12" s="6"/>
      <c r="C12" s="6"/>
      <c r="D12" s="3539"/>
      <c r="E12" s="3544" t="s">
        <v>1590</v>
      </c>
      <c r="F12" s="3544" t="s">
        <v>1586</v>
      </c>
      <c r="G12" s="3544" t="s">
        <v>340</v>
      </c>
      <c r="H12" s="3541"/>
      <c r="I12" s="3542" t="s">
        <v>73</v>
      </c>
      <c r="J12" s="3544" t="s">
        <v>1591</v>
      </c>
      <c r="K12" s="3544" t="s">
        <v>86</v>
      </c>
      <c r="L12" s="3544" t="s">
        <v>1592</v>
      </c>
      <c r="M12" s="3541"/>
      <c r="N12" s="3542" t="s">
        <v>74</v>
      </c>
      <c r="O12" s="3544" t="s">
        <v>1593</v>
      </c>
      <c r="P12" s="3544" t="s">
        <v>1594</v>
      </c>
      <c r="Q12" s="3544" t="s">
        <v>1592</v>
      </c>
      <c r="R12" s="3541" t="s">
        <v>1595</v>
      </c>
      <c r="S12" s="3542" t="s">
        <v>1585</v>
      </c>
      <c r="T12" s="3544" t="s">
        <v>1592</v>
      </c>
      <c r="U12" s="3544" t="s">
        <v>1593</v>
      </c>
      <c r="V12" s="3544" t="s">
        <v>1596</v>
      </c>
      <c r="W12" s="3544" t="s">
        <v>1584</v>
      </c>
      <c r="X12" s="3541"/>
      <c r="Y12" s="3542" t="s">
        <v>74</v>
      </c>
      <c r="Z12" s="3544" t="s">
        <v>1583</v>
      </c>
      <c r="AA12" s="3544" t="s">
        <v>250</v>
      </c>
      <c r="AB12" s="3544" t="s">
        <v>340</v>
      </c>
      <c r="AC12" s="3544" t="s">
        <v>1594</v>
      </c>
      <c r="AD12" s="3541" t="s">
        <v>1596</v>
      </c>
      <c r="AE12" s="3542" t="s">
        <v>74</v>
      </c>
      <c r="AF12" s="3544" t="s">
        <v>1583</v>
      </c>
      <c r="AG12" s="3544" t="s">
        <v>250</v>
      </c>
      <c r="AH12" s="3544" t="s">
        <v>340</v>
      </c>
      <c r="AI12" s="3544" t="s">
        <v>1594</v>
      </c>
      <c r="AJ12" s="3541" t="s">
        <v>1596</v>
      </c>
      <c r="AK12" s="3542" t="s">
        <v>74</v>
      </c>
      <c r="AL12" s="3544" t="s">
        <v>1583</v>
      </c>
      <c r="AM12" s="3544" t="s">
        <v>250</v>
      </c>
      <c r="AN12" s="3544" t="s">
        <v>340</v>
      </c>
      <c r="AO12" s="3544" t="s">
        <v>1594</v>
      </c>
      <c r="AP12" s="3541" t="s">
        <v>1596</v>
      </c>
      <c r="AQ12" s="1778"/>
      <c r="AR12" s="1778"/>
      <c r="AS12" s="1778"/>
      <c r="AT12" s="1778"/>
      <c r="AU12" s="1778"/>
      <c r="AV12" s="1778"/>
      <c r="AW12" s="1778"/>
      <c r="AX12" s="1778"/>
      <c r="AY12" s="1778"/>
      <c r="AZ12" s="1778"/>
      <c r="BA12" s="1778"/>
      <c r="BB12" s="1778"/>
      <c r="BC12" s="1778"/>
    </row>
    <row r="13" spans="1:55" ht="56.25" customHeight="1" x14ac:dyDescent="0.2">
      <c r="A13" s="5"/>
      <c r="B13" s="6"/>
      <c r="C13" s="6"/>
      <c r="D13" s="3556"/>
      <c r="E13" s="2234" t="s">
        <v>74</v>
      </c>
      <c r="F13" s="2234" t="s">
        <v>1594</v>
      </c>
      <c r="G13" s="2234" t="s">
        <v>1592</v>
      </c>
      <c r="H13" s="3537"/>
      <c r="I13" s="3554" t="s">
        <v>74</v>
      </c>
      <c r="J13" s="2234" t="s">
        <v>1586</v>
      </c>
      <c r="K13" s="2234" t="s">
        <v>340</v>
      </c>
      <c r="L13" s="2234" t="s">
        <v>1597</v>
      </c>
      <c r="M13" s="3537"/>
      <c r="N13" s="3554" t="s">
        <v>76</v>
      </c>
      <c r="O13" s="2234" t="s">
        <v>1591</v>
      </c>
      <c r="P13" s="2234" t="s">
        <v>86</v>
      </c>
      <c r="Q13" s="2234" t="s">
        <v>89</v>
      </c>
      <c r="R13" s="3537"/>
      <c r="S13" s="3554" t="s">
        <v>74</v>
      </c>
      <c r="T13" s="2234" t="s">
        <v>1591</v>
      </c>
      <c r="U13" s="2234" t="s">
        <v>80</v>
      </c>
      <c r="V13" s="2234" t="s">
        <v>336</v>
      </c>
      <c r="W13" s="2234" t="s">
        <v>76</v>
      </c>
      <c r="X13" s="3537"/>
      <c r="Y13" s="3554" t="s">
        <v>1598</v>
      </c>
      <c r="Z13" s="2234" t="s">
        <v>1591</v>
      </c>
      <c r="AA13" s="2234" t="s">
        <v>1593</v>
      </c>
      <c r="AB13" s="2234" t="s">
        <v>1584</v>
      </c>
      <c r="AC13" s="2234" t="s">
        <v>1599</v>
      </c>
      <c r="AD13" s="3537" t="s">
        <v>85</v>
      </c>
      <c r="AE13" s="3554" t="s">
        <v>1598</v>
      </c>
      <c r="AF13" s="2234" t="s">
        <v>1591</v>
      </c>
      <c r="AG13" s="2234" t="s">
        <v>1593</v>
      </c>
      <c r="AH13" s="2234" t="s">
        <v>1584</v>
      </c>
      <c r="AI13" s="2234" t="s">
        <v>1599</v>
      </c>
      <c r="AJ13" s="3537" t="s">
        <v>85</v>
      </c>
      <c r="AK13" s="3554" t="s">
        <v>1598</v>
      </c>
      <c r="AL13" s="2234" t="s">
        <v>1591</v>
      </c>
      <c r="AM13" s="2234" t="s">
        <v>1593</v>
      </c>
      <c r="AN13" s="2234" t="s">
        <v>1584</v>
      </c>
      <c r="AO13" s="2234" t="s">
        <v>1599</v>
      </c>
      <c r="AP13" s="3537" t="s">
        <v>85</v>
      </c>
      <c r="AQ13" s="1778"/>
      <c r="AR13" s="1778"/>
      <c r="AS13" s="1778"/>
      <c r="AT13" s="1778"/>
      <c r="AU13" s="1778"/>
      <c r="AV13" s="1778"/>
      <c r="AW13" s="1778"/>
      <c r="AX13" s="1778"/>
      <c r="AY13" s="1778"/>
      <c r="AZ13" s="1778"/>
      <c r="BA13" s="1778"/>
      <c r="BB13" s="1778"/>
      <c r="BC13" s="1778"/>
    </row>
    <row r="14" spans="1:55" ht="22.5" x14ac:dyDescent="0.2">
      <c r="A14" s="2195"/>
      <c r="B14" s="1778"/>
      <c r="C14" s="1778"/>
      <c r="D14" s="3556"/>
      <c r="E14" s="2234" t="s">
        <v>1600</v>
      </c>
      <c r="F14" s="2234" t="s">
        <v>1601</v>
      </c>
      <c r="G14" s="2234" t="s">
        <v>1587</v>
      </c>
      <c r="H14" s="3537"/>
      <c r="I14" s="3554" t="s">
        <v>1593</v>
      </c>
      <c r="J14" s="2234" t="s">
        <v>1594</v>
      </c>
      <c r="K14" s="2234" t="s">
        <v>1584</v>
      </c>
      <c r="L14" s="2234" t="s">
        <v>1587</v>
      </c>
      <c r="M14" s="3537"/>
      <c r="N14" s="3554" t="s">
        <v>77</v>
      </c>
      <c r="O14" s="2234" t="s">
        <v>80</v>
      </c>
      <c r="P14" s="2234" t="s">
        <v>1584</v>
      </c>
      <c r="Q14" s="2234" t="s">
        <v>1597</v>
      </c>
      <c r="R14" s="3537"/>
      <c r="S14" s="3554" t="s">
        <v>1602</v>
      </c>
      <c r="T14" s="2234" t="s">
        <v>1603</v>
      </c>
      <c r="U14" s="2234" t="s">
        <v>89</v>
      </c>
      <c r="V14" s="2234" t="s">
        <v>1604</v>
      </c>
      <c r="W14" s="2234" t="s">
        <v>87</v>
      </c>
      <c r="X14" s="3537"/>
      <c r="Y14" s="3554" t="s">
        <v>1602</v>
      </c>
      <c r="Z14" s="2234" t="s">
        <v>1592</v>
      </c>
      <c r="AA14" s="2234" t="s">
        <v>1605</v>
      </c>
      <c r="AB14" s="2234" t="s">
        <v>87</v>
      </c>
      <c r="AC14" s="2234" t="s">
        <v>86</v>
      </c>
      <c r="AD14" s="3555" t="s">
        <v>1606</v>
      </c>
      <c r="AE14" s="3554" t="s">
        <v>1602</v>
      </c>
      <c r="AF14" s="2234" t="s">
        <v>1592</v>
      </c>
      <c r="AG14" s="2234" t="s">
        <v>1605</v>
      </c>
      <c r="AH14" s="2234" t="s">
        <v>87</v>
      </c>
      <c r="AI14" s="2234" t="s">
        <v>86</v>
      </c>
      <c r="AJ14" s="3555" t="s">
        <v>1606</v>
      </c>
      <c r="AK14" s="3554" t="s">
        <v>1602</v>
      </c>
      <c r="AL14" s="2234" t="s">
        <v>1592</v>
      </c>
      <c r="AM14" s="2234" t="s">
        <v>1605</v>
      </c>
      <c r="AN14" s="2234" t="s">
        <v>87</v>
      </c>
      <c r="AO14" s="2234" t="s">
        <v>86</v>
      </c>
      <c r="AP14" s="3555" t="s">
        <v>1606</v>
      </c>
      <c r="AQ14" s="2234"/>
      <c r="AR14" s="2234"/>
      <c r="AS14" s="2234"/>
      <c r="AT14" s="2234"/>
      <c r="AU14" s="2234"/>
      <c r="AV14" s="2234"/>
      <c r="AW14" s="2234"/>
      <c r="AX14" s="2234"/>
      <c r="AY14" s="2234"/>
      <c r="AZ14" s="2234"/>
      <c r="BA14" s="2234"/>
      <c r="BB14" s="2234"/>
      <c r="BC14" s="2234"/>
    </row>
    <row r="15" spans="1:55" ht="12.75" x14ac:dyDescent="0.2">
      <c r="A15" s="5"/>
      <c r="B15" s="6"/>
      <c r="C15" s="6"/>
      <c r="D15" s="3545"/>
      <c r="E15" s="3551"/>
      <c r="F15" s="3551"/>
      <c r="G15" s="3551"/>
      <c r="H15" s="3548"/>
      <c r="I15" s="3549"/>
      <c r="J15" s="3551"/>
      <c r="K15" s="3551"/>
      <c r="L15" s="3551"/>
      <c r="M15" s="3548"/>
      <c r="N15" s="3549"/>
      <c r="O15" s="3551"/>
      <c r="P15" s="3551"/>
      <c r="Q15" s="3551"/>
      <c r="R15" s="3548"/>
      <c r="S15" s="3549" t="s">
        <v>1607</v>
      </c>
      <c r="T15" s="3551" t="s">
        <v>85</v>
      </c>
      <c r="U15" s="3551"/>
      <c r="V15" s="3551"/>
      <c r="W15" s="3551"/>
      <c r="X15" s="3548"/>
      <c r="Y15" s="3549" t="s">
        <v>1603</v>
      </c>
      <c r="Z15" s="3551"/>
      <c r="AA15" s="3551"/>
      <c r="AB15" s="3551"/>
      <c r="AC15" s="3551"/>
      <c r="AD15" s="3548"/>
      <c r="AE15" s="3549" t="s">
        <v>1603</v>
      </c>
      <c r="AF15" s="3551"/>
      <c r="AG15" s="3551"/>
      <c r="AH15" s="3551"/>
      <c r="AI15" s="3551"/>
      <c r="AJ15" s="3548"/>
      <c r="AK15" s="3549" t="s">
        <v>1603</v>
      </c>
      <c r="AL15" s="3551"/>
      <c r="AM15" s="3551"/>
      <c r="AN15" s="3551"/>
      <c r="AO15" s="3551"/>
      <c r="AP15" s="3548"/>
      <c r="AQ15" s="1778"/>
      <c r="AR15" s="1778"/>
      <c r="AS15" s="1778"/>
      <c r="AT15" s="1778"/>
      <c r="AU15" s="1778"/>
      <c r="AV15" s="1778"/>
      <c r="AW15" s="1778"/>
      <c r="AX15" s="1778"/>
      <c r="AY15" s="1778"/>
      <c r="AZ15" s="1778"/>
      <c r="BA15" s="1778"/>
      <c r="BB15" s="1778"/>
      <c r="BC15" s="1778"/>
    </row>
    <row r="16" spans="1:55" ht="12.75" customHeight="1" x14ac:dyDescent="0.2">
      <c r="A16" s="5"/>
      <c r="B16" s="6"/>
      <c r="C16" s="6"/>
      <c r="D16" s="3557" t="s">
        <v>1608</v>
      </c>
      <c r="E16" s="1778"/>
      <c r="F16" s="1778"/>
      <c r="G16" s="1778"/>
      <c r="H16" s="3537"/>
      <c r="I16" s="3554"/>
      <c r="J16" s="2234"/>
      <c r="K16" s="2234"/>
      <c r="L16" s="2234"/>
      <c r="M16" s="3537"/>
      <c r="N16" s="3554"/>
      <c r="O16" s="2234"/>
      <c r="P16" s="2234"/>
      <c r="Q16" s="2234"/>
      <c r="R16" s="3537"/>
      <c r="S16" s="3554"/>
      <c r="T16" s="2234"/>
      <c r="U16" s="2234"/>
      <c r="V16" s="2234"/>
      <c r="W16" s="2234"/>
      <c r="X16" s="3537"/>
      <c r="Y16" s="3554"/>
      <c r="Z16" s="2234"/>
      <c r="AA16" s="2234"/>
      <c r="AB16" s="2234"/>
      <c r="AC16" s="2234"/>
      <c r="AD16" s="3537"/>
      <c r="AE16" s="3554"/>
      <c r="AF16" s="2234"/>
      <c r="AG16" s="2234"/>
      <c r="AH16" s="2234"/>
      <c r="AI16" s="2234"/>
      <c r="AJ16" s="3537"/>
      <c r="AK16" s="3554"/>
      <c r="AL16" s="2234"/>
      <c r="AM16" s="2234"/>
      <c r="AN16" s="2234"/>
      <c r="AO16" s="2234"/>
      <c r="AP16" s="3537"/>
      <c r="AQ16" s="1778"/>
      <c r="AR16" s="1778"/>
      <c r="AS16" s="1778"/>
      <c r="AT16" s="1778"/>
      <c r="AU16" s="1778"/>
      <c r="AV16" s="1778"/>
      <c r="AW16" s="1778"/>
      <c r="AX16" s="1778"/>
      <c r="AY16" s="1778"/>
      <c r="AZ16" s="1778"/>
      <c r="BA16" s="1778"/>
      <c r="BB16" s="1778"/>
      <c r="BC16" s="1778"/>
    </row>
    <row r="17" spans="1:55" ht="12.75" x14ac:dyDescent="0.2">
      <c r="A17" s="5"/>
      <c r="B17" s="6"/>
      <c r="C17" s="6"/>
      <c r="D17" s="3558"/>
      <c r="E17" s="3544" t="s">
        <v>77</v>
      </c>
      <c r="F17" s="3544" t="s">
        <v>560</v>
      </c>
      <c r="G17" s="3544" t="s">
        <v>1609</v>
      </c>
      <c r="H17" s="3559" t="s">
        <v>1597</v>
      </c>
      <c r="I17" s="3542" t="s">
        <v>71</v>
      </c>
      <c r="J17" s="3544" t="s">
        <v>1610</v>
      </c>
      <c r="K17" s="3544" t="s">
        <v>82</v>
      </c>
      <c r="L17" s="3544" t="s">
        <v>1596</v>
      </c>
      <c r="M17" s="3541"/>
      <c r="N17" s="3542" t="s">
        <v>71</v>
      </c>
      <c r="O17" s="3544" t="s">
        <v>1607</v>
      </c>
      <c r="P17" s="3544" t="s">
        <v>1611</v>
      </c>
      <c r="Q17" s="3544" t="s">
        <v>1612</v>
      </c>
      <c r="R17" s="3541" t="s">
        <v>336</v>
      </c>
      <c r="S17" s="3542" t="s">
        <v>1598</v>
      </c>
      <c r="T17" s="3544" t="s">
        <v>86</v>
      </c>
      <c r="U17" s="3544" t="s">
        <v>1613</v>
      </c>
      <c r="V17" s="3544" t="s">
        <v>77</v>
      </c>
      <c r="W17" s="3544" t="s">
        <v>1614</v>
      </c>
      <c r="X17" s="3541"/>
      <c r="Y17" s="3542" t="s">
        <v>71</v>
      </c>
      <c r="Z17" s="3544" t="s">
        <v>1604</v>
      </c>
      <c r="AA17" s="3544" t="s">
        <v>89</v>
      </c>
      <c r="AB17" s="3544" t="s">
        <v>76</v>
      </c>
      <c r="AC17" s="3544" t="s">
        <v>77</v>
      </c>
      <c r="AD17" s="3541" t="s">
        <v>336</v>
      </c>
      <c r="AE17" s="3542" t="s">
        <v>71</v>
      </c>
      <c r="AF17" s="3544" t="s">
        <v>1604</v>
      </c>
      <c r="AG17" s="3544" t="s">
        <v>89</v>
      </c>
      <c r="AH17" s="3544" t="s">
        <v>76</v>
      </c>
      <c r="AI17" s="3544" t="s">
        <v>77</v>
      </c>
      <c r="AJ17" s="3541" t="s">
        <v>336</v>
      </c>
      <c r="AK17" s="3542" t="s">
        <v>71</v>
      </c>
      <c r="AL17" s="3544" t="s">
        <v>1604</v>
      </c>
      <c r="AM17" s="3544" t="s">
        <v>89</v>
      </c>
      <c r="AN17" s="3544" t="s">
        <v>76</v>
      </c>
      <c r="AO17" s="3544" t="s">
        <v>77</v>
      </c>
      <c r="AP17" s="3541" t="s">
        <v>336</v>
      </c>
      <c r="AQ17" s="1778"/>
      <c r="AR17" s="1778"/>
      <c r="AS17" s="1778"/>
      <c r="AT17" s="1778"/>
      <c r="AU17" s="1778"/>
      <c r="AV17" s="1778"/>
      <c r="AW17" s="1778"/>
      <c r="AX17" s="1778"/>
      <c r="AY17" s="1778"/>
      <c r="AZ17" s="1778"/>
      <c r="BA17" s="1778"/>
      <c r="BB17" s="1778"/>
      <c r="BC17" s="1778"/>
    </row>
    <row r="18" spans="1:55" ht="22.5" x14ac:dyDescent="0.2">
      <c r="A18" s="5"/>
      <c r="B18" s="6"/>
      <c r="C18" s="6"/>
      <c r="D18" s="3560"/>
      <c r="E18" s="2234" t="s">
        <v>1615</v>
      </c>
      <c r="F18" s="2234" t="s">
        <v>1616</v>
      </c>
      <c r="G18" s="2234" t="s">
        <v>1617</v>
      </c>
      <c r="H18" s="3555" t="s">
        <v>1618</v>
      </c>
      <c r="I18" s="3554" t="s">
        <v>1614</v>
      </c>
      <c r="J18" s="2234" t="s">
        <v>1599</v>
      </c>
      <c r="K18" s="2234" t="s">
        <v>1619</v>
      </c>
      <c r="L18" s="2234" t="s">
        <v>1620</v>
      </c>
      <c r="M18" s="3537"/>
      <c r="N18" s="3554" t="s">
        <v>1621</v>
      </c>
      <c r="O18" s="2234" t="s">
        <v>1610</v>
      </c>
      <c r="P18" s="2234" t="s">
        <v>82</v>
      </c>
      <c r="Q18" s="2234" t="s">
        <v>1622</v>
      </c>
      <c r="R18" s="3537" t="s">
        <v>1618</v>
      </c>
      <c r="S18" s="3554" t="s">
        <v>1617</v>
      </c>
      <c r="T18" s="2234" t="s">
        <v>1611</v>
      </c>
      <c r="U18" s="2234" t="s">
        <v>1594</v>
      </c>
      <c r="V18" s="2234" t="s">
        <v>1622</v>
      </c>
      <c r="W18" s="2234" t="s">
        <v>1599</v>
      </c>
      <c r="X18" s="3537"/>
      <c r="Y18" s="3554" t="s">
        <v>1614</v>
      </c>
      <c r="Z18" s="2234" t="s">
        <v>1622</v>
      </c>
      <c r="AA18" s="2234" t="s">
        <v>1611</v>
      </c>
      <c r="AB18" s="2234" t="s">
        <v>1623</v>
      </c>
      <c r="AC18" s="2234" t="s">
        <v>1615</v>
      </c>
      <c r="AD18" s="3537" t="s">
        <v>1607</v>
      </c>
      <c r="AE18" s="3554" t="s">
        <v>1614</v>
      </c>
      <c r="AF18" s="2234" t="s">
        <v>1622</v>
      </c>
      <c r="AG18" s="2234" t="s">
        <v>1611</v>
      </c>
      <c r="AH18" s="2234" t="s">
        <v>1623</v>
      </c>
      <c r="AI18" s="2234" t="s">
        <v>1615</v>
      </c>
      <c r="AJ18" s="3537" t="s">
        <v>1607</v>
      </c>
      <c r="AK18" s="3554" t="s">
        <v>1614</v>
      </c>
      <c r="AL18" s="2234" t="s">
        <v>1622</v>
      </c>
      <c r="AM18" s="2234" t="s">
        <v>1611</v>
      </c>
      <c r="AN18" s="2234" t="s">
        <v>1623</v>
      </c>
      <c r="AO18" s="2234" t="s">
        <v>1615</v>
      </c>
      <c r="AP18" s="3537" t="s">
        <v>1607</v>
      </c>
      <c r="AQ18" s="1778"/>
      <c r="AR18" s="1778"/>
      <c r="AS18" s="1778"/>
      <c r="AT18" s="1778"/>
      <c r="AU18" s="1778"/>
      <c r="AV18" s="1778"/>
      <c r="AW18" s="1778"/>
      <c r="AX18" s="1778"/>
      <c r="AY18" s="1778"/>
      <c r="AZ18" s="1778"/>
      <c r="BA18" s="1778"/>
      <c r="BB18" s="1778"/>
      <c r="BC18" s="1778"/>
    </row>
    <row r="19" spans="1:55" ht="22.5" x14ac:dyDescent="0.2">
      <c r="A19" s="5"/>
      <c r="B19" s="6"/>
      <c r="C19" s="6"/>
      <c r="D19" s="3560"/>
      <c r="E19" s="2234" t="s">
        <v>1607</v>
      </c>
      <c r="F19" s="2234" t="s">
        <v>1624</v>
      </c>
      <c r="G19" s="2234" t="s">
        <v>1622</v>
      </c>
      <c r="H19" s="3555" t="s">
        <v>1625</v>
      </c>
      <c r="I19" s="3554" t="s">
        <v>1626</v>
      </c>
      <c r="J19" s="2234" t="s">
        <v>78</v>
      </c>
      <c r="K19" s="2234" t="s">
        <v>85</v>
      </c>
      <c r="L19" s="2234" t="s">
        <v>1625</v>
      </c>
      <c r="M19" s="3537"/>
      <c r="N19" s="3554" t="s">
        <v>1614</v>
      </c>
      <c r="O19" s="2234" t="s">
        <v>1599</v>
      </c>
      <c r="P19" s="2234" t="s">
        <v>1619</v>
      </c>
      <c r="Q19" s="2234" t="s">
        <v>1627</v>
      </c>
      <c r="R19" s="3537" t="s">
        <v>1628</v>
      </c>
      <c r="S19" s="3554" t="s">
        <v>1609</v>
      </c>
      <c r="T19" s="2234" t="s">
        <v>1595</v>
      </c>
      <c r="U19" s="2234" t="s">
        <v>1629</v>
      </c>
      <c r="V19" s="2234" t="s">
        <v>1605</v>
      </c>
      <c r="W19" s="2234" t="s">
        <v>1630</v>
      </c>
      <c r="X19" s="3537"/>
      <c r="Y19" s="3554" t="s">
        <v>1631</v>
      </c>
      <c r="Z19" s="2234" t="s">
        <v>1632</v>
      </c>
      <c r="AA19" s="2234" t="s">
        <v>1630</v>
      </c>
      <c r="AB19" s="2234" t="s">
        <v>78</v>
      </c>
      <c r="AC19" s="2234" t="s">
        <v>1624</v>
      </c>
      <c r="AD19" s="3537" t="s">
        <v>1621</v>
      </c>
      <c r="AE19" s="3554" t="s">
        <v>1631</v>
      </c>
      <c r="AF19" s="2234" t="s">
        <v>1632</v>
      </c>
      <c r="AG19" s="2234" t="s">
        <v>1630</v>
      </c>
      <c r="AH19" s="2234" t="s">
        <v>78</v>
      </c>
      <c r="AI19" s="2234" t="s">
        <v>1624</v>
      </c>
      <c r="AJ19" s="3537" t="s">
        <v>1621</v>
      </c>
      <c r="AK19" s="3554" t="s">
        <v>1631</v>
      </c>
      <c r="AL19" s="2234" t="s">
        <v>1632</v>
      </c>
      <c r="AM19" s="2234" t="s">
        <v>1630</v>
      </c>
      <c r="AN19" s="2234" t="s">
        <v>78</v>
      </c>
      <c r="AO19" s="2234" t="s">
        <v>1624</v>
      </c>
      <c r="AP19" s="3537" t="s">
        <v>1621</v>
      </c>
      <c r="AQ19" s="1778"/>
      <c r="AR19" s="1778"/>
      <c r="AS19" s="1778"/>
      <c r="AT19" s="1778"/>
      <c r="AU19" s="1778"/>
      <c r="AV19" s="1778"/>
      <c r="AW19" s="1778"/>
      <c r="AX19" s="1778"/>
      <c r="AY19" s="1778"/>
      <c r="AZ19" s="1778"/>
      <c r="BA19" s="1778"/>
      <c r="BB19" s="1778"/>
      <c r="BC19" s="1778"/>
    </row>
    <row r="20" spans="1:55" ht="22.5" x14ac:dyDescent="0.2">
      <c r="A20" s="5"/>
      <c r="B20" s="6"/>
      <c r="C20" s="6"/>
      <c r="D20" s="3560"/>
      <c r="E20" s="2234" t="s">
        <v>78</v>
      </c>
      <c r="F20" s="2234" t="s">
        <v>82</v>
      </c>
      <c r="G20" s="2234" t="s">
        <v>1627</v>
      </c>
      <c r="H20" s="3555"/>
      <c r="I20" s="3554" t="s">
        <v>1602</v>
      </c>
      <c r="J20" s="2234" t="s">
        <v>1633</v>
      </c>
      <c r="K20" s="2234" t="s">
        <v>1609</v>
      </c>
      <c r="L20" s="2234" t="s">
        <v>1603</v>
      </c>
      <c r="M20" s="3537"/>
      <c r="N20" s="3554" t="s">
        <v>1634</v>
      </c>
      <c r="O20" s="2234" t="s">
        <v>78</v>
      </c>
      <c r="P20" s="2234" t="s">
        <v>1605</v>
      </c>
      <c r="Q20" s="2234" t="s">
        <v>87</v>
      </c>
      <c r="R20" s="3537" t="s">
        <v>1625</v>
      </c>
      <c r="S20" s="3554" t="s">
        <v>1633</v>
      </c>
      <c r="T20" s="2234" t="s">
        <v>71</v>
      </c>
      <c r="U20" s="2234" t="s">
        <v>1615</v>
      </c>
      <c r="V20" s="2234" t="s">
        <v>1625</v>
      </c>
      <c r="W20" s="2234" t="s">
        <v>1635</v>
      </c>
      <c r="X20" s="3555"/>
      <c r="Y20" s="3554" t="s">
        <v>1636</v>
      </c>
      <c r="Z20" s="2234" t="s">
        <v>1637</v>
      </c>
      <c r="AA20" s="2234" t="s">
        <v>338</v>
      </c>
      <c r="AB20" s="2234" t="s">
        <v>82</v>
      </c>
      <c r="AC20" s="2234" t="s">
        <v>1620</v>
      </c>
      <c r="AD20" s="3555" t="s">
        <v>73</v>
      </c>
      <c r="AE20" s="3554" t="s">
        <v>1636</v>
      </c>
      <c r="AF20" s="2234" t="s">
        <v>1637</v>
      </c>
      <c r="AG20" s="2234" t="s">
        <v>338</v>
      </c>
      <c r="AH20" s="2234" t="s">
        <v>82</v>
      </c>
      <c r="AI20" s="2234" t="s">
        <v>1620</v>
      </c>
      <c r="AJ20" s="3555" t="s">
        <v>73</v>
      </c>
      <c r="AK20" s="3554" t="s">
        <v>1636</v>
      </c>
      <c r="AL20" s="2234" t="s">
        <v>1637</v>
      </c>
      <c r="AM20" s="2234" t="s">
        <v>338</v>
      </c>
      <c r="AN20" s="2234" t="s">
        <v>82</v>
      </c>
      <c r="AO20" s="2234" t="s">
        <v>1620</v>
      </c>
      <c r="AP20" s="3555" t="s">
        <v>73</v>
      </c>
      <c r="AQ20" s="2234"/>
      <c r="AR20" s="2234"/>
      <c r="AS20" s="2234"/>
      <c r="AT20" s="2234"/>
      <c r="AU20" s="2234"/>
      <c r="AV20" s="2234"/>
      <c r="AW20" s="2234"/>
      <c r="AX20" s="2234"/>
      <c r="AY20" s="2234"/>
      <c r="AZ20" s="2234"/>
      <c r="BA20" s="2234"/>
      <c r="BB20" s="2234"/>
      <c r="BC20" s="2234"/>
    </row>
    <row r="21" spans="1:55" ht="12.75" x14ac:dyDescent="0.2">
      <c r="A21" s="5"/>
      <c r="B21" s="6"/>
      <c r="C21" s="6"/>
      <c r="D21" s="3560"/>
      <c r="E21" s="2234" t="s">
        <v>1633</v>
      </c>
      <c r="F21" s="2234" t="s">
        <v>1605</v>
      </c>
      <c r="G21" s="2234" t="s">
        <v>1596</v>
      </c>
      <c r="H21" s="3555"/>
      <c r="I21" s="3554" t="s">
        <v>77</v>
      </c>
      <c r="J21" s="2234" t="s">
        <v>80</v>
      </c>
      <c r="K21" s="2234" t="s">
        <v>1612</v>
      </c>
      <c r="L21" s="2234" t="s">
        <v>1595</v>
      </c>
      <c r="M21" s="3537"/>
      <c r="N21" s="3554" t="s">
        <v>73</v>
      </c>
      <c r="O21" s="2234" t="s">
        <v>1633</v>
      </c>
      <c r="P21" s="2234" t="s">
        <v>85</v>
      </c>
      <c r="Q21" s="2234" t="s">
        <v>340</v>
      </c>
      <c r="R21" s="3537" t="s">
        <v>1603</v>
      </c>
      <c r="S21" s="3554" t="s">
        <v>78</v>
      </c>
      <c r="T21" s="2234" t="s">
        <v>73</v>
      </c>
      <c r="U21" s="2234" t="s">
        <v>82</v>
      </c>
      <c r="V21" s="2234" t="s">
        <v>1606</v>
      </c>
      <c r="W21" s="2234" t="s">
        <v>1624</v>
      </c>
      <c r="X21" s="3537"/>
      <c r="Y21" s="3554" t="s">
        <v>1638</v>
      </c>
      <c r="Z21" s="2234" t="s">
        <v>1639</v>
      </c>
      <c r="AA21" s="2234" t="s">
        <v>1633</v>
      </c>
      <c r="AB21" s="2234" t="s">
        <v>1609</v>
      </c>
      <c r="AC21" s="2234" t="s">
        <v>80</v>
      </c>
      <c r="AD21" s="3537" t="s">
        <v>1618</v>
      </c>
      <c r="AE21" s="3554" t="s">
        <v>1638</v>
      </c>
      <c r="AF21" s="2234" t="s">
        <v>1639</v>
      </c>
      <c r="AG21" s="2234" t="s">
        <v>1633</v>
      </c>
      <c r="AH21" s="2234" t="s">
        <v>1609</v>
      </c>
      <c r="AI21" s="2234" t="s">
        <v>80</v>
      </c>
      <c r="AJ21" s="3537" t="s">
        <v>1618</v>
      </c>
      <c r="AK21" s="3554" t="s">
        <v>1638</v>
      </c>
      <c r="AL21" s="2234" t="s">
        <v>1639</v>
      </c>
      <c r="AM21" s="2234" t="s">
        <v>1633</v>
      </c>
      <c r="AN21" s="2234" t="s">
        <v>1609</v>
      </c>
      <c r="AO21" s="2234" t="s">
        <v>80</v>
      </c>
      <c r="AP21" s="3537" t="s">
        <v>1618</v>
      </c>
      <c r="AQ21" s="1778"/>
      <c r="AR21" s="1778"/>
      <c r="AS21" s="1778"/>
      <c r="AT21" s="1778"/>
      <c r="AU21" s="1778"/>
      <c r="AV21" s="1778"/>
      <c r="AW21" s="1778"/>
      <c r="AX21" s="1778"/>
      <c r="AY21" s="1778"/>
      <c r="AZ21" s="1778"/>
      <c r="BA21" s="1778"/>
      <c r="BB21" s="1778"/>
      <c r="BC21" s="1778"/>
    </row>
    <row r="22" spans="1:55" ht="45" x14ac:dyDescent="0.2">
      <c r="A22" s="5"/>
      <c r="B22" s="6"/>
      <c r="C22" s="6"/>
      <c r="D22" s="3560"/>
      <c r="E22" s="1778"/>
      <c r="F22" s="1778"/>
      <c r="G22" s="1778"/>
      <c r="H22" s="3537"/>
      <c r="I22" s="3554" t="s">
        <v>1615</v>
      </c>
      <c r="J22" s="2234" t="s">
        <v>560</v>
      </c>
      <c r="K22" s="2234" t="s">
        <v>1622</v>
      </c>
      <c r="L22" s="2234" t="s">
        <v>1640</v>
      </c>
      <c r="M22" s="3537"/>
      <c r="N22" s="3554" t="s">
        <v>1602</v>
      </c>
      <c r="O22" s="2234" t="s">
        <v>560</v>
      </c>
      <c r="P22" s="2234" t="s">
        <v>1641</v>
      </c>
      <c r="Q22" s="2234" t="s">
        <v>1596</v>
      </c>
      <c r="R22" s="3537"/>
      <c r="S22" s="3554" t="s">
        <v>340</v>
      </c>
      <c r="T22" s="2234" t="s">
        <v>1642</v>
      </c>
      <c r="U22" s="2234" t="s">
        <v>1618</v>
      </c>
      <c r="V22" s="2234" t="s">
        <v>1643</v>
      </c>
      <c r="W22" s="2234" t="s">
        <v>1597</v>
      </c>
      <c r="X22" s="3537"/>
      <c r="Y22" s="3554" t="s">
        <v>84</v>
      </c>
      <c r="Z22" s="2234" t="s">
        <v>1595</v>
      </c>
      <c r="AA22" s="2234" t="s">
        <v>1644</v>
      </c>
      <c r="AB22" s="2234" t="s">
        <v>1625</v>
      </c>
      <c r="AC22" s="2234" t="s">
        <v>1645</v>
      </c>
      <c r="AD22" s="3555" t="s">
        <v>1635</v>
      </c>
      <c r="AE22" s="3554" t="s">
        <v>84</v>
      </c>
      <c r="AF22" s="2234" t="s">
        <v>1595</v>
      </c>
      <c r="AG22" s="2234" t="s">
        <v>1644</v>
      </c>
      <c r="AH22" s="2234" t="s">
        <v>1625</v>
      </c>
      <c r="AI22" s="2234" t="s">
        <v>1645</v>
      </c>
      <c r="AJ22" s="3555" t="s">
        <v>1635</v>
      </c>
      <c r="AK22" s="3554" t="s">
        <v>84</v>
      </c>
      <c r="AL22" s="2234" t="s">
        <v>1595</v>
      </c>
      <c r="AM22" s="2234" t="s">
        <v>1644</v>
      </c>
      <c r="AN22" s="2234" t="s">
        <v>1625</v>
      </c>
      <c r="AO22" s="2234" t="s">
        <v>1645</v>
      </c>
      <c r="AP22" s="3555" t="s">
        <v>1635</v>
      </c>
      <c r="AQ22" s="2234"/>
      <c r="AR22" s="2234"/>
      <c r="AS22" s="2234"/>
      <c r="AT22" s="2234"/>
      <c r="AU22" s="2234"/>
      <c r="AV22" s="2234"/>
      <c r="AW22" s="2234"/>
      <c r="AX22" s="2234"/>
      <c r="AY22" s="2234"/>
      <c r="AZ22" s="2234"/>
      <c r="BA22" s="2234"/>
      <c r="BB22" s="2234"/>
      <c r="BC22" s="2234"/>
    </row>
    <row r="23" spans="1:55" ht="12.75" x14ac:dyDescent="0.2">
      <c r="A23" s="5"/>
      <c r="B23" s="6"/>
      <c r="C23" s="6"/>
      <c r="D23" s="3556"/>
      <c r="E23" s="1778"/>
      <c r="F23" s="1778"/>
      <c r="G23" s="1778"/>
      <c r="H23" s="3537"/>
      <c r="I23" s="3556" t="s">
        <v>1607</v>
      </c>
      <c r="J23" s="1778" t="s">
        <v>1616</v>
      </c>
      <c r="K23" s="1778" t="s">
        <v>1627</v>
      </c>
      <c r="L23" s="1778"/>
      <c r="M23" s="3537"/>
      <c r="N23" s="3556" t="s">
        <v>1615</v>
      </c>
      <c r="O23" s="1778" t="s">
        <v>1598</v>
      </c>
      <c r="P23" s="1778" t="s">
        <v>1609</v>
      </c>
      <c r="Q23" s="1778" t="s">
        <v>1620</v>
      </c>
      <c r="R23" s="3537"/>
      <c r="S23" s="3556" t="s">
        <v>1612</v>
      </c>
      <c r="T23" s="1778" t="s">
        <v>1631</v>
      </c>
      <c r="U23" s="1778" t="s">
        <v>1646</v>
      </c>
      <c r="V23" s="1778" t="s">
        <v>1638</v>
      </c>
      <c r="W23" s="1778" t="s">
        <v>1621</v>
      </c>
      <c r="X23" s="3537" t="s">
        <v>1639</v>
      </c>
      <c r="Y23" s="3556" t="s">
        <v>1647</v>
      </c>
      <c r="Z23" s="1778" t="s">
        <v>1648</v>
      </c>
      <c r="AA23" s="1778" t="s">
        <v>1617</v>
      </c>
      <c r="AB23" s="1778" t="s">
        <v>1629</v>
      </c>
      <c r="AC23" s="1778" t="s">
        <v>1628</v>
      </c>
      <c r="AD23" s="3537" t="s">
        <v>567</v>
      </c>
      <c r="AE23" s="3556" t="s">
        <v>1647</v>
      </c>
      <c r="AF23" s="1778" t="s">
        <v>1648</v>
      </c>
      <c r="AG23" s="1778" t="s">
        <v>1617</v>
      </c>
      <c r="AH23" s="1778" t="s">
        <v>1629</v>
      </c>
      <c r="AI23" s="1778" t="s">
        <v>1628</v>
      </c>
      <c r="AJ23" s="3537" t="s">
        <v>567</v>
      </c>
      <c r="AK23" s="3556" t="s">
        <v>1647</v>
      </c>
      <c r="AL23" s="1778" t="s">
        <v>1648</v>
      </c>
      <c r="AM23" s="1778" t="s">
        <v>1617</v>
      </c>
      <c r="AN23" s="1778" t="s">
        <v>1629</v>
      </c>
      <c r="AO23" s="1778" t="s">
        <v>1628</v>
      </c>
      <c r="AP23" s="3537" t="s">
        <v>567</v>
      </c>
      <c r="AQ23" s="1778"/>
      <c r="AR23" s="1778"/>
      <c r="AS23" s="1778"/>
      <c r="AT23" s="1778"/>
      <c r="AU23" s="1778"/>
      <c r="AV23" s="1778"/>
      <c r="AW23" s="1778"/>
      <c r="AX23" s="1778"/>
      <c r="AY23" s="1778"/>
      <c r="AZ23" s="1778"/>
      <c r="BA23" s="1778"/>
      <c r="BB23" s="1778"/>
      <c r="BC23" s="1778"/>
    </row>
    <row r="24" spans="1:55" x14ac:dyDescent="0.2">
      <c r="A24" s="5"/>
      <c r="B24" s="6"/>
      <c r="C24" s="6"/>
      <c r="D24" s="3561"/>
      <c r="E24" s="3546"/>
      <c r="F24" s="3546"/>
      <c r="G24" s="3546"/>
      <c r="H24" s="3548"/>
      <c r="I24" s="3549"/>
      <c r="J24" s="3551"/>
      <c r="K24" s="3551"/>
      <c r="L24" s="3550"/>
      <c r="M24" s="3548"/>
      <c r="N24" s="3549"/>
      <c r="O24" s="3551"/>
      <c r="P24" s="3551"/>
      <c r="Q24" s="3551"/>
      <c r="R24" s="3548"/>
      <c r="S24" s="3549"/>
      <c r="T24" s="3551"/>
      <c r="U24" s="3551"/>
      <c r="V24" s="3551"/>
      <c r="W24" s="3551"/>
      <c r="X24" s="3548"/>
      <c r="Y24" s="3545" t="s">
        <v>1613</v>
      </c>
      <c r="Z24" s="3546" t="s">
        <v>1649</v>
      </c>
      <c r="AA24" s="3546"/>
      <c r="AB24" s="3546"/>
      <c r="AC24" s="3546"/>
      <c r="AD24" s="3548"/>
      <c r="AE24" s="3545" t="s">
        <v>1613</v>
      </c>
      <c r="AF24" s="3546" t="s">
        <v>1649</v>
      </c>
      <c r="AG24" s="3546"/>
      <c r="AH24" s="3546"/>
      <c r="AI24" s="3546"/>
      <c r="AJ24" s="3548"/>
      <c r="AK24" s="3545" t="s">
        <v>1613</v>
      </c>
      <c r="AL24" s="3546" t="s">
        <v>1649</v>
      </c>
      <c r="AM24" s="3546"/>
      <c r="AN24" s="3546"/>
      <c r="AO24" s="3546"/>
      <c r="AP24" s="3548"/>
      <c r="AQ24" s="1778"/>
      <c r="AR24" s="1778"/>
      <c r="AS24" s="1778"/>
      <c r="AT24" s="1778"/>
      <c r="AU24" s="1778"/>
      <c r="AV24" s="1778"/>
      <c r="AW24" s="1778"/>
      <c r="AX24" s="1778"/>
      <c r="AY24" s="1778"/>
      <c r="AZ24" s="1778"/>
      <c r="BA24" s="1778"/>
      <c r="BB24" s="1778"/>
      <c r="BC24" s="1778"/>
    </row>
    <row r="25" spans="1:55" ht="12.75" customHeight="1" x14ac:dyDescent="0.2">
      <c r="A25" s="5"/>
      <c r="B25" s="6"/>
      <c r="C25" s="6"/>
      <c r="D25" s="3557" t="s">
        <v>1650</v>
      </c>
      <c r="E25" s="2234"/>
      <c r="F25" s="2234"/>
      <c r="G25" s="2234"/>
      <c r="H25" s="3555"/>
      <c r="I25" s="3554"/>
      <c r="J25" s="2234"/>
      <c r="K25" s="2234"/>
      <c r="L25" s="2234"/>
      <c r="M25" s="3537"/>
      <c r="N25" s="3554"/>
      <c r="O25" s="2234"/>
      <c r="P25" s="2234"/>
      <c r="Q25" s="2234"/>
      <c r="R25" s="3537"/>
      <c r="S25" s="3554"/>
      <c r="T25" s="2234"/>
      <c r="U25" s="2234"/>
      <c r="V25" s="2234"/>
      <c r="W25" s="2234"/>
      <c r="X25" s="3537"/>
      <c r="Y25" s="3554"/>
      <c r="Z25" s="2234"/>
      <c r="AA25" s="2234"/>
      <c r="AB25" s="2234"/>
      <c r="AC25" s="2234"/>
      <c r="AD25" s="3537"/>
      <c r="AE25" s="3554"/>
      <c r="AF25" s="2234"/>
      <c r="AG25" s="2234"/>
      <c r="AH25" s="2234"/>
      <c r="AI25" s="2234"/>
      <c r="AJ25" s="3537"/>
      <c r="AK25" s="3554"/>
      <c r="AL25" s="2234"/>
      <c r="AM25" s="2234"/>
      <c r="AN25" s="2234"/>
      <c r="AO25" s="2234"/>
      <c r="AP25" s="3537"/>
      <c r="AQ25" s="1778"/>
      <c r="AR25" s="1778"/>
      <c r="AS25" s="1778"/>
      <c r="AT25" s="1778"/>
      <c r="AU25" s="1778"/>
      <c r="AV25" s="1778"/>
      <c r="AW25" s="1778"/>
      <c r="AX25" s="1778"/>
      <c r="AY25" s="1778"/>
      <c r="AZ25" s="1778"/>
      <c r="BA25" s="1778"/>
      <c r="BB25" s="1778"/>
      <c r="BC25" s="1778"/>
    </row>
    <row r="26" spans="1:55" ht="33.75" x14ac:dyDescent="0.2">
      <c r="A26" s="5"/>
      <c r="B26" s="6"/>
      <c r="C26" s="6"/>
      <c r="D26" s="3558"/>
      <c r="E26" s="3544" t="s">
        <v>1643</v>
      </c>
      <c r="F26" s="3544" t="s">
        <v>1614</v>
      </c>
      <c r="G26" s="3544" t="s">
        <v>1599</v>
      </c>
      <c r="H26" s="3559" t="s">
        <v>1640</v>
      </c>
      <c r="I26" s="3542" t="s">
        <v>1643</v>
      </c>
      <c r="J26" s="3544" t="s">
        <v>1651</v>
      </c>
      <c r="K26" s="3544" t="s">
        <v>1641</v>
      </c>
      <c r="L26" s="3544" t="s">
        <v>1618</v>
      </c>
      <c r="M26" s="3541"/>
      <c r="N26" s="3542" t="s">
        <v>1613</v>
      </c>
      <c r="O26" s="3544" t="s">
        <v>1631</v>
      </c>
      <c r="P26" s="3544" t="s">
        <v>84</v>
      </c>
      <c r="Q26" s="3544" t="s">
        <v>1639</v>
      </c>
      <c r="R26" s="3541" t="s">
        <v>1652</v>
      </c>
      <c r="S26" s="3542" t="s">
        <v>1632</v>
      </c>
      <c r="T26" s="3544" t="s">
        <v>1620</v>
      </c>
      <c r="U26" s="3544" t="s">
        <v>84</v>
      </c>
      <c r="V26" s="3544" t="s">
        <v>1653</v>
      </c>
      <c r="W26" s="3544" t="s">
        <v>1654</v>
      </c>
      <c r="X26" s="3541"/>
      <c r="Y26" s="3542" t="s">
        <v>1655</v>
      </c>
      <c r="Z26" s="3544" t="s">
        <v>1597</v>
      </c>
      <c r="AA26" s="3544" t="s">
        <v>1640</v>
      </c>
      <c r="AB26" s="3544" t="s">
        <v>1642</v>
      </c>
      <c r="AC26" s="3544" t="s">
        <v>1643</v>
      </c>
      <c r="AD26" s="3541" t="s">
        <v>1654</v>
      </c>
      <c r="AE26" s="3542" t="s">
        <v>1655</v>
      </c>
      <c r="AF26" s="3544" t="s">
        <v>1597</v>
      </c>
      <c r="AG26" s="3544" t="s">
        <v>1640</v>
      </c>
      <c r="AH26" s="3544" t="s">
        <v>1642</v>
      </c>
      <c r="AI26" s="3544" t="s">
        <v>1643</v>
      </c>
      <c r="AJ26" s="3541" t="s">
        <v>1654</v>
      </c>
      <c r="AK26" s="3542" t="s">
        <v>1655</v>
      </c>
      <c r="AL26" s="3544" t="s">
        <v>1597</v>
      </c>
      <c r="AM26" s="3544" t="s">
        <v>1640</v>
      </c>
      <c r="AN26" s="3544" t="s">
        <v>1642</v>
      </c>
      <c r="AO26" s="3544" t="s">
        <v>1643</v>
      </c>
      <c r="AP26" s="3541" t="s">
        <v>1654</v>
      </c>
      <c r="AQ26" s="1778"/>
      <c r="AR26" s="1778"/>
      <c r="AS26" s="1778"/>
      <c r="AT26" s="1778"/>
      <c r="AU26" s="1778"/>
      <c r="AV26" s="1778"/>
      <c r="AW26" s="1778"/>
      <c r="AX26" s="1778"/>
      <c r="AY26" s="1778"/>
      <c r="AZ26" s="1778"/>
      <c r="BA26" s="1778"/>
      <c r="BB26" s="1778"/>
      <c r="BC26" s="1778"/>
    </row>
    <row r="27" spans="1:55" ht="22.5" x14ac:dyDescent="0.2">
      <c r="A27" s="5"/>
      <c r="B27" s="6"/>
      <c r="C27" s="6"/>
      <c r="D27" s="3560"/>
      <c r="E27" s="2234" t="s">
        <v>1656</v>
      </c>
      <c r="F27" s="2234" t="s">
        <v>1657</v>
      </c>
      <c r="G27" s="2234" t="s">
        <v>1658</v>
      </c>
      <c r="H27" s="3555"/>
      <c r="I27" s="3554" t="s">
        <v>1621</v>
      </c>
      <c r="J27" s="2234" t="s">
        <v>1659</v>
      </c>
      <c r="K27" s="2234" t="s">
        <v>1660</v>
      </c>
      <c r="L27" s="2234" t="s">
        <v>1628</v>
      </c>
      <c r="M27" s="3537"/>
      <c r="N27" s="3554" t="s">
        <v>1643</v>
      </c>
      <c r="O27" s="2234" t="s">
        <v>1624</v>
      </c>
      <c r="P27" s="2234" t="s">
        <v>1638</v>
      </c>
      <c r="Q27" s="2234" t="s">
        <v>1617</v>
      </c>
      <c r="R27" s="3537" t="s">
        <v>1661</v>
      </c>
      <c r="S27" s="3554" t="s">
        <v>1652</v>
      </c>
      <c r="T27" s="2234" t="s">
        <v>1628</v>
      </c>
      <c r="U27" s="2234" t="s">
        <v>1662</v>
      </c>
      <c r="V27" s="2234" t="s">
        <v>1619</v>
      </c>
      <c r="W27" s="2234" t="s">
        <v>1659</v>
      </c>
      <c r="X27" s="3537"/>
      <c r="Y27" s="3554" t="s">
        <v>1646</v>
      </c>
      <c r="Z27" s="2234" t="s">
        <v>1663</v>
      </c>
      <c r="AA27" s="2234" t="s">
        <v>1619</v>
      </c>
      <c r="AB27" s="2234" t="s">
        <v>1664</v>
      </c>
      <c r="AC27" s="2234" t="s">
        <v>1653</v>
      </c>
      <c r="AD27" s="3537" t="s">
        <v>1661</v>
      </c>
      <c r="AE27" s="3554" t="s">
        <v>1646</v>
      </c>
      <c r="AF27" s="2234" t="s">
        <v>1663</v>
      </c>
      <c r="AG27" s="2234" t="s">
        <v>1619</v>
      </c>
      <c r="AH27" s="2234" t="s">
        <v>1664</v>
      </c>
      <c r="AI27" s="2234" t="s">
        <v>1653</v>
      </c>
      <c r="AJ27" s="3537" t="s">
        <v>1661</v>
      </c>
      <c r="AK27" s="3554" t="s">
        <v>1646</v>
      </c>
      <c r="AL27" s="2234" t="s">
        <v>1663</v>
      </c>
      <c r="AM27" s="2234" t="s">
        <v>1619</v>
      </c>
      <c r="AN27" s="2234" t="s">
        <v>1664</v>
      </c>
      <c r="AO27" s="2234" t="s">
        <v>1653</v>
      </c>
      <c r="AP27" s="3537" t="s">
        <v>1661</v>
      </c>
      <c r="AQ27" s="1778"/>
      <c r="AR27" s="1778"/>
      <c r="AS27" s="1778"/>
      <c r="AT27" s="1778"/>
      <c r="AU27" s="1778"/>
      <c r="AV27" s="1778"/>
      <c r="AW27" s="1778"/>
      <c r="AX27" s="1778"/>
      <c r="AY27" s="1778"/>
      <c r="AZ27" s="1778"/>
      <c r="BA27" s="1778"/>
      <c r="BB27" s="1778"/>
      <c r="BC27" s="1778"/>
    </row>
    <row r="28" spans="1:55" ht="22.5" x14ac:dyDescent="0.2">
      <c r="A28" s="5"/>
      <c r="B28" s="6"/>
      <c r="C28" s="6"/>
      <c r="D28" s="3560"/>
      <c r="E28" s="2234" t="s">
        <v>71</v>
      </c>
      <c r="F28" s="2234" t="s">
        <v>1637</v>
      </c>
      <c r="G28" s="2234" t="s">
        <v>1612</v>
      </c>
      <c r="H28" s="3555"/>
      <c r="I28" s="3554" t="s">
        <v>1637</v>
      </c>
      <c r="J28" s="2234" t="s">
        <v>1605</v>
      </c>
      <c r="K28" s="2234" t="s">
        <v>1665</v>
      </c>
      <c r="L28" s="2234" t="s">
        <v>1666</v>
      </c>
      <c r="M28" s="3537"/>
      <c r="N28" s="3554" t="s">
        <v>1667</v>
      </c>
      <c r="O28" s="2234" t="s">
        <v>1659</v>
      </c>
      <c r="P28" s="2234" t="s">
        <v>1654</v>
      </c>
      <c r="Q28" s="2234" t="s">
        <v>1649</v>
      </c>
      <c r="R28" s="3537" t="s">
        <v>1640</v>
      </c>
      <c r="S28" s="3554" t="s">
        <v>1637</v>
      </c>
      <c r="T28" s="2234" t="s">
        <v>1636</v>
      </c>
      <c r="U28" s="2234" t="s">
        <v>1668</v>
      </c>
      <c r="V28" s="2234" t="s">
        <v>1667</v>
      </c>
      <c r="W28" s="2234" t="s">
        <v>1648</v>
      </c>
      <c r="X28" s="3537"/>
      <c r="Y28" s="3554" t="s">
        <v>1668</v>
      </c>
      <c r="Z28" s="2234" t="s">
        <v>1667</v>
      </c>
      <c r="AA28" s="2234" t="s">
        <v>1669</v>
      </c>
      <c r="AB28" s="2234" t="s">
        <v>1612</v>
      </c>
      <c r="AC28" s="2234" t="s">
        <v>1670</v>
      </c>
      <c r="AD28" s="3537"/>
      <c r="AE28" s="3554" t="s">
        <v>1668</v>
      </c>
      <c r="AF28" s="2234" t="s">
        <v>1667</v>
      </c>
      <c r="AG28" s="2234" t="s">
        <v>1669</v>
      </c>
      <c r="AH28" s="2234" t="s">
        <v>1612</v>
      </c>
      <c r="AI28" s="2234" t="s">
        <v>1670</v>
      </c>
      <c r="AJ28" s="3537"/>
      <c r="AK28" s="3554" t="s">
        <v>1668</v>
      </c>
      <c r="AL28" s="2234" t="s">
        <v>1667</v>
      </c>
      <c r="AM28" s="2234" t="s">
        <v>1669</v>
      </c>
      <c r="AN28" s="2234" t="s">
        <v>1612</v>
      </c>
      <c r="AO28" s="2234" t="s">
        <v>1670</v>
      </c>
      <c r="AP28" s="3537"/>
      <c r="AQ28" s="1778"/>
      <c r="AR28" s="1778"/>
      <c r="AS28" s="1778"/>
      <c r="AT28" s="1778"/>
      <c r="AU28" s="1778"/>
      <c r="AV28" s="1778"/>
      <c r="AW28" s="1778"/>
      <c r="AX28" s="1778"/>
      <c r="AY28" s="1778"/>
      <c r="AZ28" s="1778"/>
      <c r="BA28" s="1778"/>
      <c r="BB28" s="1778"/>
      <c r="BC28" s="1778"/>
    </row>
    <row r="29" spans="1:55" ht="22.5" x14ac:dyDescent="0.2">
      <c r="A29" s="5"/>
      <c r="B29" s="6"/>
      <c r="C29" s="6"/>
      <c r="D29" s="3561"/>
      <c r="E29" s="3551" t="s">
        <v>1621</v>
      </c>
      <c r="F29" s="3551" t="s">
        <v>1671</v>
      </c>
      <c r="G29" s="3551" t="s">
        <v>1672</v>
      </c>
      <c r="H29" s="3553"/>
      <c r="I29" s="3549" t="s">
        <v>1671</v>
      </c>
      <c r="J29" s="3551" t="s">
        <v>84</v>
      </c>
      <c r="K29" s="3551" t="s">
        <v>1617</v>
      </c>
      <c r="L29" s="3551" t="s">
        <v>1652</v>
      </c>
      <c r="M29" s="3548"/>
      <c r="N29" s="3549" t="s">
        <v>1637</v>
      </c>
      <c r="O29" s="3551" t="s">
        <v>1646</v>
      </c>
      <c r="P29" s="3551" t="s">
        <v>1642</v>
      </c>
      <c r="Q29" s="3551" t="s">
        <v>1666</v>
      </c>
      <c r="R29" s="3548"/>
      <c r="S29" s="3549"/>
      <c r="T29" s="3551"/>
      <c r="U29" s="3551"/>
      <c r="V29" s="3551"/>
      <c r="W29" s="3551"/>
      <c r="X29" s="3548"/>
      <c r="Y29" s="3549"/>
      <c r="Z29" s="3551"/>
      <c r="AA29" s="3551"/>
      <c r="AB29" s="3551"/>
      <c r="AC29" s="3551"/>
      <c r="AD29" s="3548"/>
      <c r="AE29" s="3549"/>
      <c r="AF29" s="3551"/>
      <c r="AG29" s="3551"/>
      <c r="AH29" s="3551"/>
      <c r="AI29" s="3551"/>
      <c r="AJ29" s="3548"/>
      <c r="AK29" s="3549"/>
      <c r="AL29" s="3551"/>
      <c r="AM29" s="3551"/>
      <c r="AN29" s="3551"/>
      <c r="AO29" s="3551"/>
      <c r="AP29" s="3548"/>
      <c r="AQ29" s="1778"/>
      <c r="AR29" s="1778"/>
      <c r="AS29" s="1778"/>
      <c r="AT29" s="1778"/>
      <c r="AU29" s="1778"/>
      <c r="AV29" s="1778"/>
      <c r="AW29" s="1778"/>
      <c r="AX29" s="1778"/>
      <c r="AY29" s="1778"/>
      <c r="AZ29" s="1778"/>
      <c r="BA29" s="1778"/>
      <c r="BB29" s="1778"/>
      <c r="BC29" s="1778"/>
    </row>
    <row r="30" spans="1:55" ht="12.75" customHeight="1" x14ac:dyDescent="0.2">
      <c r="A30" s="5"/>
      <c r="B30" s="6"/>
      <c r="C30" s="6"/>
      <c r="D30" s="3557" t="s">
        <v>1673</v>
      </c>
      <c r="E30" s="2234"/>
      <c r="F30" s="2234"/>
      <c r="G30" s="2234"/>
      <c r="H30" s="3555"/>
      <c r="I30" s="3554"/>
      <c r="J30" s="2234"/>
      <c r="K30" s="2234"/>
      <c r="L30" s="2234"/>
      <c r="M30" s="3537"/>
      <c r="N30" s="3554"/>
      <c r="O30" s="2234"/>
      <c r="P30" s="2234"/>
      <c r="Q30" s="2234"/>
      <c r="R30" s="3537"/>
      <c r="S30" s="3554"/>
      <c r="T30" s="2234"/>
      <c r="U30" s="2234"/>
      <c r="V30" s="2234"/>
      <c r="W30" s="2234"/>
      <c r="X30" s="3537"/>
      <c r="Y30" s="3554"/>
      <c r="Z30" s="2234"/>
      <c r="AA30" s="2234"/>
      <c r="AB30" s="2234"/>
      <c r="AC30" s="2234"/>
      <c r="AD30" s="3548"/>
      <c r="AE30" s="3554"/>
      <c r="AF30" s="2234"/>
      <c r="AG30" s="2234"/>
      <c r="AH30" s="2234"/>
      <c r="AI30" s="2234"/>
      <c r="AJ30" s="3548"/>
      <c r="AK30" s="3554"/>
      <c r="AL30" s="2234"/>
      <c r="AM30" s="2234"/>
      <c r="AN30" s="2234"/>
      <c r="AO30" s="2234"/>
      <c r="AP30" s="3548"/>
      <c r="AQ30" s="1778"/>
      <c r="AR30" s="1778"/>
      <c r="AS30" s="1778"/>
      <c r="AT30" s="1778"/>
      <c r="AU30" s="1778"/>
      <c r="AV30" s="1778"/>
      <c r="AW30" s="1778"/>
      <c r="AX30" s="1778"/>
      <c r="AY30" s="1778"/>
      <c r="AZ30" s="1778"/>
      <c r="BA30" s="1778"/>
      <c r="BB30" s="1778"/>
      <c r="BC30" s="1778"/>
    </row>
    <row r="31" spans="1:55" ht="33.75" x14ac:dyDescent="0.2">
      <c r="A31" s="5"/>
      <c r="B31" s="6"/>
      <c r="C31" s="6"/>
      <c r="D31" s="3558"/>
      <c r="E31" s="3540" t="s">
        <v>1674</v>
      </c>
      <c r="F31" s="3540" t="s">
        <v>1610</v>
      </c>
      <c r="G31" s="3540" t="s">
        <v>1675</v>
      </c>
      <c r="H31" s="3541"/>
      <c r="I31" s="3542" t="s">
        <v>1613</v>
      </c>
      <c r="J31" s="3544" t="s">
        <v>1676</v>
      </c>
      <c r="K31" s="3544" t="s">
        <v>1623</v>
      </c>
      <c r="L31" s="3544" t="s">
        <v>1677</v>
      </c>
      <c r="M31" s="3541"/>
      <c r="N31" s="3542" t="s">
        <v>1678</v>
      </c>
      <c r="O31" s="3544" t="s">
        <v>1655</v>
      </c>
      <c r="P31" s="3544" t="s">
        <v>1665</v>
      </c>
      <c r="Q31" s="3544" t="s">
        <v>1679</v>
      </c>
      <c r="R31" s="3541"/>
      <c r="S31" s="3542" t="s">
        <v>1664</v>
      </c>
      <c r="T31" s="3544" t="s">
        <v>1623</v>
      </c>
      <c r="U31" s="3544" t="s">
        <v>1680</v>
      </c>
      <c r="V31" s="3544" t="s">
        <v>1655</v>
      </c>
      <c r="W31" s="3544" t="s">
        <v>1669</v>
      </c>
      <c r="X31" s="3541" t="s">
        <v>1670</v>
      </c>
      <c r="Y31" s="3542" t="s">
        <v>1678</v>
      </c>
      <c r="Z31" s="3544" t="s">
        <v>1680</v>
      </c>
      <c r="AA31" s="3544" t="s">
        <v>1681</v>
      </c>
      <c r="AB31" s="3544" t="s">
        <v>1665</v>
      </c>
      <c r="AC31" s="3544" t="s">
        <v>1610</v>
      </c>
      <c r="AD31" s="3537" t="s">
        <v>1682</v>
      </c>
      <c r="AE31" s="3542" t="s">
        <v>1678</v>
      </c>
      <c r="AF31" s="3544" t="s">
        <v>1680</v>
      </c>
      <c r="AG31" s="3544" t="s">
        <v>1681</v>
      </c>
      <c r="AH31" s="3544" t="s">
        <v>1665</v>
      </c>
      <c r="AI31" s="3544" t="s">
        <v>1610</v>
      </c>
      <c r="AJ31" s="3537" t="s">
        <v>1682</v>
      </c>
      <c r="AK31" s="3542" t="s">
        <v>1678</v>
      </c>
      <c r="AL31" s="3544" t="s">
        <v>1680</v>
      </c>
      <c r="AM31" s="3544" t="s">
        <v>1681</v>
      </c>
      <c r="AN31" s="3544" t="s">
        <v>1665</v>
      </c>
      <c r="AO31" s="3544" t="s">
        <v>1610</v>
      </c>
      <c r="AP31" s="3537" t="s">
        <v>1682</v>
      </c>
      <c r="AQ31" s="1778"/>
      <c r="AR31" s="1778"/>
      <c r="AS31" s="1778"/>
      <c r="AT31" s="1778"/>
      <c r="AU31" s="1778"/>
      <c r="AV31" s="1778"/>
      <c r="AW31" s="1778"/>
      <c r="AX31" s="1778"/>
      <c r="AY31" s="1778"/>
      <c r="AZ31" s="1778"/>
      <c r="BA31" s="1778"/>
      <c r="BB31" s="1778"/>
      <c r="BC31" s="1778"/>
    </row>
    <row r="32" spans="1:55" ht="22.5" x14ac:dyDescent="0.2">
      <c r="A32" s="5"/>
      <c r="B32" s="6"/>
      <c r="C32" s="6"/>
      <c r="D32" s="3560"/>
      <c r="E32" s="1778" t="s">
        <v>1648</v>
      </c>
      <c r="F32" s="1778" t="s">
        <v>1683</v>
      </c>
      <c r="G32" s="1778" t="s">
        <v>1684</v>
      </c>
      <c r="H32" s="3537"/>
      <c r="I32" s="3554" t="s">
        <v>1678</v>
      </c>
      <c r="J32" s="2234" t="s">
        <v>249</v>
      </c>
      <c r="K32" s="2234" t="s">
        <v>1646</v>
      </c>
      <c r="L32" s="2234" t="s">
        <v>1647</v>
      </c>
      <c r="M32" s="3537"/>
      <c r="N32" s="3554" t="s">
        <v>1681</v>
      </c>
      <c r="O32" s="2234" t="s">
        <v>1636</v>
      </c>
      <c r="P32" s="2234" t="s">
        <v>1670</v>
      </c>
      <c r="Q32" s="2234"/>
      <c r="R32" s="3537"/>
      <c r="S32" s="3554" t="s">
        <v>1685</v>
      </c>
      <c r="T32" s="2234" t="s">
        <v>1610</v>
      </c>
      <c r="U32" s="2234" t="s">
        <v>1678</v>
      </c>
      <c r="V32" s="2234" t="s">
        <v>1681</v>
      </c>
      <c r="W32" s="2234" t="s">
        <v>567</v>
      </c>
      <c r="X32" s="3537" t="s">
        <v>249</v>
      </c>
      <c r="Y32" s="3554" t="s">
        <v>249</v>
      </c>
      <c r="Z32" s="2234" t="s">
        <v>1686</v>
      </c>
      <c r="AA32" s="2234" t="s">
        <v>1652</v>
      </c>
      <c r="AB32" s="2234" t="s">
        <v>1685</v>
      </c>
      <c r="AC32" s="2234" t="s">
        <v>1676</v>
      </c>
      <c r="AD32" s="3555" t="s">
        <v>1687</v>
      </c>
      <c r="AE32" s="3554" t="s">
        <v>249</v>
      </c>
      <c r="AF32" s="2234" t="s">
        <v>1686</v>
      </c>
      <c r="AG32" s="2234" t="s">
        <v>1652</v>
      </c>
      <c r="AH32" s="2234" t="s">
        <v>1685</v>
      </c>
      <c r="AI32" s="2234" t="s">
        <v>1676</v>
      </c>
      <c r="AJ32" s="3555" t="s">
        <v>1687</v>
      </c>
      <c r="AK32" s="3554" t="s">
        <v>249</v>
      </c>
      <c r="AL32" s="2234" t="s">
        <v>1686</v>
      </c>
      <c r="AM32" s="2234" t="s">
        <v>1652</v>
      </c>
      <c r="AN32" s="2234" t="s">
        <v>1685</v>
      </c>
      <c r="AO32" s="2234" t="s">
        <v>1676</v>
      </c>
      <c r="AP32" s="3555" t="s">
        <v>1687</v>
      </c>
      <c r="AQ32" s="2234"/>
      <c r="AR32" s="2234"/>
      <c r="AS32" s="2234"/>
      <c r="AT32" s="2234"/>
      <c r="AU32" s="2234"/>
      <c r="AV32" s="2234"/>
      <c r="AW32" s="2234"/>
      <c r="AX32" s="2234"/>
      <c r="AY32" s="2234"/>
      <c r="AZ32" s="2234"/>
      <c r="BA32" s="2234"/>
      <c r="BB32" s="2234"/>
      <c r="BC32" s="2234"/>
    </row>
    <row r="33" spans="1:55" ht="33.75" x14ac:dyDescent="0.2">
      <c r="A33" s="5"/>
      <c r="B33" s="6"/>
      <c r="C33" s="6"/>
      <c r="D33" s="3562"/>
      <c r="E33" s="3563"/>
      <c r="F33" s="3563"/>
      <c r="G33" s="3563"/>
      <c r="H33" s="3564"/>
      <c r="I33" s="3554" t="s">
        <v>1667</v>
      </c>
      <c r="J33" s="2234" t="s">
        <v>1655</v>
      </c>
      <c r="K33" s="2234" t="s">
        <v>1683</v>
      </c>
      <c r="L33" s="2234" t="s">
        <v>1686</v>
      </c>
      <c r="M33" s="3537"/>
      <c r="N33" s="3554" t="s">
        <v>1648</v>
      </c>
      <c r="O33" s="2234" t="s">
        <v>1688</v>
      </c>
      <c r="P33" s="2234" t="s">
        <v>1663</v>
      </c>
      <c r="Q33" s="2234"/>
      <c r="R33" s="3537"/>
      <c r="S33" s="3554" t="s">
        <v>1661</v>
      </c>
      <c r="T33" s="2234" t="s">
        <v>1645</v>
      </c>
      <c r="U33" s="2234" t="s">
        <v>1647</v>
      </c>
      <c r="V33" s="2234" t="s">
        <v>1663</v>
      </c>
      <c r="W33" s="2234" t="s">
        <v>1682</v>
      </c>
      <c r="X33" s="3537" t="s">
        <v>1640</v>
      </c>
      <c r="Y33" s="3554" t="s">
        <v>1689</v>
      </c>
      <c r="Z33" s="2234" t="s">
        <v>1659</v>
      </c>
      <c r="AA33" s="2234" t="s">
        <v>1690</v>
      </c>
      <c r="AB33" s="2234" t="s">
        <v>1691</v>
      </c>
      <c r="AC33" s="2234" t="s">
        <v>1677</v>
      </c>
      <c r="AD33" s="3537"/>
      <c r="AE33" s="3554" t="s">
        <v>1689</v>
      </c>
      <c r="AF33" s="2234" t="s">
        <v>1659</v>
      </c>
      <c r="AG33" s="2234" t="s">
        <v>1690</v>
      </c>
      <c r="AH33" s="2234" t="s">
        <v>1691</v>
      </c>
      <c r="AI33" s="2234" t="s">
        <v>1677</v>
      </c>
      <c r="AJ33" s="3537"/>
      <c r="AK33" s="3554" t="s">
        <v>1689</v>
      </c>
      <c r="AL33" s="2234" t="s">
        <v>1659</v>
      </c>
      <c r="AM33" s="2234" t="s">
        <v>1690</v>
      </c>
      <c r="AN33" s="2234" t="s">
        <v>1691</v>
      </c>
      <c r="AO33" s="2234" t="s">
        <v>1677</v>
      </c>
      <c r="AP33" s="3537"/>
      <c r="AQ33" s="1778"/>
      <c r="AR33" s="1778"/>
      <c r="AS33" s="1778"/>
      <c r="AT33" s="1778"/>
      <c r="AU33" s="1778"/>
      <c r="AV33" s="1778"/>
      <c r="AW33" s="1778"/>
      <c r="AX33" s="1778"/>
      <c r="AY33" s="1778"/>
      <c r="AZ33" s="1778"/>
      <c r="BA33" s="1778"/>
      <c r="BB33" s="1778"/>
      <c r="BC33" s="1778"/>
    </row>
    <row r="34" spans="1:55" ht="22.5" x14ac:dyDescent="0.2">
      <c r="A34" s="5"/>
      <c r="B34" s="6"/>
      <c r="C34" s="6"/>
      <c r="D34" s="3562"/>
      <c r="E34" s="3563"/>
      <c r="F34" s="3563"/>
      <c r="G34" s="3563"/>
      <c r="H34" s="3564"/>
      <c r="I34" s="3554" t="s">
        <v>1681</v>
      </c>
      <c r="J34" s="2234" t="s">
        <v>1636</v>
      </c>
      <c r="K34" s="2234" t="s">
        <v>1675</v>
      </c>
      <c r="L34" s="2234" t="s">
        <v>1680</v>
      </c>
      <c r="M34" s="3537"/>
      <c r="N34" s="3554" t="s">
        <v>1685</v>
      </c>
      <c r="O34" s="2234" t="s">
        <v>1682</v>
      </c>
      <c r="P34" s="2234" t="s">
        <v>1668</v>
      </c>
      <c r="Q34" s="2234"/>
      <c r="R34" s="3537"/>
      <c r="S34" s="3554" t="s">
        <v>1689</v>
      </c>
      <c r="T34" s="2234" t="s">
        <v>1665</v>
      </c>
      <c r="U34" s="2234" t="s">
        <v>1676</v>
      </c>
      <c r="V34" s="2234" t="s">
        <v>1644</v>
      </c>
      <c r="W34" s="2234" t="s">
        <v>1677</v>
      </c>
      <c r="X34" s="3555" t="s">
        <v>1687</v>
      </c>
      <c r="Y34" s="3554"/>
      <c r="Z34" s="2234"/>
      <c r="AA34" s="2234"/>
      <c r="AB34" s="2234"/>
      <c r="AC34" s="2234"/>
      <c r="AD34" s="3537"/>
      <c r="AE34" s="3554"/>
      <c r="AF34" s="2234"/>
      <c r="AG34" s="2234"/>
      <c r="AH34" s="2234"/>
      <c r="AI34" s="2234"/>
      <c r="AJ34" s="3537"/>
      <c r="AK34" s="3554"/>
      <c r="AL34" s="2234"/>
      <c r="AM34" s="2234"/>
      <c r="AN34" s="2234"/>
      <c r="AO34" s="2234"/>
      <c r="AP34" s="3537"/>
      <c r="AQ34" s="1778"/>
      <c r="AR34" s="1778"/>
      <c r="AS34" s="1778"/>
      <c r="AT34" s="1778"/>
      <c r="AU34" s="1778"/>
      <c r="AV34" s="1778"/>
      <c r="AW34" s="1778"/>
      <c r="AX34" s="1778"/>
      <c r="AY34" s="1778"/>
      <c r="AZ34" s="1778"/>
      <c r="BA34" s="1778"/>
      <c r="BB34" s="1778"/>
      <c r="BC34" s="1778"/>
    </row>
    <row r="35" spans="1:55" ht="22.5" x14ac:dyDescent="0.2">
      <c r="A35" s="5"/>
      <c r="B35" s="6"/>
      <c r="C35" s="6"/>
      <c r="D35" s="3562"/>
      <c r="E35" s="3563"/>
      <c r="F35" s="3563"/>
      <c r="G35" s="3563"/>
      <c r="H35" s="3564"/>
      <c r="I35" s="3554" t="s">
        <v>1648</v>
      </c>
      <c r="J35" s="2234" t="s">
        <v>1692</v>
      </c>
      <c r="K35" s="2234" t="s">
        <v>1684</v>
      </c>
      <c r="L35" s="2234" t="s">
        <v>1661</v>
      </c>
      <c r="M35" s="3537"/>
      <c r="N35" s="3554" t="s">
        <v>1645</v>
      </c>
      <c r="O35" s="2234" t="s">
        <v>1629</v>
      </c>
      <c r="P35" s="2234" t="s">
        <v>1677</v>
      </c>
      <c r="Q35" s="2234"/>
      <c r="R35" s="3537"/>
      <c r="S35" s="3554" t="s">
        <v>1690</v>
      </c>
      <c r="T35" s="2234" t="s">
        <v>1691</v>
      </c>
      <c r="U35" s="2234"/>
      <c r="V35" s="2234"/>
      <c r="W35" s="2234"/>
      <c r="X35" s="3537"/>
      <c r="Y35" s="3554"/>
      <c r="Z35" s="2234"/>
      <c r="AA35" s="2234"/>
      <c r="AB35" s="2234"/>
      <c r="AC35" s="2234"/>
      <c r="AD35" s="3537"/>
      <c r="AE35" s="3554"/>
      <c r="AF35" s="2234"/>
      <c r="AG35" s="2234"/>
      <c r="AH35" s="2234"/>
      <c r="AI35" s="2234"/>
      <c r="AJ35" s="3537"/>
      <c r="AK35" s="3554"/>
      <c r="AL35" s="2234"/>
      <c r="AM35" s="2234"/>
      <c r="AN35" s="2234"/>
      <c r="AO35" s="2234"/>
      <c r="AP35" s="3537"/>
      <c r="AQ35" s="1778"/>
      <c r="AR35" s="1778"/>
      <c r="AS35" s="1778"/>
      <c r="AT35" s="1778"/>
      <c r="AU35" s="1778"/>
      <c r="AV35" s="1778"/>
      <c r="AW35" s="1778"/>
      <c r="AX35" s="1778"/>
      <c r="AY35" s="1778"/>
      <c r="AZ35" s="1778"/>
      <c r="BA35" s="1778"/>
      <c r="BB35" s="1778"/>
      <c r="BC35" s="1778"/>
    </row>
    <row r="36" spans="1:55" x14ac:dyDescent="0.2">
      <c r="A36" s="5"/>
      <c r="B36" s="6"/>
      <c r="C36" s="6"/>
      <c r="D36" s="3562"/>
      <c r="E36" s="3563"/>
      <c r="F36" s="3563"/>
      <c r="G36" s="3563"/>
      <c r="H36" s="3564"/>
      <c r="I36" s="3554" t="s">
        <v>1685</v>
      </c>
      <c r="J36" s="2234" t="s">
        <v>1682</v>
      </c>
      <c r="K36" s="2234" t="s">
        <v>1663</v>
      </c>
      <c r="L36" s="3565"/>
      <c r="M36" s="3537"/>
      <c r="N36" s="3554" t="s">
        <v>1676</v>
      </c>
      <c r="O36" s="2234" t="s">
        <v>1689</v>
      </c>
      <c r="P36" s="2234" t="s">
        <v>1647</v>
      </c>
      <c r="Q36" s="688"/>
      <c r="R36" s="3537"/>
      <c r="S36" s="3554"/>
      <c r="T36" s="2234"/>
      <c r="U36" s="2234"/>
      <c r="V36" s="688"/>
      <c r="W36" s="688"/>
      <c r="X36" s="3537"/>
      <c r="Y36" s="3554"/>
      <c r="Z36" s="2234"/>
      <c r="AA36" s="2234"/>
      <c r="AB36" s="688"/>
      <c r="AC36" s="688"/>
      <c r="AD36" s="3537"/>
      <c r="AE36" s="3554"/>
      <c r="AF36" s="2234"/>
      <c r="AG36" s="2234"/>
      <c r="AH36" s="688"/>
      <c r="AI36" s="688"/>
      <c r="AJ36" s="3537"/>
      <c r="AK36" s="3554"/>
      <c r="AL36" s="2234"/>
      <c r="AM36" s="2234"/>
      <c r="AN36" s="688"/>
      <c r="AO36" s="688"/>
      <c r="AP36" s="3537"/>
      <c r="AQ36" s="1778"/>
      <c r="AR36" s="1778"/>
      <c r="AS36" s="1778"/>
      <c r="AT36" s="1778"/>
      <c r="AU36" s="1778"/>
      <c r="AV36" s="1778"/>
      <c r="AW36" s="1778"/>
      <c r="AX36" s="1778"/>
      <c r="AY36" s="1778"/>
      <c r="AZ36" s="1778"/>
      <c r="BA36" s="1778"/>
      <c r="BB36" s="1778"/>
      <c r="BC36" s="1778"/>
    </row>
    <row r="37" spans="1:55" ht="23.25" thickBot="1" x14ac:dyDescent="0.25">
      <c r="A37" s="5"/>
      <c r="B37" s="6"/>
      <c r="C37" s="6"/>
      <c r="D37" s="3566"/>
      <c r="E37" s="3567"/>
      <c r="F37" s="3567"/>
      <c r="G37" s="3567"/>
      <c r="H37" s="3568"/>
      <c r="I37" s="3569" t="s">
        <v>1645</v>
      </c>
      <c r="J37" s="3570" t="s">
        <v>1693</v>
      </c>
      <c r="K37" s="3570" t="s">
        <v>1668</v>
      </c>
      <c r="L37" s="3571"/>
      <c r="M37" s="3572"/>
      <c r="N37" s="3569" t="s">
        <v>249</v>
      </c>
      <c r="O37" s="3570" t="s">
        <v>1623</v>
      </c>
      <c r="P37" s="3570" t="s">
        <v>1686</v>
      </c>
      <c r="Q37" s="3573"/>
      <c r="R37" s="3572"/>
      <c r="S37" s="3569"/>
      <c r="T37" s="3570"/>
      <c r="U37" s="3570"/>
      <c r="V37" s="3573"/>
      <c r="W37" s="3573"/>
      <c r="X37" s="3572"/>
      <c r="Y37" s="3569"/>
      <c r="Z37" s="3570"/>
      <c r="AA37" s="3570"/>
      <c r="AB37" s="3573"/>
      <c r="AC37" s="3573"/>
      <c r="AD37" s="3572"/>
      <c r="AE37" s="3569"/>
      <c r="AF37" s="3570"/>
      <c r="AG37" s="3570"/>
      <c r="AH37" s="3573"/>
      <c r="AI37" s="3573"/>
      <c r="AJ37" s="3572"/>
      <c r="AK37" s="3569"/>
      <c r="AL37" s="3570"/>
      <c r="AM37" s="3570"/>
      <c r="AN37" s="3573"/>
      <c r="AO37" s="3573"/>
      <c r="AP37" s="3572"/>
      <c r="AQ37" s="1778"/>
      <c r="AR37" s="1778"/>
      <c r="AS37" s="1778"/>
      <c r="AT37" s="1778"/>
      <c r="AU37" s="1778"/>
      <c r="AV37" s="1778"/>
      <c r="AW37" s="1778"/>
      <c r="AX37" s="1778"/>
      <c r="AY37" s="1778"/>
      <c r="AZ37" s="1778"/>
      <c r="BA37" s="1778"/>
      <c r="BB37" s="1778"/>
      <c r="BC37" s="1778"/>
    </row>
    <row r="38" spans="1:55" ht="12.75" x14ac:dyDescent="0.2">
      <c r="A38" s="3024"/>
      <c r="B38" s="3530"/>
      <c r="C38" s="3530"/>
      <c r="N38" s="733"/>
      <c r="O38" s="733"/>
      <c r="P38" s="733"/>
      <c r="Q38" s="733"/>
      <c r="R38" s="733"/>
      <c r="S38" s="733"/>
      <c r="T38" s="733"/>
      <c r="U38" s="733"/>
      <c r="V38" s="733"/>
      <c r="W38" s="733"/>
      <c r="X38" s="733"/>
      <c r="Y38" s="733"/>
      <c r="Z38" s="733"/>
      <c r="AA38" s="733"/>
    </row>
    <row r="39" spans="1:55" ht="15" customHeight="1" x14ac:dyDescent="0.2">
      <c r="A39" s="1">
        <v>5</v>
      </c>
      <c r="B39" s="1" t="s">
        <v>29</v>
      </c>
      <c r="C39" s="1"/>
      <c r="D39" s="4459" t="s">
        <v>1694</v>
      </c>
      <c r="E39" s="4445"/>
      <c r="F39" s="4445"/>
      <c r="G39" s="4445"/>
      <c r="H39" s="4445"/>
      <c r="I39" s="4445"/>
      <c r="J39" s="4445"/>
      <c r="K39" s="4445"/>
      <c r="L39" s="4445"/>
      <c r="M39" s="4445"/>
      <c r="N39" s="4445"/>
      <c r="O39" s="4445"/>
      <c r="P39" s="4445"/>
      <c r="Q39" s="4445"/>
      <c r="R39" s="4445"/>
      <c r="S39" s="4445"/>
      <c r="T39" s="4445"/>
      <c r="U39" s="4445"/>
      <c r="V39" s="4445"/>
      <c r="W39" s="4445"/>
      <c r="X39" s="4445"/>
      <c r="Y39" s="4445"/>
      <c r="Z39" s="4445"/>
      <c r="AA39" s="4445"/>
      <c r="AB39" s="4445"/>
      <c r="AC39" s="4445"/>
      <c r="AD39" s="4460"/>
      <c r="AE39" s="3574"/>
      <c r="AF39" s="3574"/>
      <c r="AG39" s="3574"/>
      <c r="AH39" s="3574"/>
      <c r="AI39" s="3574"/>
    </row>
    <row r="40" spans="1:55" ht="93" customHeight="1" x14ac:dyDescent="0.2">
      <c r="A40" s="40">
        <v>6</v>
      </c>
      <c r="B40" s="40" t="s">
        <v>32</v>
      </c>
      <c r="C40" s="40"/>
      <c r="D40" s="4459" t="s">
        <v>1695</v>
      </c>
      <c r="E40" s="4445"/>
      <c r="F40" s="4445"/>
      <c r="G40" s="4445"/>
      <c r="H40" s="4445"/>
      <c r="I40" s="4445"/>
      <c r="J40" s="4445"/>
      <c r="K40" s="4445"/>
      <c r="L40" s="4445"/>
      <c r="M40" s="4445"/>
      <c r="N40" s="4445"/>
      <c r="O40" s="4445"/>
      <c r="P40" s="4445"/>
      <c r="Q40" s="4445"/>
      <c r="R40" s="4445"/>
      <c r="S40" s="4445"/>
      <c r="T40" s="4445"/>
      <c r="U40" s="4445"/>
      <c r="V40" s="4445"/>
      <c r="W40" s="4445"/>
      <c r="X40" s="4445"/>
      <c r="Y40" s="4445"/>
      <c r="Z40" s="4445"/>
      <c r="AA40" s="4445"/>
      <c r="AB40" s="4445"/>
      <c r="AC40" s="4445"/>
      <c r="AD40" s="4460"/>
      <c r="AE40" s="3574"/>
      <c r="AF40" s="3574"/>
      <c r="AG40" s="3574"/>
      <c r="AH40" s="3574"/>
      <c r="AI40" s="3574"/>
    </row>
    <row r="41" spans="1:55" ht="12.75" customHeight="1" x14ac:dyDescent="0.2">
      <c r="A41" s="1">
        <v>7</v>
      </c>
      <c r="B41" s="1" t="s">
        <v>31</v>
      </c>
      <c r="C41" s="1"/>
      <c r="D41" s="4456" t="s">
        <v>1696</v>
      </c>
      <c r="E41" s="4457"/>
      <c r="F41" s="4457"/>
      <c r="G41" s="4457"/>
      <c r="H41" s="4457"/>
      <c r="I41" s="4457"/>
      <c r="J41" s="4457"/>
      <c r="K41" s="4457"/>
      <c r="L41" s="4457"/>
      <c r="M41" s="4457"/>
      <c r="N41" s="4457"/>
      <c r="O41" s="4457"/>
      <c r="P41" s="4457"/>
      <c r="Q41" s="4457"/>
      <c r="R41" s="4457"/>
      <c r="S41" s="4457"/>
      <c r="T41" s="4457"/>
      <c r="U41" s="4457"/>
      <c r="V41" s="4457"/>
      <c r="W41" s="4457"/>
      <c r="X41" s="4457"/>
      <c r="Y41" s="4457"/>
      <c r="Z41" s="4457"/>
      <c r="AA41" s="4457"/>
      <c r="AB41" s="4457"/>
      <c r="AC41" s="4457"/>
      <c r="AD41" s="4458"/>
      <c r="AE41" s="3575"/>
      <c r="AF41" s="3575"/>
      <c r="AG41" s="3575"/>
      <c r="AH41" s="3575"/>
      <c r="AI41" s="3575"/>
    </row>
    <row r="42" spans="1:55" x14ac:dyDescent="0.25">
      <c r="N42" s="11"/>
      <c r="O42" s="2819"/>
      <c r="P42" s="2819"/>
      <c r="Q42" s="2819"/>
      <c r="R42" s="2819"/>
      <c r="S42" s="11"/>
      <c r="T42" s="2819"/>
      <c r="U42" s="2819"/>
      <c r="V42" s="2819"/>
      <c r="W42" s="2819"/>
      <c r="X42" s="2819"/>
      <c r="Y42" s="2819"/>
      <c r="Z42" s="2819"/>
      <c r="AA42" s="2819"/>
      <c r="AB42" s="2819"/>
      <c r="AC42" s="2819"/>
    </row>
    <row r="43" spans="1:55" x14ac:dyDescent="0.25">
      <c r="N43" s="11"/>
      <c r="O43" s="2819"/>
      <c r="P43" s="2819"/>
      <c r="Q43" s="2819"/>
      <c r="R43" s="2819"/>
      <c r="S43" s="11"/>
      <c r="T43" s="2819"/>
      <c r="U43" s="2819"/>
      <c r="V43" s="2819"/>
      <c r="W43" s="2819"/>
      <c r="X43" s="2819"/>
      <c r="Y43" s="2819"/>
      <c r="Z43" s="2819"/>
      <c r="AA43" s="2819"/>
      <c r="AB43" s="2819"/>
      <c r="AC43" s="2819"/>
    </row>
    <row r="44" spans="1:55" x14ac:dyDescent="0.25">
      <c r="G44" s="3576"/>
      <c r="N44" s="11"/>
      <c r="O44" s="2819"/>
      <c r="P44" s="2819"/>
      <c r="Q44" s="2819"/>
      <c r="R44" s="2819"/>
      <c r="S44" s="11"/>
      <c r="T44" s="2819"/>
      <c r="U44" s="2819"/>
      <c r="V44" s="2819"/>
      <c r="W44" s="2819"/>
      <c r="X44" s="2819"/>
      <c r="Y44" s="2819"/>
      <c r="Z44" s="2819"/>
      <c r="AA44" s="2819"/>
      <c r="AB44" s="2819"/>
      <c r="AC44" s="2819"/>
    </row>
    <row r="45" spans="1:55" x14ac:dyDescent="0.25">
      <c r="G45" s="3576"/>
      <c r="N45" s="11"/>
      <c r="S45" s="11"/>
    </row>
    <row r="46" spans="1:55" x14ac:dyDescent="0.25">
      <c r="G46" s="3576"/>
      <c r="N46" s="11"/>
      <c r="S46" s="11"/>
    </row>
    <row r="47" spans="1:55" x14ac:dyDescent="0.25">
      <c r="G47" s="3576"/>
      <c r="N47" s="11"/>
      <c r="S47" s="11"/>
    </row>
    <row r="48" spans="1:55" x14ac:dyDescent="0.25">
      <c r="G48" s="3576"/>
      <c r="N48" s="11"/>
      <c r="S48" s="11"/>
    </row>
    <row r="49" spans="7:19" x14ac:dyDescent="0.25">
      <c r="G49" s="3576"/>
      <c r="N49" s="11"/>
      <c r="S49" s="11"/>
    </row>
    <row r="50" spans="7:19" x14ac:dyDescent="0.25">
      <c r="G50" s="3576"/>
      <c r="N50" s="11"/>
      <c r="S50" s="11"/>
    </row>
    <row r="51" spans="7:19" x14ac:dyDescent="0.25">
      <c r="G51" s="3576"/>
      <c r="N51" s="11"/>
      <c r="S51" s="11"/>
    </row>
    <row r="52" spans="7:19" x14ac:dyDescent="0.25">
      <c r="G52" s="3576"/>
      <c r="N52" s="11"/>
      <c r="S52" s="11"/>
    </row>
    <row r="53" spans="7:19" x14ac:dyDescent="0.25">
      <c r="G53" s="3576"/>
      <c r="N53" s="11"/>
      <c r="S53" s="11"/>
    </row>
    <row r="54" spans="7:19" x14ac:dyDescent="0.25">
      <c r="G54" s="3576"/>
      <c r="N54" s="11"/>
      <c r="S54" s="11"/>
    </row>
    <row r="55" spans="7:19" x14ac:dyDescent="0.2">
      <c r="N55" s="11"/>
      <c r="S55" s="11"/>
    </row>
    <row r="56" spans="7:19" x14ac:dyDescent="0.2">
      <c r="N56" s="11"/>
      <c r="S56" s="11"/>
    </row>
    <row r="57" spans="7:19" x14ac:dyDescent="0.2">
      <c r="N57" s="11"/>
      <c r="S57" s="11"/>
    </row>
    <row r="58" spans="7:19" x14ac:dyDescent="0.2">
      <c r="N58" s="11"/>
      <c r="S58" s="11"/>
    </row>
    <row r="59" spans="7:19" x14ac:dyDescent="0.2">
      <c r="N59" s="11"/>
      <c r="S59" s="11"/>
    </row>
    <row r="60" spans="7:19" x14ac:dyDescent="0.2">
      <c r="N60" s="11"/>
      <c r="S60" s="11"/>
    </row>
    <row r="61" spans="7:19" x14ac:dyDescent="0.2">
      <c r="N61" s="11"/>
      <c r="S61" s="11"/>
    </row>
    <row r="62" spans="7:19" x14ac:dyDescent="0.2">
      <c r="N62" s="11"/>
      <c r="S62" s="11"/>
    </row>
    <row r="63" spans="7:19" x14ac:dyDescent="0.2">
      <c r="N63" s="11"/>
      <c r="S63" s="11"/>
    </row>
  </sheetData>
  <mergeCells count="6">
    <mergeCell ref="D41:AD41"/>
    <mergeCell ref="D2:AD2"/>
    <mergeCell ref="D3:AD3"/>
    <mergeCell ref="D4:AD4"/>
    <mergeCell ref="D39:AD39"/>
    <mergeCell ref="D40:AD40"/>
  </mergeCells>
  <hyperlinks>
    <hyperlink ref="D41" r:id="rId1"/>
  </hyperlinks>
  <pageMargins left="0.74803149606299213" right="0.74803149606299213" top="0.98425196850393704" bottom="0.98425196850393704" header="0.51181102362204722" footer="0.51181102362204722"/>
  <pageSetup paperSize="9" scale="28" orientation="landscape" r:id="rId2"/>
  <headerFooter alignWithMargins="0">
    <oddHeader>&amp;C&amp;"-,Bold"DEVELOPMENT INDICATORS 2014</oddHeader>
    <oddFooter>&amp;LDepartment of Planning, Monitoring and Evaluation (DPME). &amp;CPage &amp;P of &amp;N&amp;R&amp;D</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pageSetUpPr fitToPage="1"/>
  </sheetPr>
  <dimension ref="A1:JJ87"/>
  <sheetViews>
    <sheetView showGridLines="0" view="pageBreakPreview" zoomScaleNormal="100" zoomScaleSheetLayoutView="100" workbookViewId="0">
      <selection activeCell="D42" sqref="D42:AL42"/>
    </sheetView>
  </sheetViews>
  <sheetFormatPr defaultColWidth="9.140625" defaultRowHeight="12" x14ac:dyDescent="0.2"/>
  <cols>
    <col min="1" max="1" width="3.7109375" style="693" customWidth="1"/>
    <col min="2" max="2" width="14.42578125" style="694" customWidth="1"/>
    <col min="3" max="3" width="3.7109375" style="694" customWidth="1"/>
    <col min="4" max="4" width="18.28515625" style="696" customWidth="1"/>
    <col min="5" max="26" width="5.7109375" style="696" customWidth="1"/>
    <col min="27" max="40" width="5.5703125" style="696" customWidth="1"/>
    <col min="41" max="266" width="9.140625" style="696"/>
    <col min="267" max="267" width="3.7109375" style="696" customWidth="1"/>
    <col min="268" max="268" width="14.42578125" style="696" customWidth="1"/>
    <col min="269" max="269" width="3.7109375" style="696" customWidth="1"/>
    <col min="270" max="270" width="18.28515625" style="696" customWidth="1"/>
    <col min="271" max="293" width="5.7109375" style="696" customWidth="1"/>
    <col min="294" max="522" width="9.140625" style="696"/>
    <col min="523" max="523" width="3.7109375" style="696" customWidth="1"/>
    <col min="524" max="524" width="14.42578125" style="696" customWidth="1"/>
    <col min="525" max="525" width="3.7109375" style="696" customWidth="1"/>
    <col min="526" max="526" width="18.28515625" style="696" customWidth="1"/>
    <col min="527" max="549" width="5.7109375" style="696" customWidth="1"/>
    <col min="550" max="778" width="9.140625" style="696"/>
    <col min="779" max="779" width="3.7109375" style="696" customWidth="1"/>
    <col min="780" max="780" width="14.42578125" style="696" customWidth="1"/>
    <col min="781" max="781" width="3.7109375" style="696" customWidth="1"/>
    <col min="782" max="782" width="18.28515625" style="696" customWidth="1"/>
    <col min="783" max="805" width="5.7109375" style="696" customWidth="1"/>
    <col min="806" max="1034" width="9.140625" style="696"/>
    <col min="1035" max="1035" width="3.7109375" style="696" customWidth="1"/>
    <col min="1036" max="1036" width="14.42578125" style="696" customWidth="1"/>
    <col min="1037" max="1037" width="3.7109375" style="696" customWidth="1"/>
    <col min="1038" max="1038" width="18.28515625" style="696" customWidth="1"/>
    <col min="1039" max="1061" width="5.7109375" style="696" customWidth="1"/>
    <col min="1062" max="1290" width="9.140625" style="696"/>
    <col min="1291" max="1291" width="3.7109375" style="696" customWidth="1"/>
    <col min="1292" max="1292" width="14.42578125" style="696" customWidth="1"/>
    <col min="1293" max="1293" width="3.7109375" style="696" customWidth="1"/>
    <col min="1294" max="1294" width="18.28515625" style="696" customWidth="1"/>
    <col min="1295" max="1317" width="5.7109375" style="696" customWidth="1"/>
    <col min="1318" max="1546" width="9.140625" style="696"/>
    <col min="1547" max="1547" width="3.7109375" style="696" customWidth="1"/>
    <col min="1548" max="1548" width="14.42578125" style="696" customWidth="1"/>
    <col min="1549" max="1549" width="3.7109375" style="696" customWidth="1"/>
    <col min="1550" max="1550" width="18.28515625" style="696" customWidth="1"/>
    <col min="1551" max="1573" width="5.7109375" style="696" customWidth="1"/>
    <col min="1574" max="1802" width="9.140625" style="696"/>
    <col min="1803" max="1803" width="3.7109375" style="696" customWidth="1"/>
    <col min="1804" max="1804" width="14.42578125" style="696" customWidth="1"/>
    <col min="1805" max="1805" width="3.7109375" style="696" customWidth="1"/>
    <col min="1806" max="1806" width="18.28515625" style="696" customWidth="1"/>
    <col min="1807" max="1829" width="5.7109375" style="696" customWidth="1"/>
    <col min="1830" max="2058" width="9.140625" style="696"/>
    <col min="2059" max="2059" width="3.7109375" style="696" customWidth="1"/>
    <col min="2060" max="2060" width="14.42578125" style="696" customWidth="1"/>
    <col min="2061" max="2061" width="3.7109375" style="696" customWidth="1"/>
    <col min="2062" max="2062" width="18.28515625" style="696" customWidth="1"/>
    <col min="2063" max="2085" width="5.7109375" style="696" customWidth="1"/>
    <col min="2086" max="2314" width="9.140625" style="696"/>
    <col min="2315" max="2315" width="3.7109375" style="696" customWidth="1"/>
    <col min="2316" max="2316" width="14.42578125" style="696" customWidth="1"/>
    <col min="2317" max="2317" width="3.7109375" style="696" customWidth="1"/>
    <col min="2318" max="2318" width="18.28515625" style="696" customWidth="1"/>
    <col min="2319" max="2341" width="5.7109375" style="696" customWidth="1"/>
    <col min="2342" max="2570" width="9.140625" style="696"/>
    <col min="2571" max="2571" width="3.7109375" style="696" customWidth="1"/>
    <col min="2572" max="2572" width="14.42578125" style="696" customWidth="1"/>
    <col min="2573" max="2573" width="3.7109375" style="696" customWidth="1"/>
    <col min="2574" max="2574" width="18.28515625" style="696" customWidth="1"/>
    <col min="2575" max="2597" width="5.7109375" style="696" customWidth="1"/>
    <col min="2598" max="2826" width="9.140625" style="696"/>
    <col min="2827" max="2827" width="3.7109375" style="696" customWidth="1"/>
    <col min="2828" max="2828" width="14.42578125" style="696" customWidth="1"/>
    <col min="2829" max="2829" width="3.7109375" style="696" customWidth="1"/>
    <col min="2830" max="2830" width="18.28515625" style="696" customWidth="1"/>
    <col min="2831" max="2853" width="5.7109375" style="696" customWidth="1"/>
    <col min="2854" max="3082" width="9.140625" style="696"/>
    <col min="3083" max="3083" width="3.7109375" style="696" customWidth="1"/>
    <col min="3084" max="3084" width="14.42578125" style="696" customWidth="1"/>
    <col min="3085" max="3085" width="3.7109375" style="696" customWidth="1"/>
    <col min="3086" max="3086" width="18.28515625" style="696" customWidth="1"/>
    <col min="3087" max="3109" width="5.7109375" style="696" customWidth="1"/>
    <col min="3110" max="3338" width="9.140625" style="696"/>
    <col min="3339" max="3339" width="3.7109375" style="696" customWidth="1"/>
    <col min="3340" max="3340" width="14.42578125" style="696" customWidth="1"/>
    <col min="3341" max="3341" width="3.7109375" style="696" customWidth="1"/>
    <col min="3342" max="3342" width="18.28515625" style="696" customWidth="1"/>
    <col min="3343" max="3365" width="5.7109375" style="696" customWidth="1"/>
    <col min="3366" max="3594" width="9.140625" style="696"/>
    <col min="3595" max="3595" width="3.7109375" style="696" customWidth="1"/>
    <col min="3596" max="3596" width="14.42578125" style="696" customWidth="1"/>
    <col min="3597" max="3597" width="3.7109375" style="696" customWidth="1"/>
    <col min="3598" max="3598" width="18.28515625" style="696" customWidth="1"/>
    <col min="3599" max="3621" width="5.7109375" style="696" customWidth="1"/>
    <col min="3622" max="3850" width="9.140625" style="696"/>
    <col min="3851" max="3851" width="3.7109375" style="696" customWidth="1"/>
    <col min="3852" max="3852" width="14.42578125" style="696" customWidth="1"/>
    <col min="3853" max="3853" width="3.7109375" style="696" customWidth="1"/>
    <col min="3854" max="3854" width="18.28515625" style="696" customWidth="1"/>
    <col min="3855" max="3877" width="5.7109375" style="696" customWidth="1"/>
    <col min="3878" max="4106" width="9.140625" style="696"/>
    <col min="4107" max="4107" width="3.7109375" style="696" customWidth="1"/>
    <col min="4108" max="4108" width="14.42578125" style="696" customWidth="1"/>
    <col min="4109" max="4109" width="3.7109375" style="696" customWidth="1"/>
    <col min="4110" max="4110" width="18.28515625" style="696" customWidth="1"/>
    <col min="4111" max="4133" width="5.7109375" style="696" customWidth="1"/>
    <col min="4134" max="4362" width="9.140625" style="696"/>
    <col min="4363" max="4363" width="3.7109375" style="696" customWidth="1"/>
    <col min="4364" max="4364" width="14.42578125" style="696" customWidth="1"/>
    <col min="4365" max="4365" width="3.7109375" style="696" customWidth="1"/>
    <col min="4366" max="4366" width="18.28515625" style="696" customWidth="1"/>
    <col min="4367" max="4389" width="5.7109375" style="696" customWidth="1"/>
    <col min="4390" max="4618" width="9.140625" style="696"/>
    <col min="4619" max="4619" width="3.7109375" style="696" customWidth="1"/>
    <col min="4620" max="4620" width="14.42578125" style="696" customWidth="1"/>
    <col min="4621" max="4621" width="3.7109375" style="696" customWidth="1"/>
    <col min="4622" max="4622" width="18.28515625" style="696" customWidth="1"/>
    <col min="4623" max="4645" width="5.7109375" style="696" customWidth="1"/>
    <col min="4646" max="4874" width="9.140625" style="696"/>
    <col min="4875" max="4875" width="3.7109375" style="696" customWidth="1"/>
    <col min="4876" max="4876" width="14.42578125" style="696" customWidth="1"/>
    <col min="4877" max="4877" width="3.7109375" style="696" customWidth="1"/>
    <col min="4878" max="4878" width="18.28515625" style="696" customWidth="1"/>
    <col min="4879" max="4901" width="5.7109375" style="696" customWidth="1"/>
    <col min="4902" max="5130" width="9.140625" style="696"/>
    <col min="5131" max="5131" width="3.7109375" style="696" customWidth="1"/>
    <col min="5132" max="5132" width="14.42578125" style="696" customWidth="1"/>
    <col min="5133" max="5133" width="3.7109375" style="696" customWidth="1"/>
    <col min="5134" max="5134" width="18.28515625" style="696" customWidth="1"/>
    <col min="5135" max="5157" width="5.7109375" style="696" customWidth="1"/>
    <col min="5158" max="5386" width="9.140625" style="696"/>
    <col min="5387" max="5387" width="3.7109375" style="696" customWidth="1"/>
    <col min="5388" max="5388" width="14.42578125" style="696" customWidth="1"/>
    <col min="5389" max="5389" width="3.7109375" style="696" customWidth="1"/>
    <col min="5390" max="5390" width="18.28515625" style="696" customWidth="1"/>
    <col min="5391" max="5413" width="5.7109375" style="696" customWidth="1"/>
    <col min="5414" max="5642" width="9.140625" style="696"/>
    <col min="5643" max="5643" width="3.7109375" style="696" customWidth="1"/>
    <col min="5644" max="5644" width="14.42578125" style="696" customWidth="1"/>
    <col min="5645" max="5645" width="3.7109375" style="696" customWidth="1"/>
    <col min="5646" max="5646" width="18.28515625" style="696" customWidth="1"/>
    <col min="5647" max="5669" width="5.7109375" style="696" customWidth="1"/>
    <col min="5670" max="5898" width="9.140625" style="696"/>
    <col min="5899" max="5899" width="3.7109375" style="696" customWidth="1"/>
    <col min="5900" max="5900" width="14.42578125" style="696" customWidth="1"/>
    <col min="5901" max="5901" width="3.7109375" style="696" customWidth="1"/>
    <col min="5902" max="5902" width="18.28515625" style="696" customWidth="1"/>
    <col min="5903" max="5925" width="5.7109375" style="696" customWidth="1"/>
    <col min="5926" max="6154" width="9.140625" style="696"/>
    <col min="6155" max="6155" width="3.7109375" style="696" customWidth="1"/>
    <col min="6156" max="6156" width="14.42578125" style="696" customWidth="1"/>
    <col min="6157" max="6157" width="3.7109375" style="696" customWidth="1"/>
    <col min="6158" max="6158" width="18.28515625" style="696" customWidth="1"/>
    <col min="6159" max="6181" width="5.7109375" style="696" customWidth="1"/>
    <col min="6182" max="6410" width="9.140625" style="696"/>
    <col min="6411" max="6411" width="3.7109375" style="696" customWidth="1"/>
    <col min="6412" max="6412" width="14.42578125" style="696" customWidth="1"/>
    <col min="6413" max="6413" width="3.7109375" style="696" customWidth="1"/>
    <col min="6414" max="6414" width="18.28515625" style="696" customWidth="1"/>
    <col min="6415" max="6437" width="5.7109375" style="696" customWidth="1"/>
    <col min="6438" max="6666" width="9.140625" style="696"/>
    <col min="6667" max="6667" width="3.7109375" style="696" customWidth="1"/>
    <col min="6668" max="6668" width="14.42578125" style="696" customWidth="1"/>
    <col min="6669" max="6669" width="3.7109375" style="696" customWidth="1"/>
    <col min="6670" max="6670" width="18.28515625" style="696" customWidth="1"/>
    <col min="6671" max="6693" width="5.7109375" style="696" customWidth="1"/>
    <col min="6694" max="6922" width="9.140625" style="696"/>
    <col min="6923" max="6923" width="3.7109375" style="696" customWidth="1"/>
    <col min="6924" max="6924" width="14.42578125" style="696" customWidth="1"/>
    <col min="6925" max="6925" width="3.7109375" style="696" customWidth="1"/>
    <col min="6926" max="6926" width="18.28515625" style="696" customWidth="1"/>
    <col min="6927" max="6949" width="5.7109375" style="696" customWidth="1"/>
    <col min="6950" max="7178" width="9.140625" style="696"/>
    <col min="7179" max="7179" width="3.7109375" style="696" customWidth="1"/>
    <col min="7180" max="7180" width="14.42578125" style="696" customWidth="1"/>
    <col min="7181" max="7181" width="3.7109375" style="696" customWidth="1"/>
    <col min="7182" max="7182" width="18.28515625" style="696" customWidth="1"/>
    <col min="7183" max="7205" width="5.7109375" style="696" customWidth="1"/>
    <col min="7206" max="7434" width="9.140625" style="696"/>
    <col min="7435" max="7435" width="3.7109375" style="696" customWidth="1"/>
    <col min="7436" max="7436" width="14.42578125" style="696" customWidth="1"/>
    <col min="7437" max="7437" width="3.7109375" style="696" customWidth="1"/>
    <col min="7438" max="7438" width="18.28515625" style="696" customWidth="1"/>
    <col min="7439" max="7461" width="5.7109375" style="696" customWidth="1"/>
    <col min="7462" max="7690" width="9.140625" style="696"/>
    <col min="7691" max="7691" width="3.7109375" style="696" customWidth="1"/>
    <col min="7692" max="7692" width="14.42578125" style="696" customWidth="1"/>
    <col min="7693" max="7693" width="3.7109375" style="696" customWidth="1"/>
    <col min="7694" max="7694" width="18.28515625" style="696" customWidth="1"/>
    <col min="7695" max="7717" width="5.7109375" style="696" customWidth="1"/>
    <col min="7718" max="7946" width="9.140625" style="696"/>
    <col min="7947" max="7947" width="3.7109375" style="696" customWidth="1"/>
    <col min="7948" max="7948" width="14.42578125" style="696" customWidth="1"/>
    <col min="7949" max="7949" width="3.7109375" style="696" customWidth="1"/>
    <col min="7950" max="7950" width="18.28515625" style="696" customWidth="1"/>
    <col min="7951" max="7973" width="5.7109375" style="696" customWidth="1"/>
    <col min="7974" max="8202" width="9.140625" style="696"/>
    <col min="8203" max="8203" width="3.7109375" style="696" customWidth="1"/>
    <col min="8204" max="8204" width="14.42578125" style="696" customWidth="1"/>
    <col min="8205" max="8205" width="3.7109375" style="696" customWidth="1"/>
    <col min="8206" max="8206" width="18.28515625" style="696" customWidth="1"/>
    <col min="8207" max="8229" width="5.7109375" style="696" customWidth="1"/>
    <col min="8230" max="8458" width="9.140625" style="696"/>
    <col min="8459" max="8459" width="3.7109375" style="696" customWidth="1"/>
    <col min="8460" max="8460" width="14.42578125" style="696" customWidth="1"/>
    <col min="8461" max="8461" width="3.7109375" style="696" customWidth="1"/>
    <col min="8462" max="8462" width="18.28515625" style="696" customWidth="1"/>
    <col min="8463" max="8485" width="5.7109375" style="696" customWidth="1"/>
    <col min="8486" max="8714" width="9.140625" style="696"/>
    <col min="8715" max="8715" width="3.7109375" style="696" customWidth="1"/>
    <col min="8716" max="8716" width="14.42578125" style="696" customWidth="1"/>
    <col min="8717" max="8717" width="3.7109375" style="696" customWidth="1"/>
    <col min="8718" max="8718" width="18.28515625" style="696" customWidth="1"/>
    <col min="8719" max="8741" width="5.7109375" style="696" customWidth="1"/>
    <col min="8742" max="8970" width="9.140625" style="696"/>
    <col min="8971" max="8971" width="3.7109375" style="696" customWidth="1"/>
    <col min="8972" max="8972" width="14.42578125" style="696" customWidth="1"/>
    <col min="8973" max="8973" width="3.7109375" style="696" customWidth="1"/>
    <col min="8974" max="8974" width="18.28515625" style="696" customWidth="1"/>
    <col min="8975" max="8997" width="5.7109375" style="696" customWidth="1"/>
    <col min="8998" max="9226" width="9.140625" style="696"/>
    <col min="9227" max="9227" width="3.7109375" style="696" customWidth="1"/>
    <col min="9228" max="9228" width="14.42578125" style="696" customWidth="1"/>
    <col min="9229" max="9229" width="3.7109375" style="696" customWidth="1"/>
    <col min="9230" max="9230" width="18.28515625" style="696" customWidth="1"/>
    <col min="9231" max="9253" width="5.7109375" style="696" customWidth="1"/>
    <col min="9254" max="9482" width="9.140625" style="696"/>
    <col min="9483" max="9483" width="3.7109375" style="696" customWidth="1"/>
    <col min="9484" max="9484" width="14.42578125" style="696" customWidth="1"/>
    <col min="9485" max="9485" width="3.7109375" style="696" customWidth="1"/>
    <col min="9486" max="9486" width="18.28515625" style="696" customWidth="1"/>
    <col min="9487" max="9509" width="5.7109375" style="696" customWidth="1"/>
    <col min="9510" max="9738" width="9.140625" style="696"/>
    <col min="9739" max="9739" width="3.7109375" style="696" customWidth="1"/>
    <col min="9740" max="9740" width="14.42578125" style="696" customWidth="1"/>
    <col min="9741" max="9741" width="3.7109375" style="696" customWidth="1"/>
    <col min="9742" max="9742" width="18.28515625" style="696" customWidth="1"/>
    <col min="9743" max="9765" width="5.7109375" style="696" customWidth="1"/>
    <col min="9766" max="9994" width="9.140625" style="696"/>
    <col min="9995" max="9995" width="3.7109375" style="696" customWidth="1"/>
    <col min="9996" max="9996" width="14.42578125" style="696" customWidth="1"/>
    <col min="9997" max="9997" width="3.7109375" style="696" customWidth="1"/>
    <col min="9998" max="9998" width="18.28515625" style="696" customWidth="1"/>
    <col min="9999" max="10021" width="5.7109375" style="696" customWidth="1"/>
    <col min="10022" max="10250" width="9.140625" style="696"/>
    <col min="10251" max="10251" width="3.7109375" style="696" customWidth="1"/>
    <col min="10252" max="10252" width="14.42578125" style="696" customWidth="1"/>
    <col min="10253" max="10253" width="3.7109375" style="696" customWidth="1"/>
    <col min="10254" max="10254" width="18.28515625" style="696" customWidth="1"/>
    <col min="10255" max="10277" width="5.7109375" style="696" customWidth="1"/>
    <col min="10278" max="10506" width="9.140625" style="696"/>
    <col min="10507" max="10507" width="3.7109375" style="696" customWidth="1"/>
    <col min="10508" max="10508" width="14.42578125" style="696" customWidth="1"/>
    <col min="10509" max="10509" width="3.7109375" style="696" customWidth="1"/>
    <col min="10510" max="10510" width="18.28515625" style="696" customWidth="1"/>
    <col min="10511" max="10533" width="5.7109375" style="696" customWidth="1"/>
    <col min="10534" max="10762" width="9.140625" style="696"/>
    <col min="10763" max="10763" width="3.7109375" style="696" customWidth="1"/>
    <col min="10764" max="10764" width="14.42578125" style="696" customWidth="1"/>
    <col min="10765" max="10765" width="3.7109375" style="696" customWidth="1"/>
    <col min="10766" max="10766" width="18.28515625" style="696" customWidth="1"/>
    <col min="10767" max="10789" width="5.7109375" style="696" customWidth="1"/>
    <col min="10790" max="11018" width="9.140625" style="696"/>
    <col min="11019" max="11019" width="3.7109375" style="696" customWidth="1"/>
    <col min="11020" max="11020" width="14.42578125" style="696" customWidth="1"/>
    <col min="11021" max="11021" width="3.7109375" style="696" customWidth="1"/>
    <col min="11022" max="11022" width="18.28515625" style="696" customWidth="1"/>
    <col min="11023" max="11045" width="5.7109375" style="696" customWidth="1"/>
    <col min="11046" max="11274" width="9.140625" style="696"/>
    <col min="11275" max="11275" width="3.7109375" style="696" customWidth="1"/>
    <col min="11276" max="11276" width="14.42578125" style="696" customWidth="1"/>
    <col min="11277" max="11277" width="3.7109375" style="696" customWidth="1"/>
    <col min="11278" max="11278" width="18.28515625" style="696" customWidth="1"/>
    <col min="11279" max="11301" width="5.7109375" style="696" customWidth="1"/>
    <col min="11302" max="11530" width="9.140625" style="696"/>
    <col min="11531" max="11531" width="3.7109375" style="696" customWidth="1"/>
    <col min="11532" max="11532" width="14.42578125" style="696" customWidth="1"/>
    <col min="11533" max="11533" width="3.7109375" style="696" customWidth="1"/>
    <col min="11534" max="11534" width="18.28515625" style="696" customWidth="1"/>
    <col min="11535" max="11557" width="5.7109375" style="696" customWidth="1"/>
    <col min="11558" max="11786" width="9.140625" style="696"/>
    <col min="11787" max="11787" width="3.7109375" style="696" customWidth="1"/>
    <col min="11788" max="11788" width="14.42578125" style="696" customWidth="1"/>
    <col min="11789" max="11789" width="3.7109375" style="696" customWidth="1"/>
    <col min="11790" max="11790" width="18.28515625" style="696" customWidth="1"/>
    <col min="11791" max="11813" width="5.7109375" style="696" customWidth="1"/>
    <col min="11814" max="12042" width="9.140625" style="696"/>
    <col min="12043" max="12043" width="3.7109375" style="696" customWidth="1"/>
    <col min="12044" max="12044" width="14.42578125" style="696" customWidth="1"/>
    <col min="12045" max="12045" width="3.7109375" style="696" customWidth="1"/>
    <col min="12046" max="12046" width="18.28515625" style="696" customWidth="1"/>
    <col min="12047" max="12069" width="5.7109375" style="696" customWidth="1"/>
    <col min="12070" max="12298" width="9.140625" style="696"/>
    <col min="12299" max="12299" width="3.7109375" style="696" customWidth="1"/>
    <col min="12300" max="12300" width="14.42578125" style="696" customWidth="1"/>
    <col min="12301" max="12301" width="3.7109375" style="696" customWidth="1"/>
    <col min="12302" max="12302" width="18.28515625" style="696" customWidth="1"/>
    <col min="12303" max="12325" width="5.7109375" style="696" customWidth="1"/>
    <col min="12326" max="12554" width="9.140625" style="696"/>
    <col min="12555" max="12555" width="3.7109375" style="696" customWidth="1"/>
    <col min="12556" max="12556" width="14.42578125" style="696" customWidth="1"/>
    <col min="12557" max="12557" width="3.7109375" style="696" customWidth="1"/>
    <col min="12558" max="12558" width="18.28515625" style="696" customWidth="1"/>
    <col min="12559" max="12581" width="5.7109375" style="696" customWidth="1"/>
    <col min="12582" max="12810" width="9.140625" style="696"/>
    <col min="12811" max="12811" width="3.7109375" style="696" customWidth="1"/>
    <col min="12812" max="12812" width="14.42578125" style="696" customWidth="1"/>
    <col min="12813" max="12813" width="3.7109375" style="696" customWidth="1"/>
    <col min="12814" max="12814" width="18.28515625" style="696" customWidth="1"/>
    <col min="12815" max="12837" width="5.7109375" style="696" customWidth="1"/>
    <col min="12838" max="13066" width="9.140625" style="696"/>
    <col min="13067" max="13067" width="3.7109375" style="696" customWidth="1"/>
    <col min="13068" max="13068" width="14.42578125" style="696" customWidth="1"/>
    <col min="13069" max="13069" width="3.7109375" style="696" customWidth="1"/>
    <col min="13070" max="13070" width="18.28515625" style="696" customWidth="1"/>
    <col min="13071" max="13093" width="5.7109375" style="696" customWidth="1"/>
    <col min="13094" max="13322" width="9.140625" style="696"/>
    <col min="13323" max="13323" width="3.7109375" style="696" customWidth="1"/>
    <col min="13324" max="13324" width="14.42578125" style="696" customWidth="1"/>
    <col min="13325" max="13325" width="3.7109375" style="696" customWidth="1"/>
    <col min="13326" max="13326" width="18.28515625" style="696" customWidth="1"/>
    <col min="13327" max="13349" width="5.7109375" style="696" customWidth="1"/>
    <col min="13350" max="13578" width="9.140625" style="696"/>
    <col min="13579" max="13579" width="3.7109375" style="696" customWidth="1"/>
    <col min="13580" max="13580" width="14.42578125" style="696" customWidth="1"/>
    <col min="13581" max="13581" width="3.7109375" style="696" customWidth="1"/>
    <col min="13582" max="13582" width="18.28515625" style="696" customWidth="1"/>
    <col min="13583" max="13605" width="5.7109375" style="696" customWidth="1"/>
    <col min="13606" max="13834" width="9.140625" style="696"/>
    <col min="13835" max="13835" width="3.7109375" style="696" customWidth="1"/>
    <col min="13836" max="13836" width="14.42578125" style="696" customWidth="1"/>
    <col min="13837" max="13837" width="3.7109375" style="696" customWidth="1"/>
    <col min="13838" max="13838" width="18.28515625" style="696" customWidth="1"/>
    <col min="13839" max="13861" width="5.7109375" style="696" customWidth="1"/>
    <col min="13862" max="14090" width="9.140625" style="696"/>
    <col min="14091" max="14091" width="3.7109375" style="696" customWidth="1"/>
    <col min="14092" max="14092" width="14.42578125" style="696" customWidth="1"/>
    <col min="14093" max="14093" width="3.7109375" style="696" customWidth="1"/>
    <col min="14094" max="14094" width="18.28515625" style="696" customWidth="1"/>
    <col min="14095" max="14117" width="5.7109375" style="696" customWidth="1"/>
    <col min="14118" max="14346" width="9.140625" style="696"/>
    <col min="14347" max="14347" width="3.7109375" style="696" customWidth="1"/>
    <col min="14348" max="14348" width="14.42578125" style="696" customWidth="1"/>
    <col min="14349" max="14349" width="3.7109375" style="696" customWidth="1"/>
    <col min="14350" max="14350" width="18.28515625" style="696" customWidth="1"/>
    <col min="14351" max="14373" width="5.7109375" style="696" customWidth="1"/>
    <col min="14374" max="14602" width="9.140625" style="696"/>
    <col min="14603" max="14603" width="3.7109375" style="696" customWidth="1"/>
    <col min="14604" max="14604" width="14.42578125" style="696" customWidth="1"/>
    <col min="14605" max="14605" width="3.7109375" style="696" customWidth="1"/>
    <col min="14606" max="14606" width="18.28515625" style="696" customWidth="1"/>
    <col min="14607" max="14629" width="5.7109375" style="696" customWidth="1"/>
    <col min="14630" max="14858" width="9.140625" style="696"/>
    <col min="14859" max="14859" width="3.7109375" style="696" customWidth="1"/>
    <col min="14860" max="14860" width="14.42578125" style="696" customWidth="1"/>
    <col min="14861" max="14861" width="3.7109375" style="696" customWidth="1"/>
    <col min="14862" max="14862" width="18.28515625" style="696" customWidth="1"/>
    <col min="14863" max="14885" width="5.7109375" style="696" customWidth="1"/>
    <col min="14886" max="15114" width="9.140625" style="696"/>
    <col min="15115" max="15115" width="3.7109375" style="696" customWidth="1"/>
    <col min="15116" max="15116" width="14.42578125" style="696" customWidth="1"/>
    <col min="15117" max="15117" width="3.7109375" style="696" customWidth="1"/>
    <col min="15118" max="15118" width="18.28515625" style="696" customWidth="1"/>
    <col min="15119" max="15141" width="5.7109375" style="696" customWidth="1"/>
    <col min="15142" max="15370" width="9.140625" style="696"/>
    <col min="15371" max="15371" width="3.7109375" style="696" customWidth="1"/>
    <col min="15372" max="15372" width="14.42578125" style="696" customWidth="1"/>
    <col min="15373" max="15373" width="3.7109375" style="696" customWidth="1"/>
    <col min="15374" max="15374" width="18.28515625" style="696" customWidth="1"/>
    <col min="15375" max="15397" width="5.7109375" style="696" customWidth="1"/>
    <col min="15398" max="15626" width="9.140625" style="696"/>
    <col min="15627" max="15627" width="3.7109375" style="696" customWidth="1"/>
    <col min="15628" max="15628" width="14.42578125" style="696" customWidth="1"/>
    <col min="15629" max="15629" width="3.7109375" style="696" customWidth="1"/>
    <col min="15630" max="15630" width="18.28515625" style="696" customWidth="1"/>
    <col min="15631" max="15653" width="5.7109375" style="696" customWidth="1"/>
    <col min="15654" max="15882" width="9.140625" style="696"/>
    <col min="15883" max="15883" width="3.7109375" style="696" customWidth="1"/>
    <col min="15884" max="15884" width="14.42578125" style="696" customWidth="1"/>
    <col min="15885" max="15885" width="3.7109375" style="696" customWidth="1"/>
    <col min="15886" max="15886" width="18.28515625" style="696" customWidth="1"/>
    <col min="15887" max="15909" width="5.7109375" style="696" customWidth="1"/>
    <col min="15910" max="16138" width="9.140625" style="696"/>
    <col min="16139" max="16139" width="3.7109375" style="696" customWidth="1"/>
    <col min="16140" max="16140" width="14.42578125" style="696" customWidth="1"/>
    <col min="16141" max="16141" width="3.7109375" style="696" customWidth="1"/>
    <col min="16142" max="16142" width="18.28515625" style="696" customWidth="1"/>
    <col min="16143" max="16165" width="5.7109375" style="696" customWidth="1"/>
    <col min="16166" max="16384" width="9.140625" style="696"/>
  </cols>
  <sheetData>
    <row r="1" spans="1:270" s="685" customFormat="1" ht="15" x14ac:dyDescent="0.2">
      <c r="A1" s="683"/>
      <c r="B1" s="684"/>
      <c r="C1" s="684"/>
    </row>
    <row r="2" spans="1:270" s="685" customFormat="1" ht="14.25" customHeight="1" x14ac:dyDescent="0.2">
      <c r="A2" s="686">
        <v>1</v>
      </c>
      <c r="B2" s="686" t="s">
        <v>0</v>
      </c>
      <c r="C2" s="686">
        <v>81</v>
      </c>
      <c r="D2" s="4140" t="s">
        <v>1697</v>
      </c>
      <c r="E2" s="4141"/>
      <c r="F2" s="4141"/>
      <c r="G2" s="4141"/>
      <c r="H2" s="4141"/>
      <c r="I2" s="4141"/>
      <c r="J2" s="4141"/>
      <c r="K2" s="4141"/>
      <c r="L2" s="4141"/>
      <c r="M2" s="4141"/>
      <c r="N2" s="4141"/>
      <c r="O2" s="4141"/>
      <c r="P2" s="4141"/>
      <c r="Q2" s="4141"/>
      <c r="R2" s="4141"/>
      <c r="S2" s="4141"/>
      <c r="T2" s="4141"/>
      <c r="U2" s="4141"/>
      <c r="V2" s="4141"/>
      <c r="W2" s="4141"/>
      <c r="X2" s="4141"/>
      <c r="Y2" s="4141"/>
      <c r="Z2" s="4141"/>
      <c r="AA2" s="4141"/>
      <c r="AB2" s="4141"/>
      <c r="AC2" s="4141"/>
      <c r="AD2" s="4141"/>
      <c r="AE2" s="4141"/>
      <c r="AF2" s="4141"/>
      <c r="AG2" s="4141"/>
      <c r="AH2" s="4141"/>
      <c r="AI2" s="4141"/>
      <c r="AJ2" s="4141"/>
      <c r="AK2" s="4141"/>
      <c r="AL2" s="4141"/>
      <c r="AM2" s="4141"/>
      <c r="AN2" s="4142"/>
    </row>
    <row r="3" spans="1:270" s="685" customFormat="1" ht="14.25" customHeight="1" x14ac:dyDescent="0.2">
      <c r="A3" s="686">
        <v>2</v>
      </c>
      <c r="B3" s="686" t="s">
        <v>2</v>
      </c>
      <c r="C3" s="686"/>
      <c r="D3" s="4140" t="s">
        <v>1535</v>
      </c>
      <c r="E3" s="4141"/>
      <c r="F3" s="4141"/>
      <c r="G3" s="4141"/>
      <c r="H3" s="4141"/>
      <c r="I3" s="4141"/>
      <c r="J3" s="4141"/>
      <c r="K3" s="4141"/>
      <c r="L3" s="4141"/>
      <c r="M3" s="4141"/>
      <c r="N3" s="4141"/>
      <c r="O3" s="4141"/>
      <c r="P3" s="4141"/>
      <c r="Q3" s="4141"/>
      <c r="R3" s="4141"/>
      <c r="S3" s="4141"/>
      <c r="T3" s="4141"/>
      <c r="U3" s="4141"/>
      <c r="V3" s="4141"/>
      <c r="W3" s="4141"/>
      <c r="X3" s="4141"/>
      <c r="Y3" s="4141"/>
      <c r="Z3" s="4141"/>
      <c r="AA3" s="4141"/>
      <c r="AB3" s="4141"/>
      <c r="AC3" s="4141"/>
      <c r="AD3" s="4141"/>
      <c r="AE3" s="4141"/>
      <c r="AF3" s="4141"/>
      <c r="AG3" s="4141"/>
      <c r="AH3" s="4141"/>
      <c r="AI3" s="4141"/>
      <c r="AJ3" s="4141"/>
      <c r="AK3" s="4141"/>
      <c r="AL3" s="4141"/>
      <c r="AM3" s="4141"/>
      <c r="AN3" s="4142"/>
    </row>
    <row r="4" spans="1:270" s="685" customFormat="1" ht="14.25" customHeight="1" x14ac:dyDescent="0.2">
      <c r="A4" s="686">
        <v>3</v>
      </c>
      <c r="B4" s="686" t="s">
        <v>4</v>
      </c>
      <c r="C4" s="686"/>
      <c r="D4" s="4140" t="s">
        <v>1698</v>
      </c>
      <c r="E4" s="4141"/>
      <c r="F4" s="4141"/>
      <c r="G4" s="4141"/>
      <c r="H4" s="4141"/>
      <c r="I4" s="4141"/>
      <c r="J4" s="4141"/>
      <c r="K4" s="4141"/>
      <c r="L4" s="4141"/>
      <c r="M4" s="4141"/>
      <c r="N4" s="4141"/>
      <c r="O4" s="4141"/>
      <c r="P4" s="4141"/>
      <c r="Q4" s="4141"/>
      <c r="R4" s="4141"/>
      <c r="S4" s="4141"/>
      <c r="T4" s="4141"/>
      <c r="U4" s="4141"/>
      <c r="V4" s="4141"/>
      <c r="W4" s="4141"/>
      <c r="X4" s="4141"/>
      <c r="Y4" s="4141"/>
      <c r="Z4" s="4141"/>
      <c r="AA4" s="4141"/>
      <c r="AB4" s="4141"/>
      <c r="AC4" s="4141"/>
      <c r="AD4" s="4141"/>
      <c r="AE4" s="4141"/>
      <c r="AF4" s="4141"/>
      <c r="AG4" s="4141"/>
      <c r="AH4" s="4141"/>
      <c r="AI4" s="4141"/>
      <c r="AJ4" s="4141"/>
      <c r="AK4" s="4141"/>
      <c r="AL4" s="4141"/>
      <c r="AM4" s="4141"/>
      <c r="AN4" s="4142"/>
    </row>
    <row r="5" spans="1:270" s="685" customFormat="1" ht="14.25" customHeight="1" x14ac:dyDescent="0.2">
      <c r="A5" s="686"/>
      <c r="B5" s="686"/>
      <c r="C5" s="686"/>
      <c r="D5" s="1769"/>
      <c r="E5" s="1769"/>
      <c r="F5" s="1769"/>
      <c r="G5" s="1769"/>
      <c r="H5" s="1769"/>
      <c r="I5" s="1769"/>
      <c r="J5" s="1769"/>
      <c r="K5" s="1769"/>
      <c r="L5" s="1769"/>
      <c r="M5" s="1769"/>
      <c r="N5" s="1769"/>
      <c r="O5" s="1769"/>
      <c r="P5" s="1769"/>
      <c r="Q5" s="1769"/>
      <c r="R5" s="1769"/>
      <c r="S5" s="1769"/>
      <c r="T5" s="1769"/>
      <c r="U5" s="1769"/>
      <c r="V5" s="1769"/>
      <c r="W5" s="1769"/>
      <c r="X5" s="1769"/>
      <c r="Y5" s="1769"/>
      <c r="Z5" s="1769"/>
      <c r="AA5" s="1769"/>
      <c r="AB5" s="1769"/>
      <c r="AC5" s="1769"/>
      <c r="AD5" s="1769"/>
      <c r="AE5" s="1769"/>
      <c r="AF5" s="1769"/>
      <c r="AG5" s="1769"/>
      <c r="AH5" s="1769"/>
      <c r="AI5" s="1769"/>
      <c r="AJ5" s="1769"/>
      <c r="AK5" s="1769"/>
      <c r="AL5" s="1769"/>
      <c r="AM5" s="1769"/>
      <c r="AN5" s="1769"/>
    </row>
    <row r="6" spans="1:270" s="2439" customFormat="1" ht="17.25" customHeight="1" x14ac:dyDescent="0.2">
      <c r="A6" s="686">
        <v>4</v>
      </c>
      <c r="B6" s="12" t="s">
        <v>5</v>
      </c>
      <c r="C6" s="3366"/>
      <c r="D6" s="755" t="s">
        <v>40</v>
      </c>
      <c r="E6" s="764" t="str">
        <f>D2</f>
        <v>Public opinion: Delivery of basic services</v>
      </c>
      <c r="G6" s="755"/>
      <c r="H6" s="755"/>
      <c r="I6" s="755"/>
      <c r="J6" s="755"/>
      <c r="K6" s="755"/>
      <c r="L6" s="755"/>
    </row>
    <row r="7" spans="1:270" s="2439" customFormat="1" ht="12.75" x14ac:dyDescent="0.25">
      <c r="A7" s="3325"/>
      <c r="B7" s="12"/>
      <c r="C7" s="3348"/>
      <c r="D7" s="3336"/>
      <c r="E7" s="4461">
        <v>2000</v>
      </c>
      <c r="F7" s="4462"/>
      <c r="G7" s="4461">
        <v>2001</v>
      </c>
      <c r="H7" s="4462"/>
      <c r="I7" s="4461">
        <v>2002</v>
      </c>
      <c r="J7" s="4462"/>
      <c r="K7" s="4461">
        <v>2003</v>
      </c>
      <c r="L7" s="4462"/>
      <c r="M7" s="4467">
        <v>2004</v>
      </c>
      <c r="N7" s="4468"/>
      <c r="O7" s="4467">
        <v>2005</v>
      </c>
      <c r="P7" s="4468"/>
      <c r="Q7" s="4467">
        <v>2006</v>
      </c>
      <c r="R7" s="4468"/>
      <c r="S7" s="4467">
        <v>2007</v>
      </c>
      <c r="T7" s="4468"/>
      <c r="U7" s="4467">
        <v>2008</v>
      </c>
      <c r="V7" s="4468"/>
      <c r="W7" s="4467">
        <v>2009</v>
      </c>
      <c r="X7" s="4468"/>
      <c r="Y7" s="4467">
        <v>2010</v>
      </c>
      <c r="Z7" s="4468"/>
      <c r="AA7" s="4467">
        <v>2011</v>
      </c>
      <c r="AB7" s="4468"/>
      <c r="AC7" s="4467">
        <v>2012</v>
      </c>
      <c r="AD7" s="4468"/>
      <c r="AE7" s="4467">
        <v>2013</v>
      </c>
      <c r="AF7" s="4468"/>
      <c r="AG7" s="4467">
        <v>2014</v>
      </c>
      <c r="AH7" s="4468"/>
      <c r="AI7" s="4467">
        <v>2015</v>
      </c>
      <c r="AJ7" s="4468"/>
      <c r="AK7" s="4467">
        <v>2016</v>
      </c>
      <c r="AL7" s="4468"/>
      <c r="AM7" s="4467">
        <v>2017</v>
      </c>
      <c r="AN7" s="4468"/>
      <c r="AO7" s="3577"/>
      <c r="AP7" s="3577"/>
    </row>
    <row r="8" spans="1:270" s="757" customFormat="1" ht="12.75" x14ac:dyDescent="0.25">
      <c r="A8" s="3578"/>
      <c r="B8" s="3579"/>
      <c r="C8" s="3579"/>
      <c r="D8" s="3359"/>
      <c r="E8" s="3580" t="s">
        <v>988</v>
      </c>
      <c r="F8" s="3581" t="s">
        <v>994</v>
      </c>
      <c r="G8" s="3580" t="s">
        <v>988</v>
      </c>
      <c r="H8" s="3581" t="s">
        <v>994</v>
      </c>
      <c r="I8" s="3580" t="s">
        <v>988</v>
      </c>
      <c r="J8" s="3581" t="s">
        <v>994</v>
      </c>
      <c r="K8" s="3580" t="s">
        <v>988</v>
      </c>
      <c r="L8" s="3581" t="s">
        <v>994</v>
      </c>
      <c r="M8" s="3582" t="s">
        <v>988</v>
      </c>
      <c r="N8" s="3583" t="s">
        <v>994</v>
      </c>
      <c r="O8" s="3582" t="s">
        <v>988</v>
      </c>
      <c r="P8" s="3583" t="s">
        <v>994</v>
      </c>
      <c r="Q8" s="3582" t="s">
        <v>988</v>
      </c>
      <c r="R8" s="3583" t="s">
        <v>994</v>
      </c>
      <c r="S8" s="3582" t="s">
        <v>988</v>
      </c>
      <c r="T8" s="3583" t="s">
        <v>994</v>
      </c>
      <c r="U8" s="3582" t="s">
        <v>988</v>
      </c>
      <c r="V8" s="3583" t="s">
        <v>994</v>
      </c>
      <c r="W8" s="3582" t="s">
        <v>988</v>
      </c>
      <c r="X8" s="3583" t="s">
        <v>1370</v>
      </c>
      <c r="Y8" s="3582" t="s">
        <v>1358</v>
      </c>
      <c r="Z8" s="3583" t="s">
        <v>994</v>
      </c>
      <c r="AA8" s="3582" t="s">
        <v>988</v>
      </c>
      <c r="AB8" s="3583" t="s">
        <v>994</v>
      </c>
      <c r="AC8" s="3582" t="s">
        <v>988</v>
      </c>
      <c r="AD8" s="3583" t="s">
        <v>994</v>
      </c>
      <c r="AE8" s="3582" t="s">
        <v>988</v>
      </c>
      <c r="AF8" s="3583" t="s">
        <v>994</v>
      </c>
      <c r="AG8" s="3582" t="s">
        <v>988</v>
      </c>
      <c r="AH8" s="3583" t="s">
        <v>994</v>
      </c>
      <c r="AI8" s="3582" t="s">
        <v>988</v>
      </c>
      <c r="AJ8" s="3583" t="s">
        <v>994</v>
      </c>
      <c r="AK8" s="3582" t="s">
        <v>988</v>
      </c>
      <c r="AL8" s="3583" t="s">
        <v>994</v>
      </c>
      <c r="AM8" s="3582" t="s">
        <v>988</v>
      </c>
      <c r="AN8" s="3583" t="s">
        <v>994</v>
      </c>
      <c r="AO8" s="3584"/>
      <c r="AP8" s="3584"/>
    </row>
    <row r="9" spans="1:270" s="3594" customFormat="1" ht="12.75" x14ac:dyDescent="0.25">
      <c r="A9" s="3585"/>
      <c r="B9" s="3586"/>
      <c r="C9" s="3586"/>
      <c r="D9" s="3587" t="s">
        <v>1699</v>
      </c>
      <c r="E9" s="3588">
        <v>72</v>
      </c>
      <c r="F9" s="3589">
        <v>67</v>
      </c>
      <c r="G9" s="3588">
        <v>65</v>
      </c>
      <c r="H9" s="3589">
        <v>63</v>
      </c>
      <c r="I9" s="3588">
        <v>74</v>
      </c>
      <c r="J9" s="3589">
        <v>71</v>
      </c>
      <c r="K9" s="3588">
        <v>75</v>
      </c>
      <c r="L9" s="3589">
        <v>72</v>
      </c>
      <c r="M9" s="3590">
        <v>81</v>
      </c>
      <c r="N9" s="3591">
        <v>77</v>
      </c>
      <c r="O9" s="3590">
        <v>73</v>
      </c>
      <c r="P9" s="3591">
        <v>73</v>
      </c>
      <c r="Q9" s="3590">
        <v>76</v>
      </c>
      <c r="R9" s="3591">
        <v>72</v>
      </c>
      <c r="S9" s="3590">
        <v>68</v>
      </c>
      <c r="T9" s="3591">
        <v>62</v>
      </c>
      <c r="U9" s="3590">
        <v>58</v>
      </c>
      <c r="V9" s="3591">
        <v>58</v>
      </c>
      <c r="W9" s="3590">
        <v>61</v>
      </c>
      <c r="X9" s="3591">
        <v>57</v>
      </c>
      <c r="Y9" s="3590">
        <v>56.8</v>
      </c>
      <c r="Z9" s="3591">
        <v>54</v>
      </c>
      <c r="AA9" s="3590">
        <v>48</v>
      </c>
      <c r="AB9" s="3591">
        <v>51</v>
      </c>
      <c r="AC9" s="3590">
        <v>53.5</v>
      </c>
      <c r="AD9" s="3591">
        <v>51</v>
      </c>
      <c r="AE9" s="3590">
        <v>53</v>
      </c>
      <c r="AF9" s="3591">
        <v>53</v>
      </c>
      <c r="AG9" s="3590">
        <v>56</v>
      </c>
      <c r="AH9" s="3591">
        <v>56</v>
      </c>
      <c r="AI9" s="3590">
        <v>52</v>
      </c>
      <c r="AJ9" s="3591">
        <v>49</v>
      </c>
      <c r="AK9" s="3590">
        <v>47</v>
      </c>
      <c r="AL9" s="3591">
        <v>49</v>
      </c>
      <c r="AM9" s="3590">
        <v>48</v>
      </c>
      <c r="AN9" s="3591">
        <v>43</v>
      </c>
      <c r="AO9" s="3592"/>
      <c r="AP9" s="3593"/>
      <c r="AQ9" s="757"/>
      <c r="AR9" s="757"/>
      <c r="AS9" s="757"/>
      <c r="AT9" s="757"/>
      <c r="AU9" s="757"/>
      <c r="AV9" s="757"/>
      <c r="AW9" s="757"/>
      <c r="AX9" s="757"/>
      <c r="AY9" s="757"/>
      <c r="AZ9" s="757"/>
      <c r="BA9" s="757"/>
      <c r="BB9" s="757"/>
      <c r="BC9" s="757"/>
      <c r="BD9" s="757"/>
      <c r="BE9" s="757"/>
      <c r="BF9" s="757"/>
      <c r="BG9" s="757"/>
      <c r="BH9" s="757"/>
      <c r="BI9" s="757"/>
      <c r="BJ9" s="757"/>
      <c r="BK9" s="757"/>
      <c r="BL9" s="757"/>
      <c r="BM9" s="757"/>
      <c r="BN9" s="757"/>
      <c r="BO9" s="757"/>
      <c r="BP9" s="757"/>
      <c r="BQ9" s="757"/>
      <c r="BR9" s="757"/>
      <c r="BS9" s="757"/>
      <c r="BT9" s="757"/>
      <c r="BU9" s="757"/>
      <c r="BV9" s="757"/>
      <c r="BW9" s="757"/>
      <c r="BX9" s="757"/>
      <c r="BY9" s="757"/>
      <c r="BZ9" s="757"/>
      <c r="CA9" s="757"/>
      <c r="CB9" s="757"/>
      <c r="CC9" s="757"/>
      <c r="CD9" s="757"/>
      <c r="CE9" s="757"/>
      <c r="CF9" s="757"/>
      <c r="CG9" s="757"/>
      <c r="CH9" s="757"/>
      <c r="CI9" s="757"/>
      <c r="CJ9" s="757"/>
      <c r="CK9" s="757"/>
      <c r="CL9" s="757"/>
      <c r="CM9" s="757"/>
      <c r="CN9" s="757"/>
      <c r="CO9" s="757"/>
      <c r="CP9" s="757"/>
      <c r="CQ9" s="757"/>
      <c r="CR9" s="757"/>
      <c r="CS9" s="757"/>
      <c r="CT9" s="757"/>
      <c r="CU9" s="757"/>
      <c r="CV9" s="757"/>
      <c r="CW9" s="757"/>
      <c r="CX9" s="757"/>
      <c r="CY9" s="757"/>
      <c r="CZ9" s="757"/>
      <c r="DA9" s="757"/>
      <c r="DB9" s="757"/>
      <c r="DC9" s="757"/>
      <c r="DD9" s="757"/>
      <c r="DE9" s="757"/>
      <c r="DF9" s="757"/>
      <c r="DG9" s="757"/>
      <c r="DH9" s="757"/>
      <c r="DI9" s="757"/>
      <c r="DJ9" s="757"/>
      <c r="DK9" s="757"/>
      <c r="DL9" s="757"/>
      <c r="DM9" s="757"/>
      <c r="DN9" s="757"/>
      <c r="DO9" s="757"/>
      <c r="DP9" s="757"/>
      <c r="DQ9" s="757"/>
      <c r="DR9" s="757"/>
      <c r="DS9" s="757"/>
      <c r="DT9" s="757"/>
      <c r="DU9" s="757"/>
      <c r="DV9" s="757"/>
      <c r="DW9" s="757"/>
      <c r="DX9" s="757"/>
      <c r="DY9" s="757"/>
      <c r="DZ9" s="757"/>
      <c r="EA9" s="757"/>
      <c r="EB9" s="757"/>
      <c r="EC9" s="757"/>
      <c r="ED9" s="757"/>
      <c r="EE9" s="757"/>
      <c r="EF9" s="757"/>
      <c r="EG9" s="757"/>
      <c r="EH9" s="757"/>
      <c r="EI9" s="757"/>
      <c r="EJ9" s="757"/>
      <c r="EK9" s="757"/>
      <c r="EL9" s="757"/>
      <c r="EM9" s="757"/>
      <c r="EN9" s="757"/>
      <c r="EO9" s="757"/>
      <c r="EP9" s="757"/>
      <c r="EQ9" s="757"/>
      <c r="ER9" s="757"/>
      <c r="ES9" s="757"/>
      <c r="ET9" s="757"/>
      <c r="EU9" s="757"/>
      <c r="EV9" s="757"/>
      <c r="EW9" s="757"/>
      <c r="EX9" s="757"/>
      <c r="EY9" s="757"/>
      <c r="EZ9" s="757"/>
      <c r="FA9" s="757"/>
      <c r="FB9" s="757"/>
      <c r="FC9" s="757"/>
      <c r="FD9" s="757"/>
      <c r="FE9" s="757"/>
      <c r="FF9" s="757"/>
      <c r="FG9" s="757"/>
      <c r="FH9" s="757"/>
      <c r="FI9" s="757"/>
      <c r="FJ9" s="757"/>
      <c r="FK9" s="757"/>
      <c r="FL9" s="757"/>
      <c r="FM9" s="757"/>
      <c r="FN9" s="757"/>
      <c r="FO9" s="757"/>
      <c r="FP9" s="757"/>
      <c r="FQ9" s="757"/>
      <c r="FR9" s="757"/>
      <c r="FS9" s="757"/>
      <c r="FT9" s="757"/>
      <c r="FU9" s="757"/>
      <c r="FV9" s="757"/>
      <c r="FW9" s="757"/>
      <c r="FX9" s="757"/>
      <c r="FY9" s="757"/>
      <c r="FZ9" s="757"/>
      <c r="GA9" s="757"/>
      <c r="GB9" s="757"/>
      <c r="GC9" s="757"/>
      <c r="GD9" s="757"/>
      <c r="GE9" s="757"/>
      <c r="GF9" s="757"/>
      <c r="GG9" s="757"/>
      <c r="GH9" s="757"/>
      <c r="GI9" s="757"/>
      <c r="GJ9" s="757"/>
      <c r="GK9" s="757"/>
      <c r="GL9" s="757"/>
      <c r="GM9" s="757"/>
      <c r="GN9" s="757"/>
      <c r="GO9" s="757"/>
      <c r="GP9" s="757"/>
      <c r="GQ9" s="757"/>
      <c r="GR9" s="757"/>
      <c r="GS9" s="757"/>
      <c r="GT9" s="757"/>
      <c r="GU9" s="757"/>
      <c r="GV9" s="757"/>
      <c r="GW9" s="757"/>
      <c r="GX9" s="757"/>
      <c r="GY9" s="757"/>
      <c r="GZ9" s="757"/>
      <c r="HA9" s="757"/>
      <c r="HB9" s="757"/>
      <c r="HC9" s="757"/>
      <c r="HD9" s="757"/>
      <c r="HE9" s="757"/>
      <c r="HF9" s="757"/>
      <c r="HG9" s="757"/>
      <c r="HH9" s="757"/>
      <c r="HI9" s="757"/>
      <c r="HJ9" s="757"/>
      <c r="HK9" s="757"/>
      <c r="HL9" s="757"/>
      <c r="HM9" s="757"/>
      <c r="HN9" s="757"/>
      <c r="HO9" s="757"/>
      <c r="HP9" s="757"/>
      <c r="HQ9" s="757"/>
      <c r="HR9" s="757"/>
      <c r="HS9" s="757"/>
      <c r="HT9" s="757"/>
      <c r="HU9" s="757"/>
      <c r="HV9" s="757"/>
      <c r="HW9" s="757"/>
      <c r="HX9" s="757"/>
      <c r="HY9" s="757"/>
      <c r="HZ9" s="757"/>
      <c r="IA9" s="757"/>
      <c r="IB9" s="757"/>
      <c r="IC9" s="757"/>
      <c r="ID9" s="757"/>
      <c r="IE9" s="757"/>
      <c r="IF9" s="757"/>
      <c r="IG9" s="757"/>
      <c r="IH9" s="757"/>
      <c r="II9" s="757"/>
      <c r="IJ9" s="757"/>
      <c r="IK9" s="757"/>
      <c r="IL9" s="757"/>
      <c r="IM9" s="757"/>
      <c r="IN9" s="757"/>
      <c r="IO9" s="757"/>
      <c r="IP9" s="757"/>
      <c r="IQ9" s="757"/>
      <c r="IR9" s="757"/>
      <c r="IS9" s="757"/>
      <c r="IT9" s="757"/>
      <c r="IU9" s="757"/>
      <c r="IV9" s="757"/>
      <c r="IW9" s="757"/>
      <c r="IX9" s="757"/>
      <c r="IY9" s="757"/>
      <c r="IZ9" s="757"/>
      <c r="JA9" s="757"/>
      <c r="JB9" s="757"/>
      <c r="JC9" s="757"/>
      <c r="JD9" s="757"/>
      <c r="JE9" s="757"/>
      <c r="JF9" s="757"/>
      <c r="JG9" s="757"/>
      <c r="JH9" s="757"/>
      <c r="JI9" s="757"/>
      <c r="JJ9" s="757"/>
    </row>
    <row r="10" spans="1:270" s="3594" customFormat="1" ht="11.25" x14ac:dyDescent="0.2">
      <c r="A10" s="3585"/>
      <c r="B10" s="3586"/>
      <c r="C10" s="3586"/>
      <c r="D10" s="3349"/>
      <c r="E10" s="3594">
        <f>+AVERAGE(E9:F9)</f>
        <v>69.5</v>
      </c>
      <c r="F10" s="3126"/>
      <c r="G10" s="3594">
        <f>+AVERAGE(G9:H9)</f>
        <v>64</v>
      </c>
      <c r="H10" s="3126"/>
      <c r="I10" s="3594">
        <f>+AVERAGE(I9:J9)</f>
        <v>72.5</v>
      </c>
      <c r="J10" s="3126"/>
      <c r="K10" s="3594">
        <f>+AVERAGE(K9:L9)</f>
        <v>73.5</v>
      </c>
      <c r="L10" s="3126"/>
      <c r="M10" s="3594">
        <f>+AVERAGE(M9:N9)</f>
        <v>79</v>
      </c>
      <c r="N10" s="3126"/>
      <c r="O10" s="3594">
        <f>+AVERAGE(O9:P9)</f>
        <v>73</v>
      </c>
      <c r="P10" s="3126"/>
      <c r="Q10" s="3594">
        <f>+AVERAGE(Q9:R9)</f>
        <v>74</v>
      </c>
      <c r="R10" s="3126"/>
      <c r="S10" s="3594">
        <f>+AVERAGE(S9:T9)</f>
        <v>65</v>
      </c>
      <c r="T10" s="3126"/>
      <c r="U10" s="3594">
        <f>+AVERAGE(U9:V9)</f>
        <v>58</v>
      </c>
      <c r="V10" s="3126"/>
      <c r="W10" s="3594">
        <f>+AVERAGE(W9:X9)</f>
        <v>59</v>
      </c>
      <c r="X10" s="3126"/>
      <c r="Y10" s="3594">
        <f>+AVERAGE(Y9:Z9)</f>
        <v>55.4</v>
      </c>
      <c r="Z10" s="3126"/>
      <c r="AA10" s="3594">
        <f>+AVERAGE(AA9:AB9)</f>
        <v>49.5</v>
      </c>
      <c r="AB10" s="3126"/>
      <c r="AC10" s="3594">
        <f>+AVERAGE(AC9:AD9)</f>
        <v>52.25</v>
      </c>
      <c r="AD10" s="3126"/>
      <c r="AE10" s="3594">
        <f>+AVERAGE(AE9:AF9)</f>
        <v>53</v>
      </c>
      <c r="AF10" s="3126"/>
      <c r="AG10" s="3594">
        <f>+AVERAGE(AG9:AH9)</f>
        <v>56</v>
      </c>
      <c r="AH10" s="3126"/>
      <c r="AI10" s="3594">
        <f>+AVERAGE(AI9:AJ9)</f>
        <v>50.5</v>
      </c>
      <c r="AJ10" s="3126"/>
      <c r="AK10" s="3594">
        <f>+AVERAGE(AK9:AL9)</f>
        <v>48</v>
      </c>
      <c r="AL10" s="3126"/>
      <c r="AM10" s="3594">
        <f>+AVERAGE(AM9:AN9)</f>
        <v>45.5</v>
      </c>
      <c r="AN10" s="3126"/>
      <c r="AO10" s="3126"/>
      <c r="AP10" s="3126"/>
      <c r="AQ10" s="757"/>
      <c r="AR10" s="757"/>
      <c r="AS10" s="757"/>
      <c r="AT10" s="757"/>
      <c r="AU10" s="757"/>
      <c r="AV10" s="757"/>
      <c r="AW10" s="757"/>
      <c r="AX10" s="757"/>
      <c r="AY10" s="757"/>
      <c r="AZ10" s="757"/>
      <c r="BA10" s="757"/>
      <c r="BB10" s="757"/>
      <c r="BC10" s="757"/>
      <c r="BD10" s="757"/>
      <c r="BE10" s="757"/>
      <c r="BF10" s="757"/>
      <c r="BG10" s="757"/>
      <c r="BH10" s="757"/>
      <c r="BI10" s="757"/>
      <c r="BJ10" s="757"/>
      <c r="BK10" s="757"/>
      <c r="BL10" s="757"/>
      <c r="BM10" s="757"/>
      <c r="BN10" s="757"/>
      <c r="BO10" s="757"/>
      <c r="BP10" s="757"/>
      <c r="BQ10" s="757"/>
      <c r="BR10" s="757"/>
      <c r="BS10" s="757"/>
      <c r="BT10" s="757"/>
      <c r="BU10" s="757"/>
      <c r="BV10" s="757"/>
      <c r="BW10" s="757"/>
      <c r="BX10" s="757"/>
      <c r="BY10" s="757"/>
      <c r="BZ10" s="757"/>
      <c r="CA10" s="757"/>
      <c r="CB10" s="757"/>
      <c r="CC10" s="757"/>
      <c r="CD10" s="757"/>
      <c r="CE10" s="757"/>
      <c r="CF10" s="757"/>
      <c r="CG10" s="757"/>
      <c r="CH10" s="757"/>
      <c r="CI10" s="757"/>
      <c r="CJ10" s="757"/>
      <c r="CK10" s="757"/>
      <c r="CL10" s="757"/>
      <c r="CM10" s="757"/>
      <c r="CN10" s="757"/>
      <c r="CO10" s="757"/>
      <c r="CP10" s="757"/>
      <c r="CQ10" s="757"/>
      <c r="CR10" s="757"/>
      <c r="CS10" s="757"/>
      <c r="CT10" s="757"/>
      <c r="CU10" s="757"/>
      <c r="CV10" s="757"/>
      <c r="CW10" s="757"/>
      <c r="CX10" s="757"/>
      <c r="CY10" s="757"/>
      <c r="CZ10" s="757"/>
      <c r="DA10" s="757"/>
      <c r="DB10" s="757"/>
      <c r="DC10" s="757"/>
      <c r="DD10" s="757"/>
      <c r="DE10" s="757"/>
      <c r="DF10" s="757"/>
      <c r="DG10" s="757"/>
      <c r="DH10" s="757"/>
      <c r="DI10" s="757"/>
      <c r="DJ10" s="757"/>
      <c r="DK10" s="757"/>
      <c r="DL10" s="757"/>
      <c r="DM10" s="757"/>
      <c r="DN10" s="757"/>
      <c r="DO10" s="757"/>
      <c r="DP10" s="757"/>
      <c r="DQ10" s="757"/>
      <c r="DR10" s="757"/>
      <c r="DS10" s="757"/>
      <c r="DT10" s="757"/>
      <c r="DU10" s="757"/>
      <c r="DV10" s="757"/>
      <c r="DW10" s="757"/>
      <c r="DX10" s="757"/>
      <c r="DY10" s="757"/>
      <c r="DZ10" s="757"/>
      <c r="EA10" s="757"/>
      <c r="EB10" s="757"/>
      <c r="EC10" s="757"/>
      <c r="ED10" s="757"/>
      <c r="EE10" s="757"/>
      <c r="EF10" s="757"/>
      <c r="EG10" s="757"/>
      <c r="EH10" s="757"/>
      <c r="EI10" s="757"/>
      <c r="EJ10" s="757"/>
      <c r="EK10" s="757"/>
      <c r="EL10" s="757"/>
      <c r="EM10" s="757"/>
      <c r="EN10" s="757"/>
      <c r="EO10" s="757"/>
      <c r="EP10" s="757"/>
      <c r="EQ10" s="757"/>
      <c r="ER10" s="757"/>
      <c r="ES10" s="757"/>
      <c r="ET10" s="757"/>
      <c r="EU10" s="757"/>
      <c r="EV10" s="757"/>
      <c r="EW10" s="757"/>
      <c r="EX10" s="757"/>
      <c r="EY10" s="757"/>
      <c r="EZ10" s="757"/>
      <c r="FA10" s="757"/>
      <c r="FB10" s="757"/>
      <c r="FC10" s="757"/>
      <c r="FD10" s="757"/>
      <c r="FE10" s="757"/>
      <c r="FF10" s="757"/>
      <c r="FG10" s="757"/>
      <c r="FH10" s="757"/>
      <c r="FI10" s="757"/>
      <c r="FJ10" s="757"/>
      <c r="FK10" s="757"/>
      <c r="FL10" s="757"/>
      <c r="FM10" s="757"/>
      <c r="FN10" s="757"/>
      <c r="FO10" s="757"/>
      <c r="FP10" s="757"/>
      <c r="FQ10" s="757"/>
      <c r="FR10" s="757"/>
      <c r="FS10" s="757"/>
      <c r="FT10" s="757"/>
      <c r="FU10" s="757"/>
      <c r="FV10" s="757"/>
      <c r="FW10" s="757"/>
      <c r="FX10" s="757"/>
      <c r="FY10" s="757"/>
      <c r="FZ10" s="757"/>
      <c r="GA10" s="757"/>
      <c r="GB10" s="757"/>
      <c r="GC10" s="757"/>
      <c r="GD10" s="757"/>
      <c r="GE10" s="757"/>
      <c r="GF10" s="757"/>
      <c r="GG10" s="757"/>
      <c r="GH10" s="757"/>
      <c r="GI10" s="757"/>
      <c r="GJ10" s="757"/>
      <c r="GK10" s="757"/>
      <c r="GL10" s="757"/>
      <c r="GM10" s="757"/>
      <c r="GN10" s="757"/>
      <c r="GO10" s="757"/>
      <c r="GP10" s="757"/>
      <c r="GQ10" s="757"/>
      <c r="GR10" s="757"/>
      <c r="GS10" s="757"/>
      <c r="GT10" s="757"/>
      <c r="GU10" s="757"/>
      <c r="GV10" s="757"/>
      <c r="GW10" s="757"/>
      <c r="GX10" s="757"/>
      <c r="GY10" s="757"/>
      <c r="GZ10" s="757"/>
      <c r="HA10" s="757"/>
      <c r="HB10" s="757"/>
      <c r="HC10" s="757"/>
      <c r="HD10" s="757"/>
      <c r="HE10" s="757"/>
      <c r="HF10" s="757"/>
      <c r="HG10" s="757"/>
      <c r="HH10" s="757"/>
      <c r="HI10" s="757"/>
      <c r="HJ10" s="757"/>
      <c r="HK10" s="757"/>
      <c r="HL10" s="757"/>
      <c r="HM10" s="757"/>
      <c r="HN10" s="757"/>
      <c r="HO10" s="757"/>
      <c r="HP10" s="757"/>
      <c r="HQ10" s="757"/>
      <c r="HR10" s="757"/>
      <c r="HS10" s="757"/>
      <c r="HT10" s="757"/>
      <c r="HU10" s="757"/>
      <c r="HV10" s="757"/>
      <c r="HW10" s="757"/>
      <c r="HX10" s="757"/>
      <c r="HY10" s="757"/>
      <c r="HZ10" s="757"/>
      <c r="IA10" s="757"/>
      <c r="IB10" s="757"/>
      <c r="IC10" s="757"/>
      <c r="ID10" s="757"/>
      <c r="IE10" s="757"/>
      <c r="IF10" s="757"/>
      <c r="IG10" s="757"/>
      <c r="IH10" s="757"/>
      <c r="II10" s="757"/>
      <c r="IJ10" s="757"/>
      <c r="IK10" s="757"/>
      <c r="IL10" s="757"/>
      <c r="IM10" s="757"/>
      <c r="IN10" s="757"/>
      <c r="IO10" s="757"/>
      <c r="IP10" s="757"/>
      <c r="IQ10" s="757"/>
      <c r="IR10" s="757"/>
      <c r="IS10" s="757"/>
      <c r="IT10" s="757"/>
      <c r="IU10" s="757"/>
      <c r="IV10" s="757"/>
      <c r="IW10" s="757"/>
      <c r="IX10" s="757"/>
      <c r="IY10" s="757"/>
      <c r="IZ10" s="757"/>
      <c r="JA10" s="757"/>
      <c r="JB10" s="757"/>
      <c r="JC10" s="757"/>
      <c r="JD10" s="757"/>
      <c r="JE10" s="757"/>
      <c r="JF10" s="757"/>
      <c r="JG10" s="757"/>
      <c r="JH10" s="757"/>
      <c r="JI10" s="757"/>
      <c r="JJ10" s="757"/>
    </row>
    <row r="11" spans="1:270" s="3594" customFormat="1" ht="11.25" x14ac:dyDescent="0.2">
      <c r="A11" s="3585"/>
      <c r="B11" s="3586"/>
      <c r="C11" s="3586"/>
      <c r="D11" s="755" t="s">
        <v>67</v>
      </c>
      <c r="E11" s="764" t="s">
        <v>1700</v>
      </c>
      <c r="F11" s="3126"/>
      <c r="H11" s="3126"/>
      <c r="J11" s="3126"/>
      <c r="L11" s="3126"/>
      <c r="N11" s="3126"/>
      <c r="P11" s="3126"/>
      <c r="R11" s="3126"/>
      <c r="T11" s="3126"/>
      <c r="V11" s="3126"/>
      <c r="X11" s="3126"/>
      <c r="Z11" s="3126"/>
      <c r="AB11" s="3126"/>
      <c r="AD11" s="3126"/>
      <c r="AF11" s="3126"/>
      <c r="AH11" s="3126"/>
      <c r="AJ11" s="3126"/>
      <c r="AL11" s="3126"/>
      <c r="AM11" s="3126"/>
      <c r="AN11" s="3126"/>
      <c r="AO11" s="757"/>
      <c r="AP11" s="757"/>
      <c r="AQ11" s="757"/>
      <c r="AR11" s="757"/>
      <c r="AS11" s="757"/>
      <c r="AT11" s="757"/>
      <c r="AU11" s="757"/>
      <c r="AV11" s="757"/>
      <c r="AW11" s="757"/>
      <c r="AX11" s="757"/>
      <c r="AY11" s="757"/>
      <c r="AZ11" s="757"/>
      <c r="BA11" s="757"/>
      <c r="BB11" s="757"/>
      <c r="BC11" s="757"/>
      <c r="BD11" s="757"/>
      <c r="BE11" s="757"/>
      <c r="BF11" s="757"/>
      <c r="BG11" s="757"/>
      <c r="BH11" s="757"/>
      <c r="BI11" s="757"/>
      <c r="BJ11" s="757"/>
      <c r="BK11" s="757"/>
      <c r="BL11" s="757"/>
      <c r="BM11" s="757"/>
      <c r="BN11" s="757"/>
      <c r="BO11" s="757"/>
      <c r="BP11" s="757"/>
      <c r="BQ11" s="757"/>
      <c r="BR11" s="757"/>
      <c r="BS11" s="757"/>
      <c r="BT11" s="757"/>
      <c r="BU11" s="757"/>
      <c r="BV11" s="757"/>
      <c r="BW11" s="757"/>
      <c r="BX11" s="757"/>
      <c r="BY11" s="757"/>
      <c r="BZ11" s="757"/>
      <c r="CA11" s="757"/>
      <c r="CB11" s="757"/>
      <c r="CC11" s="757"/>
      <c r="CD11" s="757"/>
      <c r="CE11" s="757"/>
      <c r="CF11" s="757"/>
      <c r="CG11" s="757"/>
      <c r="CH11" s="757"/>
      <c r="CI11" s="757"/>
      <c r="CJ11" s="757"/>
      <c r="CK11" s="757"/>
      <c r="CL11" s="757"/>
      <c r="CM11" s="757"/>
      <c r="CN11" s="757"/>
      <c r="CO11" s="757"/>
      <c r="CP11" s="757"/>
      <c r="CQ11" s="757"/>
      <c r="CR11" s="757"/>
      <c r="CS11" s="757"/>
      <c r="CT11" s="757"/>
      <c r="CU11" s="757"/>
      <c r="CV11" s="757"/>
      <c r="CW11" s="757"/>
      <c r="CX11" s="757"/>
      <c r="CY11" s="757"/>
      <c r="CZ11" s="757"/>
      <c r="DA11" s="757"/>
      <c r="DB11" s="757"/>
      <c r="DC11" s="757"/>
      <c r="DD11" s="757"/>
      <c r="DE11" s="757"/>
      <c r="DF11" s="757"/>
      <c r="DG11" s="757"/>
      <c r="DH11" s="757"/>
      <c r="DI11" s="757"/>
      <c r="DJ11" s="757"/>
      <c r="DK11" s="757"/>
      <c r="DL11" s="757"/>
      <c r="DM11" s="757"/>
      <c r="DN11" s="757"/>
      <c r="DO11" s="757"/>
      <c r="DP11" s="757"/>
      <c r="DQ11" s="757"/>
      <c r="DR11" s="757"/>
      <c r="DS11" s="757"/>
      <c r="DT11" s="757"/>
      <c r="DU11" s="757"/>
      <c r="DV11" s="757"/>
      <c r="DW11" s="757"/>
      <c r="DX11" s="757"/>
      <c r="DY11" s="757"/>
      <c r="DZ11" s="757"/>
      <c r="EA11" s="757"/>
      <c r="EB11" s="757"/>
      <c r="EC11" s="757"/>
      <c r="ED11" s="757"/>
      <c r="EE11" s="757"/>
      <c r="EF11" s="757"/>
      <c r="EG11" s="757"/>
      <c r="EH11" s="757"/>
      <c r="EI11" s="757"/>
      <c r="EJ11" s="757"/>
      <c r="EK11" s="757"/>
      <c r="EL11" s="757"/>
      <c r="EM11" s="757"/>
      <c r="EN11" s="757"/>
      <c r="EO11" s="757"/>
      <c r="EP11" s="757"/>
      <c r="EQ11" s="757"/>
      <c r="ER11" s="757"/>
      <c r="ES11" s="757"/>
      <c r="ET11" s="757"/>
      <c r="EU11" s="757"/>
      <c r="EV11" s="757"/>
      <c r="EW11" s="757"/>
      <c r="EX11" s="757"/>
      <c r="EY11" s="757"/>
      <c r="EZ11" s="757"/>
      <c r="FA11" s="757"/>
      <c r="FB11" s="757"/>
      <c r="FC11" s="757"/>
      <c r="FD11" s="757"/>
      <c r="FE11" s="757"/>
      <c r="FF11" s="757"/>
      <c r="FG11" s="757"/>
      <c r="FH11" s="757"/>
      <c r="FI11" s="757"/>
      <c r="FJ11" s="757"/>
      <c r="FK11" s="757"/>
      <c r="FL11" s="757"/>
      <c r="FM11" s="757"/>
      <c r="FN11" s="757"/>
      <c r="FO11" s="757"/>
      <c r="FP11" s="757"/>
      <c r="FQ11" s="757"/>
      <c r="FR11" s="757"/>
      <c r="FS11" s="757"/>
      <c r="FT11" s="757"/>
      <c r="FU11" s="757"/>
      <c r="FV11" s="757"/>
      <c r="FW11" s="757"/>
      <c r="FX11" s="757"/>
      <c r="FY11" s="757"/>
      <c r="FZ11" s="757"/>
      <c r="GA11" s="757"/>
      <c r="GB11" s="757"/>
      <c r="GC11" s="757"/>
      <c r="GD11" s="757"/>
      <c r="GE11" s="757"/>
      <c r="GF11" s="757"/>
      <c r="GG11" s="757"/>
      <c r="GH11" s="757"/>
      <c r="GI11" s="757"/>
      <c r="GJ11" s="757"/>
      <c r="GK11" s="757"/>
      <c r="GL11" s="757"/>
      <c r="GM11" s="757"/>
      <c r="GN11" s="757"/>
      <c r="GO11" s="757"/>
      <c r="GP11" s="757"/>
      <c r="GQ11" s="757"/>
      <c r="GR11" s="757"/>
      <c r="GS11" s="757"/>
      <c r="GT11" s="757"/>
      <c r="GU11" s="757"/>
      <c r="GV11" s="757"/>
      <c r="GW11" s="757"/>
      <c r="GX11" s="757"/>
      <c r="GY11" s="757"/>
      <c r="GZ11" s="757"/>
      <c r="HA11" s="757"/>
      <c r="HB11" s="757"/>
      <c r="HC11" s="757"/>
      <c r="HD11" s="757"/>
      <c r="HE11" s="757"/>
      <c r="HF11" s="757"/>
      <c r="HG11" s="757"/>
      <c r="HH11" s="757"/>
      <c r="HI11" s="757"/>
      <c r="HJ11" s="757"/>
      <c r="HK11" s="757"/>
      <c r="HL11" s="757"/>
      <c r="HM11" s="757"/>
      <c r="HN11" s="757"/>
      <c r="HO11" s="757"/>
      <c r="HP11" s="757"/>
      <c r="HQ11" s="757"/>
      <c r="HR11" s="757"/>
      <c r="HS11" s="757"/>
      <c r="HT11" s="757"/>
      <c r="HU11" s="757"/>
      <c r="HV11" s="757"/>
      <c r="HW11" s="757"/>
      <c r="HX11" s="757"/>
      <c r="HY11" s="757"/>
      <c r="HZ11" s="757"/>
      <c r="IA11" s="757"/>
      <c r="IB11" s="757"/>
      <c r="IC11" s="757"/>
      <c r="ID11" s="757"/>
      <c r="IE11" s="757"/>
      <c r="IF11" s="757"/>
      <c r="IG11" s="757"/>
      <c r="IH11" s="757"/>
      <c r="II11" s="757"/>
      <c r="IJ11" s="757"/>
      <c r="IK11" s="757"/>
      <c r="IL11" s="757"/>
      <c r="IM11" s="757"/>
      <c r="IN11" s="757"/>
      <c r="IO11" s="757"/>
      <c r="IP11" s="757"/>
      <c r="IQ11" s="757"/>
      <c r="IR11" s="757"/>
      <c r="IS11" s="757"/>
      <c r="IT11" s="757"/>
      <c r="IU11" s="757"/>
      <c r="IV11" s="757"/>
      <c r="IW11" s="757"/>
      <c r="IX11" s="757"/>
      <c r="IY11" s="757"/>
      <c r="IZ11" s="757"/>
      <c r="JA11" s="757"/>
      <c r="JB11" s="757"/>
      <c r="JC11" s="757"/>
      <c r="JD11" s="757"/>
      <c r="JE11" s="757"/>
      <c r="JF11" s="757"/>
      <c r="JG11" s="757"/>
      <c r="JH11" s="757"/>
    </row>
    <row r="12" spans="1:270" s="2439" customFormat="1" ht="12.75" x14ac:dyDescent="0.2">
      <c r="A12" s="3325"/>
      <c r="B12" s="12"/>
      <c r="C12" s="3348"/>
      <c r="D12" s="3595"/>
      <c r="E12" s="4466">
        <v>2000</v>
      </c>
      <c r="F12" s="4466"/>
      <c r="G12" s="4466">
        <v>2001</v>
      </c>
      <c r="H12" s="4466"/>
      <c r="I12" s="4466">
        <v>2002</v>
      </c>
      <c r="J12" s="4466"/>
      <c r="K12" s="4466">
        <v>2003</v>
      </c>
      <c r="L12" s="4466"/>
      <c r="M12" s="4466">
        <v>2004</v>
      </c>
      <c r="N12" s="4466"/>
      <c r="O12" s="4466">
        <v>2005</v>
      </c>
      <c r="P12" s="4466"/>
      <c r="Q12" s="4466">
        <v>2006</v>
      </c>
      <c r="R12" s="4466"/>
      <c r="S12" s="4466">
        <v>2007</v>
      </c>
      <c r="T12" s="4466"/>
      <c r="U12" s="4466">
        <v>2008</v>
      </c>
      <c r="V12" s="4466"/>
      <c r="W12" s="4466">
        <v>2009</v>
      </c>
      <c r="X12" s="4466"/>
      <c r="Y12" s="4466">
        <v>2010</v>
      </c>
      <c r="Z12" s="4466"/>
      <c r="AA12" s="4466">
        <v>2011</v>
      </c>
      <c r="AB12" s="4466"/>
      <c r="AC12" s="4466">
        <v>2012</v>
      </c>
      <c r="AD12" s="4466"/>
      <c r="AE12" s="4466">
        <v>2013</v>
      </c>
      <c r="AF12" s="4466" t="s">
        <v>1701</v>
      </c>
      <c r="AG12" s="4466">
        <v>2014</v>
      </c>
      <c r="AH12" s="4466">
        <v>2015</v>
      </c>
      <c r="AI12" s="4466">
        <v>2015</v>
      </c>
      <c r="AJ12" s="4466">
        <v>2015</v>
      </c>
      <c r="AK12" s="4466">
        <v>2016</v>
      </c>
      <c r="AL12" s="4466"/>
      <c r="AM12" s="4466">
        <v>2017</v>
      </c>
      <c r="AN12" s="4466">
        <v>2015</v>
      </c>
      <c r="AO12" s="766"/>
      <c r="AP12" s="766"/>
    </row>
    <row r="13" spans="1:270" s="3594" customFormat="1" ht="11.25" x14ac:dyDescent="0.2">
      <c r="A13" s="3585"/>
      <c r="B13" s="3586"/>
      <c r="C13" s="3586"/>
      <c r="D13" s="765" t="s">
        <v>1702</v>
      </c>
      <c r="E13" s="4465"/>
      <c r="F13" s="4465"/>
      <c r="G13" s="4465"/>
      <c r="H13" s="4465"/>
      <c r="I13" s="4465"/>
      <c r="J13" s="4465"/>
      <c r="K13" s="4465"/>
      <c r="L13" s="4465"/>
      <c r="M13" s="4464">
        <v>10</v>
      </c>
      <c r="N13" s="4464"/>
      <c r="O13" s="4464">
        <v>34</v>
      </c>
      <c r="P13" s="4464"/>
      <c r="Q13" s="4464">
        <v>2</v>
      </c>
      <c r="R13" s="4464"/>
      <c r="S13" s="4464">
        <v>32</v>
      </c>
      <c r="T13" s="4464"/>
      <c r="U13" s="4464">
        <v>27</v>
      </c>
      <c r="V13" s="4464"/>
      <c r="W13" s="4464">
        <v>107</v>
      </c>
      <c r="X13" s="4464"/>
      <c r="Y13" s="4464">
        <v>111</v>
      </c>
      <c r="Z13" s="4464"/>
      <c r="AA13" s="4464">
        <v>82</v>
      </c>
      <c r="AB13" s="4464"/>
      <c r="AC13" s="4464">
        <v>173</v>
      </c>
      <c r="AD13" s="4464"/>
      <c r="AE13" s="4464">
        <v>155</v>
      </c>
      <c r="AF13" s="4464">
        <v>134</v>
      </c>
      <c r="AG13" s="4464">
        <v>191</v>
      </c>
      <c r="AH13" s="4464"/>
      <c r="AI13" s="4464">
        <v>164</v>
      </c>
      <c r="AJ13" s="4464"/>
      <c r="AK13" s="4464">
        <v>137</v>
      </c>
      <c r="AL13" s="4464"/>
      <c r="AM13" s="4464">
        <v>173</v>
      </c>
      <c r="AN13" s="4464"/>
      <c r="AO13" s="3596"/>
      <c r="AP13" s="359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c r="CB13" s="757"/>
      <c r="CC13" s="757"/>
      <c r="CD13" s="757"/>
      <c r="CE13" s="757"/>
      <c r="CF13" s="757"/>
      <c r="CG13" s="757"/>
      <c r="CH13" s="757"/>
      <c r="CI13" s="757"/>
      <c r="CJ13" s="757"/>
      <c r="CK13" s="757"/>
      <c r="CL13" s="757"/>
      <c r="CM13" s="757"/>
      <c r="CN13" s="757"/>
      <c r="CO13" s="757"/>
      <c r="CP13" s="757"/>
      <c r="CQ13" s="757"/>
      <c r="CR13" s="757"/>
      <c r="CS13" s="757"/>
      <c r="CT13" s="757"/>
      <c r="CU13" s="757"/>
      <c r="CV13" s="757"/>
      <c r="CW13" s="757"/>
      <c r="CX13" s="757"/>
      <c r="CY13" s="757"/>
      <c r="CZ13" s="757"/>
      <c r="DA13" s="757"/>
      <c r="DB13" s="757"/>
      <c r="DC13" s="757"/>
      <c r="DD13" s="757"/>
      <c r="DE13" s="757"/>
      <c r="DF13" s="757"/>
      <c r="DG13" s="757"/>
      <c r="DH13" s="757"/>
      <c r="DI13" s="757"/>
      <c r="DJ13" s="757"/>
      <c r="DK13" s="757"/>
      <c r="DL13" s="757"/>
      <c r="DM13" s="757"/>
      <c r="DN13" s="757"/>
      <c r="DO13" s="757"/>
      <c r="DP13" s="757"/>
      <c r="DQ13" s="757"/>
      <c r="DR13" s="757"/>
      <c r="DS13" s="757"/>
      <c r="DT13" s="757"/>
      <c r="DU13" s="757"/>
      <c r="DV13" s="757"/>
      <c r="DW13" s="757"/>
      <c r="DX13" s="757"/>
      <c r="DY13" s="757"/>
      <c r="DZ13" s="757"/>
      <c r="EA13" s="757"/>
      <c r="EB13" s="757"/>
      <c r="EC13" s="757"/>
      <c r="ED13" s="757"/>
      <c r="EE13" s="757"/>
      <c r="EF13" s="757"/>
      <c r="EG13" s="757"/>
      <c r="EH13" s="757"/>
      <c r="EI13" s="757"/>
      <c r="EJ13" s="757"/>
      <c r="EK13" s="757"/>
      <c r="EL13" s="757"/>
      <c r="EM13" s="757"/>
      <c r="EN13" s="757"/>
      <c r="EO13" s="757"/>
      <c r="EP13" s="757"/>
      <c r="EQ13" s="757"/>
      <c r="ER13" s="757"/>
      <c r="ES13" s="757"/>
      <c r="ET13" s="757"/>
      <c r="EU13" s="757"/>
      <c r="EV13" s="757"/>
      <c r="EW13" s="757"/>
      <c r="EX13" s="757"/>
      <c r="EY13" s="757"/>
      <c r="EZ13" s="757"/>
      <c r="FA13" s="757"/>
      <c r="FB13" s="757"/>
      <c r="FC13" s="757"/>
      <c r="FD13" s="757"/>
      <c r="FE13" s="757"/>
      <c r="FF13" s="757"/>
      <c r="FG13" s="757"/>
      <c r="FH13" s="757"/>
      <c r="FI13" s="757"/>
      <c r="FJ13" s="757"/>
      <c r="FK13" s="757"/>
      <c r="FL13" s="757"/>
      <c r="FM13" s="757"/>
      <c r="FN13" s="757"/>
      <c r="FO13" s="757"/>
      <c r="FP13" s="757"/>
      <c r="FQ13" s="757"/>
      <c r="FR13" s="757"/>
      <c r="FS13" s="757"/>
      <c r="FT13" s="757"/>
      <c r="FU13" s="757"/>
      <c r="FV13" s="757"/>
      <c r="FW13" s="757"/>
      <c r="FX13" s="757"/>
      <c r="FY13" s="757"/>
      <c r="FZ13" s="757"/>
      <c r="GA13" s="757"/>
      <c r="GB13" s="757"/>
      <c r="GC13" s="757"/>
      <c r="GD13" s="757"/>
      <c r="GE13" s="757"/>
      <c r="GF13" s="757"/>
      <c r="GG13" s="757"/>
      <c r="GH13" s="757"/>
      <c r="GI13" s="757"/>
      <c r="GJ13" s="757"/>
      <c r="GK13" s="757"/>
      <c r="GL13" s="757"/>
      <c r="GM13" s="757"/>
      <c r="GN13" s="757"/>
      <c r="GO13" s="757"/>
      <c r="GP13" s="757"/>
      <c r="GQ13" s="757"/>
      <c r="GR13" s="757"/>
      <c r="GS13" s="757"/>
      <c r="GT13" s="757"/>
      <c r="GU13" s="757"/>
      <c r="GV13" s="757"/>
      <c r="GW13" s="757"/>
      <c r="GX13" s="757"/>
      <c r="GY13" s="757"/>
      <c r="GZ13" s="757"/>
      <c r="HA13" s="757"/>
      <c r="HB13" s="757"/>
      <c r="HC13" s="757"/>
      <c r="HD13" s="757"/>
      <c r="HE13" s="757"/>
      <c r="HF13" s="757"/>
      <c r="HG13" s="757"/>
      <c r="HH13" s="757"/>
      <c r="HI13" s="757"/>
      <c r="HJ13" s="757"/>
      <c r="HK13" s="757"/>
      <c r="HL13" s="757"/>
      <c r="HM13" s="757"/>
      <c r="HN13" s="757"/>
      <c r="HO13" s="757"/>
      <c r="HP13" s="757"/>
      <c r="HQ13" s="757"/>
      <c r="HR13" s="757"/>
      <c r="HS13" s="757"/>
      <c r="HT13" s="757"/>
      <c r="HU13" s="757"/>
      <c r="HV13" s="757"/>
      <c r="HW13" s="757"/>
      <c r="HX13" s="757"/>
      <c r="HY13" s="757"/>
      <c r="HZ13" s="757"/>
      <c r="IA13" s="757"/>
      <c r="IB13" s="757"/>
      <c r="IC13" s="757"/>
      <c r="ID13" s="757"/>
      <c r="IE13" s="757"/>
      <c r="IF13" s="757"/>
      <c r="IG13" s="757"/>
      <c r="IH13" s="757"/>
      <c r="II13" s="757"/>
      <c r="IJ13" s="757"/>
      <c r="IK13" s="757"/>
      <c r="IL13" s="757"/>
      <c r="IM13" s="757"/>
      <c r="IN13" s="757"/>
      <c r="IO13" s="757"/>
      <c r="IP13" s="757"/>
      <c r="IQ13" s="757"/>
      <c r="IR13" s="757"/>
      <c r="IS13" s="757"/>
      <c r="IT13" s="757"/>
      <c r="IU13" s="757"/>
      <c r="IV13" s="757"/>
      <c r="IW13" s="757"/>
      <c r="IX13" s="757"/>
      <c r="IY13" s="757"/>
      <c r="IZ13" s="757"/>
      <c r="JA13" s="757"/>
      <c r="JB13" s="757"/>
      <c r="JC13" s="757"/>
      <c r="JD13" s="757"/>
      <c r="JE13" s="757"/>
      <c r="JF13" s="757"/>
      <c r="JG13" s="757"/>
      <c r="JH13" s="757"/>
    </row>
    <row r="14" spans="1:270" s="3594" customFormat="1" ht="11.25" x14ac:dyDescent="0.2">
      <c r="A14" s="3585"/>
      <c r="B14" s="3586"/>
      <c r="C14" s="3586"/>
      <c r="D14" s="3349"/>
      <c r="F14" s="3126">
        <v>69.5</v>
      </c>
      <c r="G14" s="3594">
        <v>64</v>
      </c>
      <c r="H14" s="3126">
        <v>72.5</v>
      </c>
      <c r="I14" s="3594">
        <v>73.5</v>
      </c>
      <c r="J14" s="3126">
        <v>79</v>
      </c>
      <c r="K14" s="3594">
        <v>73</v>
      </c>
      <c r="L14" s="3126">
        <v>74</v>
      </c>
      <c r="M14" s="3594">
        <v>65</v>
      </c>
      <c r="N14" s="3126">
        <v>58</v>
      </c>
      <c r="O14" s="3594">
        <v>59</v>
      </c>
      <c r="P14" s="3126">
        <v>55.4</v>
      </c>
      <c r="Q14" s="3594">
        <v>49.5</v>
      </c>
      <c r="R14" s="3126">
        <v>52.25</v>
      </c>
      <c r="S14" s="3594">
        <v>53</v>
      </c>
      <c r="T14" s="3126">
        <v>56</v>
      </c>
      <c r="U14" s="3594">
        <v>50.5</v>
      </c>
      <c r="V14" s="3126">
        <v>48</v>
      </c>
      <c r="X14" s="3126"/>
      <c r="Z14" s="3126"/>
      <c r="AB14" s="3126"/>
      <c r="AD14" s="3126"/>
      <c r="AF14" s="3126"/>
      <c r="AH14" s="3126"/>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c r="CB14" s="757"/>
      <c r="CC14" s="757"/>
      <c r="CD14" s="757"/>
      <c r="CE14" s="757"/>
      <c r="CF14" s="757"/>
      <c r="CG14" s="757"/>
      <c r="CH14" s="757"/>
      <c r="CI14" s="757"/>
      <c r="CJ14" s="757"/>
      <c r="CK14" s="757"/>
      <c r="CL14" s="757"/>
      <c r="CM14" s="757"/>
      <c r="CN14" s="757"/>
      <c r="CO14" s="757"/>
      <c r="CP14" s="757"/>
      <c r="CQ14" s="757"/>
      <c r="CR14" s="757"/>
      <c r="CS14" s="757"/>
      <c r="CT14" s="757"/>
      <c r="CU14" s="757"/>
      <c r="CV14" s="757"/>
      <c r="CW14" s="757"/>
      <c r="CX14" s="757"/>
      <c r="CY14" s="757"/>
      <c r="CZ14" s="757"/>
      <c r="DA14" s="757"/>
      <c r="DB14" s="757"/>
      <c r="DC14" s="757"/>
      <c r="DD14" s="757"/>
      <c r="DE14" s="757"/>
      <c r="DF14" s="757"/>
      <c r="DG14" s="757"/>
      <c r="DH14" s="757"/>
      <c r="DI14" s="757"/>
      <c r="DJ14" s="757"/>
      <c r="DK14" s="757"/>
      <c r="DL14" s="757"/>
      <c r="DM14" s="757"/>
      <c r="DN14" s="757"/>
      <c r="DO14" s="757"/>
      <c r="DP14" s="757"/>
      <c r="DQ14" s="757"/>
      <c r="DR14" s="757"/>
      <c r="DS14" s="757"/>
      <c r="DT14" s="757"/>
      <c r="DU14" s="757"/>
      <c r="DV14" s="757"/>
      <c r="DW14" s="757"/>
      <c r="DX14" s="757"/>
      <c r="DY14" s="757"/>
      <c r="DZ14" s="757"/>
      <c r="EA14" s="757"/>
      <c r="EB14" s="757"/>
      <c r="EC14" s="757"/>
      <c r="ED14" s="757"/>
      <c r="EE14" s="757"/>
      <c r="EF14" s="757"/>
      <c r="EG14" s="757"/>
      <c r="EH14" s="757"/>
      <c r="EI14" s="757"/>
      <c r="EJ14" s="757"/>
      <c r="EK14" s="757"/>
      <c r="EL14" s="757"/>
      <c r="EM14" s="757"/>
      <c r="EN14" s="757"/>
      <c r="EO14" s="757"/>
      <c r="EP14" s="757"/>
      <c r="EQ14" s="757"/>
      <c r="ER14" s="757"/>
      <c r="ES14" s="757"/>
      <c r="ET14" s="757"/>
      <c r="EU14" s="757"/>
      <c r="EV14" s="757"/>
      <c r="EW14" s="757"/>
      <c r="EX14" s="757"/>
      <c r="EY14" s="757"/>
      <c r="EZ14" s="757"/>
      <c r="FA14" s="757"/>
      <c r="FB14" s="757"/>
      <c r="FC14" s="757"/>
      <c r="FD14" s="757"/>
      <c r="FE14" s="757"/>
      <c r="FF14" s="757"/>
      <c r="FG14" s="757"/>
      <c r="FH14" s="757"/>
      <c r="FI14" s="757"/>
      <c r="FJ14" s="757"/>
      <c r="FK14" s="757"/>
      <c r="FL14" s="757"/>
      <c r="FM14" s="757"/>
      <c r="FN14" s="757"/>
      <c r="FO14" s="757"/>
      <c r="FP14" s="757"/>
      <c r="FQ14" s="757"/>
      <c r="FR14" s="757"/>
      <c r="FS14" s="757"/>
      <c r="FT14" s="757"/>
      <c r="FU14" s="757"/>
      <c r="FV14" s="757"/>
      <c r="FW14" s="757"/>
      <c r="FX14" s="757"/>
      <c r="FY14" s="757"/>
      <c r="FZ14" s="757"/>
      <c r="GA14" s="757"/>
      <c r="GB14" s="757"/>
      <c r="GC14" s="757"/>
      <c r="GD14" s="757"/>
      <c r="GE14" s="757"/>
      <c r="GF14" s="757"/>
      <c r="GG14" s="757"/>
      <c r="GH14" s="757"/>
      <c r="GI14" s="757"/>
      <c r="GJ14" s="757"/>
      <c r="GK14" s="757"/>
      <c r="GL14" s="757"/>
      <c r="GM14" s="757"/>
      <c r="GN14" s="757"/>
      <c r="GO14" s="757"/>
      <c r="GP14" s="757"/>
      <c r="GQ14" s="757"/>
      <c r="GR14" s="757"/>
      <c r="GS14" s="757"/>
      <c r="GT14" s="757"/>
      <c r="GU14" s="757"/>
      <c r="GV14" s="757"/>
      <c r="GW14" s="757"/>
      <c r="GX14" s="757"/>
      <c r="GY14" s="757"/>
      <c r="GZ14" s="757"/>
      <c r="HA14" s="757"/>
      <c r="HB14" s="757"/>
      <c r="HC14" s="757"/>
      <c r="HD14" s="757"/>
      <c r="HE14" s="757"/>
      <c r="HF14" s="757"/>
      <c r="HG14" s="757"/>
      <c r="HH14" s="757"/>
      <c r="HI14" s="757"/>
      <c r="HJ14" s="757"/>
      <c r="HK14" s="757"/>
      <c r="HL14" s="757"/>
      <c r="HM14" s="757"/>
      <c r="HN14" s="757"/>
      <c r="HO14" s="757"/>
      <c r="HP14" s="757"/>
      <c r="HQ14" s="757"/>
      <c r="HR14" s="757"/>
      <c r="HS14" s="757"/>
      <c r="HT14" s="757"/>
      <c r="HU14" s="757"/>
      <c r="HV14" s="757"/>
      <c r="HW14" s="757"/>
      <c r="HX14" s="757"/>
      <c r="HY14" s="757"/>
      <c r="HZ14" s="757"/>
      <c r="IA14" s="757"/>
      <c r="IB14" s="757"/>
      <c r="IC14" s="757"/>
      <c r="ID14" s="757"/>
      <c r="IE14" s="757"/>
      <c r="IF14" s="757"/>
      <c r="IG14" s="757"/>
      <c r="IH14" s="757"/>
      <c r="II14" s="757"/>
      <c r="IJ14" s="757"/>
      <c r="IK14" s="757"/>
      <c r="IL14" s="757"/>
      <c r="IM14" s="757"/>
      <c r="IN14" s="757"/>
      <c r="IO14" s="757"/>
      <c r="IP14" s="757"/>
      <c r="IQ14" s="757"/>
      <c r="IR14" s="757"/>
      <c r="IS14" s="757"/>
      <c r="IT14" s="757"/>
      <c r="IU14" s="757"/>
      <c r="IV14" s="757"/>
      <c r="IW14" s="757"/>
      <c r="IX14" s="757"/>
      <c r="IY14" s="757"/>
      <c r="IZ14" s="757"/>
      <c r="JA14" s="757"/>
      <c r="JB14" s="757"/>
      <c r="JC14" s="757"/>
      <c r="JD14" s="757"/>
      <c r="JE14" s="757"/>
      <c r="JF14" s="757"/>
    </row>
    <row r="15" spans="1:270" s="3594" customFormat="1" ht="11.25" x14ac:dyDescent="0.2">
      <c r="A15" s="3585"/>
      <c r="B15" s="3586"/>
      <c r="C15" s="3586"/>
      <c r="D15" s="3349"/>
      <c r="F15" s="3126"/>
      <c r="H15" s="3126"/>
      <c r="J15" s="3126"/>
      <c r="L15" s="3126"/>
      <c r="N15" s="3126"/>
      <c r="P15" s="3126"/>
      <c r="R15" s="3126"/>
      <c r="T15" s="3126"/>
      <c r="V15" s="3126"/>
      <c r="X15" s="3126"/>
      <c r="Z15" s="3126"/>
      <c r="AB15" s="3126"/>
      <c r="AD15" s="3126"/>
      <c r="AF15" s="3126"/>
      <c r="AH15" s="3126"/>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c r="CB15" s="757"/>
      <c r="CC15" s="757"/>
      <c r="CD15" s="757"/>
      <c r="CE15" s="757"/>
      <c r="CF15" s="757"/>
      <c r="CG15" s="757"/>
      <c r="CH15" s="757"/>
      <c r="CI15" s="757"/>
      <c r="CJ15" s="757"/>
      <c r="CK15" s="757"/>
      <c r="CL15" s="757"/>
      <c r="CM15" s="757"/>
      <c r="CN15" s="757"/>
      <c r="CO15" s="757"/>
      <c r="CP15" s="757"/>
      <c r="CQ15" s="757"/>
      <c r="CR15" s="757"/>
      <c r="CS15" s="757"/>
      <c r="CT15" s="757"/>
      <c r="CU15" s="757"/>
      <c r="CV15" s="757"/>
      <c r="CW15" s="757"/>
      <c r="CX15" s="757"/>
      <c r="CY15" s="757"/>
      <c r="CZ15" s="757"/>
      <c r="DA15" s="757"/>
      <c r="DB15" s="757"/>
      <c r="DC15" s="757"/>
      <c r="DD15" s="757"/>
      <c r="DE15" s="757"/>
      <c r="DF15" s="757"/>
      <c r="DG15" s="757"/>
      <c r="DH15" s="757"/>
      <c r="DI15" s="757"/>
      <c r="DJ15" s="757"/>
      <c r="DK15" s="757"/>
      <c r="DL15" s="757"/>
      <c r="DM15" s="757"/>
      <c r="DN15" s="757"/>
      <c r="DO15" s="757"/>
      <c r="DP15" s="757"/>
      <c r="DQ15" s="757"/>
      <c r="DR15" s="757"/>
      <c r="DS15" s="757"/>
      <c r="DT15" s="757"/>
      <c r="DU15" s="757"/>
      <c r="DV15" s="757"/>
      <c r="DW15" s="757"/>
      <c r="DX15" s="757"/>
      <c r="DY15" s="757"/>
      <c r="DZ15" s="757"/>
      <c r="EA15" s="757"/>
      <c r="EB15" s="757"/>
      <c r="EC15" s="757"/>
      <c r="ED15" s="757"/>
      <c r="EE15" s="757"/>
      <c r="EF15" s="757"/>
      <c r="EG15" s="757"/>
      <c r="EH15" s="757"/>
      <c r="EI15" s="757"/>
      <c r="EJ15" s="757"/>
      <c r="EK15" s="757"/>
      <c r="EL15" s="757"/>
      <c r="EM15" s="757"/>
      <c r="EN15" s="757"/>
      <c r="EO15" s="757"/>
      <c r="EP15" s="757"/>
      <c r="EQ15" s="757"/>
      <c r="ER15" s="757"/>
      <c r="ES15" s="757"/>
      <c r="ET15" s="757"/>
      <c r="EU15" s="757"/>
      <c r="EV15" s="757"/>
      <c r="EW15" s="757"/>
      <c r="EX15" s="757"/>
      <c r="EY15" s="757"/>
      <c r="EZ15" s="757"/>
      <c r="FA15" s="757"/>
      <c r="FB15" s="757"/>
      <c r="FC15" s="757"/>
      <c r="FD15" s="757"/>
      <c r="FE15" s="757"/>
      <c r="FF15" s="757"/>
      <c r="FG15" s="757"/>
      <c r="FH15" s="757"/>
      <c r="FI15" s="757"/>
      <c r="FJ15" s="757"/>
      <c r="FK15" s="757"/>
      <c r="FL15" s="757"/>
      <c r="FM15" s="757"/>
      <c r="FN15" s="757"/>
      <c r="FO15" s="757"/>
      <c r="FP15" s="757"/>
      <c r="FQ15" s="757"/>
      <c r="FR15" s="757"/>
      <c r="FS15" s="757"/>
      <c r="FT15" s="757"/>
      <c r="FU15" s="757"/>
      <c r="FV15" s="757"/>
      <c r="FW15" s="757"/>
      <c r="FX15" s="757"/>
      <c r="FY15" s="757"/>
      <c r="FZ15" s="757"/>
      <c r="GA15" s="757"/>
      <c r="GB15" s="757"/>
      <c r="GC15" s="757"/>
      <c r="GD15" s="757"/>
      <c r="GE15" s="757"/>
      <c r="GF15" s="757"/>
      <c r="GG15" s="757"/>
      <c r="GH15" s="757"/>
      <c r="GI15" s="757"/>
      <c r="GJ15" s="757"/>
      <c r="GK15" s="757"/>
      <c r="GL15" s="757"/>
      <c r="GM15" s="757"/>
      <c r="GN15" s="757"/>
      <c r="GO15" s="757"/>
      <c r="GP15" s="757"/>
      <c r="GQ15" s="757"/>
      <c r="GR15" s="757"/>
      <c r="GS15" s="757"/>
      <c r="GT15" s="757"/>
      <c r="GU15" s="757"/>
      <c r="GV15" s="757"/>
      <c r="GW15" s="757"/>
      <c r="GX15" s="757"/>
      <c r="GY15" s="757"/>
      <c r="GZ15" s="757"/>
      <c r="HA15" s="757"/>
      <c r="HB15" s="757"/>
      <c r="HC15" s="757"/>
      <c r="HD15" s="757"/>
      <c r="HE15" s="757"/>
      <c r="HF15" s="757"/>
      <c r="HG15" s="757"/>
      <c r="HH15" s="757"/>
      <c r="HI15" s="757"/>
      <c r="HJ15" s="757"/>
      <c r="HK15" s="757"/>
      <c r="HL15" s="757"/>
      <c r="HM15" s="757"/>
      <c r="HN15" s="757"/>
      <c r="HO15" s="757"/>
      <c r="HP15" s="757"/>
      <c r="HQ15" s="757"/>
      <c r="HR15" s="757"/>
      <c r="HS15" s="757"/>
      <c r="HT15" s="757"/>
      <c r="HU15" s="757"/>
      <c r="HV15" s="757"/>
      <c r="HW15" s="757"/>
      <c r="HX15" s="757"/>
      <c r="HY15" s="757"/>
      <c r="HZ15" s="757"/>
      <c r="IA15" s="757"/>
      <c r="IB15" s="757"/>
      <c r="IC15" s="757"/>
      <c r="ID15" s="757"/>
      <c r="IE15" s="757"/>
      <c r="IF15" s="757"/>
      <c r="IG15" s="757"/>
      <c r="IH15" s="757"/>
      <c r="II15" s="757"/>
      <c r="IJ15" s="757"/>
      <c r="IK15" s="757"/>
      <c r="IL15" s="757"/>
      <c r="IM15" s="757"/>
      <c r="IN15" s="757"/>
      <c r="IO15" s="757"/>
      <c r="IP15" s="757"/>
      <c r="IQ15" s="757"/>
      <c r="IR15" s="757"/>
      <c r="IS15" s="757"/>
      <c r="IT15" s="757"/>
      <c r="IU15" s="757"/>
      <c r="IV15" s="757"/>
      <c r="IW15" s="757"/>
      <c r="IX15" s="757"/>
      <c r="IY15" s="757"/>
      <c r="IZ15" s="757"/>
      <c r="JA15" s="757"/>
      <c r="JB15" s="757"/>
      <c r="JC15" s="757"/>
      <c r="JD15" s="757"/>
      <c r="JE15" s="757"/>
      <c r="JF15" s="757"/>
    </row>
    <row r="16" spans="1:270" s="3594" customFormat="1" ht="11.25" x14ac:dyDescent="0.2">
      <c r="A16" s="3585"/>
      <c r="B16" s="3586"/>
      <c r="C16" s="3586"/>
      <c r="D16" s="3349"/>
      <c r="F16" s="3126"/>
      <c r="H16" s="3126"/>
      <c r="J16" s="3126"/>
      <c r="L16" s="3126"/>
      <c r="N16" s="3126"/>
      <c r="P16" s="3126"/>
      <c r="R16" s="3126"/>
      <c r="T16" s="3126"/>
      <c r="V16" s="3126"/>
      <c r="X16" s="3126"/>
      <c r="Z16" s="3126"/>
      <c r="AB16" s="3126"/>
      <c r="AD16" s="3126"/>
      <c r="AF16" s="3126"/>
      <c r="AH16" s="3126"/>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c r="CB16" s="757"/>
      <c r="CC16" s="757"/>
      <c r="CD16" s="757"/>
      <c r="CE16" s="757"/>
      <c r="CF16" s="757"/>
      <c r="CG16" s="757"/>
      <c r="CH16" s="757"/>
      <c r="CI16" s="757"/>
      <c r="CJ16" s="757"/>
      <c r="CK16" s="757"/>
      <c r="CL16" s="757"/>
      <c r="CM16" s="757"/>
      <c r="CN16" s="757"/>
      <c r="CO16" s="757"/>
      <c r="CP16" s="757"/>
      <c r="CQ16" s="757"/>
      <c r="CR16" s="757"/>
      <c r="CS16" s="757"/>
      <c r="CT16" s="757"/>
      <c r="CU16" s="757"/>
      <c r="CV16" s="757"/>
      <c r="CW16" s="757"/>
      <c r="CX16" s="757"/>
      <c r="CY16" s="757"/>
      <c r="CZ16" s="757"/>
      <c r="DA16" s="757"/>
      <c r="DB16" s="757"/>
      <c r="DC16" s="757"/>
      <c r="DD16" s="757"/>
      <c r="DE16" s="757"/>
      <c r="DF16" s="757"/>
      <c r="DG16" s="757"/>
      <c r="DH16" s="757"/>
      <c r="DI16" s="757"/>
      <c r="DJ16" s="757"/>
      <c r="DK16" s="757"/>
      <c r="DL16" s="757"/>
      <c r="DM16" s="757"/>
      <c r="DN16" s="757"/>
      <c r="DO16" s="757"/>
      <c r="DP16" s="757"/>
      <c r="DQ16" s="757"/>
      <c r="DR16" s="757"/>
      <c r="DS16" s="757"/>
      <c r="DT16" s="757"/>
      <c r="DU16" s="757"/>
      <c r="DV16" s="757"/>
      <c r="DW16" s="757"/>
      <c r="DX16" s="757"/>
      <c r="DY16" s="757"/>
      <c r="DZ16" s="757"/>
      <c r="EA16" s="757"/>
      <c r="EB16" s="757"/>
      <c r="EC16" s="757"/>
      <c r="ED16" s="757"/>
      <c r="EE16" s="757"/>
      <c r="EF16" s="757"/>
      <c r="EG16" s="757"/>
      <c r="EH16" s="757"/>
      <c r="EI16" s="757"/>
      <c r="EJ16" s="757"/>
      <c r="EK16" s="757"/>
      <c r="EL16" s="757"/>
      <c r="EM16" s="757"/>
      <c r="EN16" s="757"/>
      <c r="EO16" s="757"/>
      <c r="EP16" s="757"/>
      <c r="EQ16" s="757"/>
      <c r="ER16" s="757"/>
      <c r="ES16" s="757"/>
      <c r="ET16" s="757"/>
      <c r="EU16" s="757"/>
      <c r="EV16" s="757"/>
      <c r="EW16" s="757"/>
      <c r="EX16" s="757"/>
      <c r="EY16" s="757"/>
      <c r="EZ16" s="757"/>
      <c r="FA16" s="757"/>
      <c r="FB16" s="757"/>
      <c r="FC16" s="757"/>
      <c r="FD16" s="757"/>
      <c r="FE16" s="757"/>
      <c r="FF16" s="757"/>
      <c r="FG16" s="757"/>
      <c r="FH16" s="757"/>
      <c r="FI16" s="757"/>
      <c r="FJ16" s="757"/>
      <c r="FK16" s="757"/>
      <c r="FL16" s="757"/>
      <c r="FM16" s="757"/>
      <c r="FN16" s="757"/>
      <c r="FO16" s="757"/>
      <c r="FP16" s="757"/>
      <c r="FQ16" s="757"/>
      <c r="FR16" s="757"/>
      <c r="FS16" s="757"/>
      <c r="FT16" s="757"/>
      <c r="FU16" s="757"/>
      <c r="FV16" s="757"/>
      <c r="FW16" s="757"/>
      <c r="FX16" s="757"/>
      <c r="FY16" s="757"/>
      <c r="FZ16" s="757"/>
      <c r="GA16" s="757"/>
      <c r="GB16" s="757"/>
      <c r="GC16" s="757"/>
      <c r="GD16" s="757"/>
      <c r="GE16" s="757"/>
      <c r="GF16" s="757"/>
      <c r="GG16" s="757"/>
      <c r="GH16" s="757"/>
      <c r="GI16" s="757"/>
      <c r="GJ16" s="757"/>
      <c r="GK16" s="757"/>
      <c r="GL16" s="757"/>
      <c r="GM16" s="757"/>
      <c r="GN16" s="757"/>
      <c r="GO16" s="757"/>
      <c r="GP16" s="757"/>
      <c r="GQ16" s="757"/>
      <c r="GR16" s="757"/>
      <c r="GS16" s="757"/>
      <c r="GT16" s="757"/>
      <c r="GU16" s="757"/>
      <c r="GV16" s="757"/>
      <c r="GW16" s="757"/>
      <c r="GX16" s="757"/>
      <c r="GY16" s="757"/>
      <c r="GZ16" s="757"/>
      <c r="HA16" s="757"/>
      <c r="HB16" s="757"/>
      <c r="HC16" s="757"/>
      <c r="HD16" s="757"/>
      <c r="HE16" s="757"/>
      <c r="HF16" s="757"/>
      <c r="HG16" s="757"/>
      <c r="HH16" s="757"/>
      <c r="HI16" s="757"/>
      <c r="HJ16" s="757"/>
      <c r="HK16" s="757"/>
      <c r="HL16" s="757"/>
      <c r="HM16" s="757"/>
      <c r="HN16" s="757"/>
      <c r="HO16" s="757"/>
      <c r="HP16" s="757"/>
      <c r="HQ16" s="757"/>
      <c r="HR16" s="757"/>
      <c r="HS16" s="757"/>
      <c r="HT16" s="757"/>
      <c r="HU16" s="757"/>
      <c r="HV16" s="757"/>
      <c r="HW16" s="757"/>
      <c r="HX16" s="757"/>
      <c r="HY16" s="757"/>
      <c r="HZ16" s="757"/>
      <c r="IA16" s="757"/>
      <c r="IB16" s="757"/>
      <c r="IC16" s="757"/>
      <c r="ID16" s="757"/>
      <c r="IE16" s="757"/>
      <c r="IF16" s="757"/>
      <c r="IG16" s="757"/>
      <c r="IH16" s="757"/>
      <c r="II16" s="757"/>
      <c r="IJ16" s="757"/>
      <c r="IK16" s="757"/>
      <c r="IL16" s="757"/>
      <c r="IM16" s="757"/>
      <c r="IN16" s="757"/>
      <c r="IO16" s="757"/>
      <c r="IP16" s="757"/>
      <c r="IQ16" s="757"/>
      <c r="IR16" s="757"/>
      <c r="IS16" s="757"/>
      <c r="IT16" s="757"/>
      <c r="IU16" s="757"/>
      <c r="IV16" s="757"/>
      <c r="IW16" s="757"/>
      <c r="IX16" s="757"/>
      <c r="IY16" s="757"/>
      <c r="IZ16" s="757"/>
      <c r="JA16" s="757"/>
      <c r="JB16" s="757"/>
      <c r="JC16" s="757"/>
      <c r="JD16" s="757"/>
      <c r="JE16" s="757"/>
      <c r="JF16" s="757"/>
    </row>
    <row r="17" spans="1:34" ht="12.75" x14ac:dyDescent="0.2">
      <c r="A17" s="686">
        <v>5</v>
      </c>
      <c r="B17" s="686" t="s">
        <v>90</v>
      </c>
      <c r="C17" s="686"/>
      <c r="U17" s="699"/>
      <c r="V17" s="699"/>
      <c r="W17" s="699"/>
      <c r="X17" s="699"/>
      <c r="Y17" s="699"/>
      <c r="Z17" s="699"/>
      <c r="AA17" s="699"/>
      <c r="AB17" s="699"/>
      <c r="AC17" s="699"/>
      <c r="AD17" s="699"/>
      <c r="AE17" s="699"/>
      <c r="AF17" s="699"/>
      <c r="AG17" s="699"/>
      <c r="AH17" s="699"/>
    </row>
    <row r="18" spans="1:34" x14ac:dyDescent="0.2">
      <c r="M18" s="725"/>
      <c r="N18" s="725"/>
      <c r="O18" s="725"/>
      <c r="P18" s="725"/>
      <c r="Q18" s="725"/>
      <c r="R18" s="725"/>
      <c r="S18" s="725"/>
      <c r="U18" s="699"/>
      <c r="V18" s="699"/>
      <c r="W18" s="699"/>
      <c r="X18" s="699"/>
      <c r="Y18" s="699"/>
      <c r="Z18" s="699"/>
      <c r="AA18" s="699"/>
      <c r="AB18" s="699"/>
      <c r="AC18" s="699"/>
      <c r="AD18" s="699"/>
      <c r="AE18" s="699"/>
      <c r="AF18" s="699"/>
      <c r="AG18" s="699"/>
      <c r="AH18" s="699"/>
    </row>
    <row r="19" spans="1:34" x14ac:dyDescent="0.2">
      <c r="M19" s="3598"/>
      <c r="N19" s="725"/>
      <c r="O19" s="725"/>
      <c r="P19" s="725"/>
      <c r="Q19" s="725"/>
      <c r="R19" s="725"/>
      <c r="S19" s="725"/>
      <c r="U19" s="699"/>
      <c r="V19" s="699"/>
      <c r="W19" s="699"/>
      <c r="X19" s="699"/>
      <c r="Y19" s="699"/>
      <c r="Z19" s="699"/>
      <c r="AA19" s="699"/>
      <c r="AB19" s="699"/>
      <c r="AC19" s="699"/>
      <c r="AD19" s="699"/>
      <c r="AE19" s="699"/>
      <c r="AF19" s="699"/>
      <c r="AG19" s="699"/>
      <c r="AH19" s="699"/>
    </row>
    <row r="20" spans="1:34" x14ac:dyDescent="0.2">
      <c r="M20" s="3599"/>
      <c r="N20" s="725"/>
      <c r="O20" s="725"/>
      <c r="P20" s="725"/>
      <c r="Q20" s="725"/>
      <c r="R20" s="725"/>
      <c r="S20" s="725"/>
      <c r="U20" s="699"/>
      <c r="V20" s="699"/>
      <c r="W20" s="699"/>
      <c r="X20" s="699"/>
      <c r="Y20" s="699"/>
      <c r="Z20" s="699"/>
      <c r="AA20" s="699"/>
      <c r="AB20" s="699"/>
      <c r="AC20" s="699"/>
      <c r="AD20" s="699"/>
      <c r="AE20" s="699"/>
      <c r="AF20" s="699"/>
      <c r="AG20" s="699"/>
      <c r="AH20" s="699"/>
    </row>
    <row r="21" spans="1:34" x14ac:dyDescent="0.2">
      <c r="O21" s="732"/>
      <c r="P21" s="733"/>
      <c r="Q21" s="733"/>
      <c r="R21" s="733"/>
      <c r="S21" s="733"/>
      <c r="T21" s="733"/>
      <c r="U21" s="699"/>
      <c r="V21" s="699"/>
      <c r="W21" s="699"/>
      <c r="X21" s="699"/>
      <c r="Y21" s="699"/>
      <c r="Z21" s="699"/>
      <c r="AA21" s="699"/>
      <c r="AB21" s="699"/>
      <c r="AC21" s="699"/>
      <c r="AD21" s="699"/>
      <c r="AE21" s="699"/>
      <c r="AF21" s="699"/>
      <c r="AG21" s="699"/>
      <c r="AH21" s="699"/>
    </row>
    <row r="22" spans="1:34" x14ac:dyDescent="0.2">
      <c r="O22" s="732"/>
      <c r="P22" s="733"/>
      <c r="Q22" s="733"/>
      <c r="R22" s="733"/>
      <c r="S22" s="733"/>
      <c r="T22" s="733"/>
      <c r="U22" s="699"/>
      <c r="V22" s="699"/>
      <c r="W22" s="699"/>
      <c r="X22" s="699"/>
      <c r="Y22" s="699"/>
      <c r="Z22" s="699"/>
      <c r="AA22" s="699"/>
      <c r="AB22" s="699"/>
      <c r="AC22" s="699"/>
      <c r="AD22" s="699"/>
      <c r="AE22" s="699"/>
      <c r="AF22" s="699"/>
      <c r="AG22" s="699"/>
      <c r="AH22" s="699"/>
    </row>
    <row r="23" spans="1:34" x14ac:dyDescent="0.2">
      <c r="A23" s="696"/>
      <c r="B23" s="696"/>
      <c r="C23" s="696"/>
      <c r="O23" s="732"/>
      <c r="P23" s="733"/>
      <c r="Q23" s="733"/>
      <c r="R23" s="733"/>
      <c r="S23" s="733"/>
      <c r="T23" s="733"/>
      <c r="U23" s="699"/>
      <c r="V23" s="699"/>
      <c r="W23" s="699"/>
      <c r="X23" s="699"/>
      <c r="Y23" s="699"/>
      <c r="Z23" s="699"/>
      <c r="AA23" s="699"/>
      <c r="AB23" s="699"/>
      <c r="AC23" s="699"/>
      <c r="AD23" s="699"/>
      <c r="AE23" s="699"/>
      <c r="AF23" s="699"/>
      <c r="AG23" s="699"/>
      <c r="AH23" s="699"/>
    </row>
    <row r="24" spans="1:34" x14ac:dyDescent="0.2">
      <c r="A24" s="696"/>
      <c r="B24" s="696"/>
      <c r="C24" s="696"/>
      <c r="O24" s="732"/>
      <c r="P24" s="733"/>
      <c r="Q24" s="733"/>
      <c r="R24" s="733"/>
      <c r="S24" s="733"/>
      <c r="T24" s="733"/>
      <c r="U24" s="699"/>
      <c r="V24" s="699"/>
      <c r="W24" s="699"/>
      <c r="X24" s="699"/>
      <c r="Y24" s="699"/>
      <c r="Z24" s="699"/>
      <c r="AA24" s="699"/>
      <c r="AB24" s="699"/>
      <c r="AC24" s="699"/>
      <c r="AD24" s="699"/>
      <c r="AE24" s="699"/>
      <c r="AF24" s="699"/>
      <c r="AG24" s="699"/>
      <c r="AH24" s="699"/>
    </row>
    <row r="25" spans="1:34" x14ac:dyDescent="0.2">
      <c r="A25" s="696"/>
      <c r="B25" s="696"/>
      <c r="C25" s="696"/>
      <c r="O25" s="732"/>
      <c r="P25" s="733"/>
      <c r="Q25" s="733"/>
      <c r="R25" s="733"/>
      <c r="S25" s="733"/>
      <c r="T25" s="733"/>
      <c r="U25" s="699"/>
      <c r="V25" s="699"/>
      <c r="W25" s="699"/>
      <c r="X25" s="699"/>
      <c r="Y25" s="699"/>
      <c r="Z25" s="699"/>
      <c r="AA25" s="699"/>
      <c r="AB25" s="699"/>
      <c r="AC25" s="699"/>
      <c r="AD25" s="699"/>
      <c r="AE25" s="699"/>
      <c r="AF25" s="699"/>
      <c r="AG25" s="699"/>
      <c r="AH25" s="699"/>
    </row>
    <row r="26" spans="1:34" x14ac:dyDescent="0.2">
      <c r="A26" s="696"/>
      <c r="B26" s="696"/>
      <c r="C26" s="696"/>
      <c r="O26" s="751"/>
      <c r="P26" s="733"/>
      <c r="Q26" s="733"/>
      <c r="R26" s="733"/>
      <c r="S26" s="733"/>
      <c r="T26" s="733"/>
      <c r="V26" s="699"/>
      <c r="W26" s="699"/>
      <c r="X26" s="699"/>
      <c r="Y26" s="699"/>
      <c r="Z26" s="699"/>
      <c r="AA26" s="699"/>
      <c r="AB26" s="699"/>
      <c r="AC26" s="699"/>
      <c r="AD26" s="699"/>
      <c r="AE26" s="699"/>
      <c r="AF26" s="699"/>
      <c r="AG26" s="699"/>
      <c r="AH26" s="699"/>
    </row>
    <row r="27" spans="1:34" x14ac:dyDescent="0.2">
      <c r="A27" s="696"/>
      <c r="B27" s="696"/>
      <c r="C27" s="696"/>
      <c r="M27" s="751"/>
      <c r="V27" s="699"/>
      <c r="W27" s="699"/>
      <c r="X27" s="699"/>
      <c r="Y27" s="699"/>
      <c r="Z27" s="699"/>
      <c r="AA27" s="699"/>
      <c r="AB27" s="699"/>
      <c r="AC27" s="699"/>
      <c r="AD27" s="699"/>
      <c r="AE27" s="699"/>
      <c r="AF27" s="699"/>
      <c r="AG27" s="699"/>
      <c r="AH27" s="699"/>
    </row>
    <row r="28" spans="1:34" x14ac:dyDescent="0.2">
      <c r="A28" s="696"/>
      <c r="B28" s="696"/>
      <c r="C28" s="696"/>
      <c r="M28" s="751"/>
      <c r="V28" s="699"/>
      <c r="W28" s="699"/>
      <c r="X28" s="699"/>
      <c r="Y28" s="699"/>
      <c r="Z28" s="699"/>
      <c r="AA28" s="699"/>
      <c r="AB28" s="699"/>
      <c r="AC28" s="699"/>
      <c r="AD28" s="699"/>
      <c r="AE28" s="699"/>
      <c r="AF28" s="699"/>
      <c r="AG28" s="699"/>
      <c r="AH28" s="699"/>
    </row>
    <row r="29" spans="1:34" x14ac:dyDescent="0.2">
      <c r="A29" s="696"/>
      <c r="B29" s="696"/>
      <c r="C29" s="696"/>
      <c r="M29" s="751"/>
      <c r="V29" s="699"/>
      <c r="W29" s="699"/>
      <c r="X29" s="699"/>
      <c r="Y29" s="699"/>
      <c r="Z29" s="699"/>
      <c r="AA29" s="699"/>
      <c r="AB29" s="699"/>
      <c r="AC29" s="699"/>
      <c r="AD29" s="699"/>
      <c r="AE29" s="699"/>
      <c r="AF29" s="699"/>
      <c r="AG29" s="699"/>
      <c r="AH29" s="699"/>
    </row>
    <row r="30" spans="1:34" x14ac:dyDescent="0.2">
      <c r="A30" s="696"/>
      <c r="B30" s="696"/>
      <c r="C30" s="696"/>
      <c r="M30" s="751"/>
      <c r="V30" s="699"/>
      <c r="W30" s="699"/>
      <c r="X30" s="699"/>
      <c r="Y30" s="699"/>
      <c r="Z30" s="699"/>
      <c r="AA30" s="699"/>
      <c r="AB30" s="699"/>
      <c r="AC30" s="699"/>
      <c r="AD30" s="699"/>
      <c r="AE30" s="699"/>
      <c r="AF30" s="699"/>
      <c r="AG30" s="699"/>
      <c r="AH30" s="699"/>
    </row>
    <row r="31" spans="1:34" x14ac:dyDescent="0.2">
      <c r="A31" s="696"/>
      <c r="B31" s="696"/>
      <c r="C31" s="696"/>
      <c r="M31" s="751"/>
      <c r="V31" s="699"/>
      <c r="W31" s="699"/>
      <c r="X31" s="699"/>
      <c r="Y31" s="699"/>
      <c r="Z31" s="699"/>
      <c r="AA31" s="699"/>
      <c r="AB31" s="699"/>
      <c r="AC31" s="699"/>
      <c r="AD31" s="699"/>
      <c r="AE31" s="699"/>
      <c r="AF31" s="699"/>
      <c r="AG31" s="699"/>
      <c r="AH31" s="699"/>
    </row>
    <row r="32" spans="1:34" x14ac:dyDescent="0.2">
      <c r="A32" s="696"/>
      <c r="B32" s="696"/>
      <c r="C32" s="696"/>
      <c r="M32" s="751"/>
      <c r="V32" s="699"/>
      <c r="W32" s="699"/>
      <c r="X32" s="699"/>
      <c r="Y32" s="699"/>
      <c r="Z32" s="699"/>
      <c r="AA32" s="699"/>
      <c r="AB32" s="699"/>
      <c r="AC32" s="699"/>
      <c r="AD32" s="699"/>
      <c r="AE32" s="699"/>
      <c r="AF32" s="699"/>
      <c r="AG32" s="699"/>
      <c r="AH32" s="699"/>
    </row>
    <row r="33" spans="1:40" x14ac:dyDescent="0.2">
      <c r="A33" s="696"/>
      <c r="B33" s="696"/>
      <c r="C33" s="696"/>
      <c r="M33" s="751"/>
    </row>
    <row r="34" spans="1:40" x14ac:dyDescent="0.2">
      <c r="A34" s="696"/>
      <c r="B34" s="696"/>
      <c r="C34" s="696"/>
      <c r="M34" s="751"/>
    </row>
    <row r="35" spans="1:40" x14ac:dyDescent="0.2">
      <c r="A35" s="696"/>
      <c r="B35" s="696"/>
      <c r="C35" s="696"/>
      <c r="M35" s="751"/>
    </row>
    <row r="36" spans="1:40" x14ac:dyDescent="0.2">
      <c r="A36" s="696"/>
      <c r="B36" s="696"/>
      <c r="C36" s="696"/>
      <c r="M36" s="751"/>
    </row>
    <row r="37" spans="1:40" x14ac:dyDescent="0.2">
      <c r="A37" s="696"/>
      <c r="B37" s="696"/>
      <c r="C37" s="696"/>
      <c r="M37" s="3527"/>
    </row>
    <row r="38" spans="1:40" x14ac:dyDescent="0.2">
      <c r="A38" s="696"/>
      <c r="B38" s="696"/>
      <c r="C38" s="696"/>
      <c r="M38" s="751"/>
    </row>
    <row r="41" spans="1:40" s="685" customFormat="1" ht="14.25" x14ac:dyDescent="0.2">
      <c r="A41" s="686">
        <v>6</v>
      </c>
      <c r="B41" s="686" t="s">
        <v>29</v>
      </c>
      <c r="C41" s="686"/>
      <c r="D41" s="4140" t="s">
        <v>1703</v>
      </c>
      <c r="E41" s="4141"/>
      <c r="F41" s="4141"/>
      <c r="G41" s="4141"/>
      <c r="H41" s="4141"/>
      <c r="I41" s="4141"/>
      <c r="J41" s="4141"/>
      <c r="K41" s="4141"/>
      <c r="L41" s="4141"/>
      <c r="M41" s="4141"/>
      <c r="N41" s="4141"/>
      <c r="O41" s="4141"/>
      <c r="P41" s="4141"/>
      <c r="Q41" s="4141"/>
      <c r="R41" s="4141"/>
      <c r="S41" s="4141"/>
      <c r="T41" s="4141"/>
      <c r="U41" s="4141"/>
      <c r="V41" s="4141"/>
      <c r="W41" s="4141"/>
      <c r="X41" s="4141"/>
      <c r="Y41" s="4141"/>
      <c r="Z41" s="4141"/>
      <c r="AA41" s="4141"/>
      <c r="AB41" s="4141"/>
      <c r="AC41" s="4141"/>
      <c r="AD41" s="4141"/>
      <c r="AE41" s="4141"/>
      <c r="AF41" s="4141"/>
      <c r="AG41" s="4141"/>
      <c r="AH41" s="4141"/>
      <c r="AI41" s="4141"/>
      <c r="AJ41" s="4141"/>
      <c r="AK41" s="4141"/>
      <c r="AL41" s="4142"/>
      <c r="AM41" s="1769"/>
      <c r="AN41" s="1769"/>
    </row>
    <row r="42" spans="1:40" ht="66" customHeight="1" x14ac:dyDescent="0.2">
      <c r="A42" s="752">
        <v>7</v>
      </c>
      <c r="B42" s="686" t="s">
        <v>34</v>
      </c>
      <c r="C42" s="753"/>
      <c r="D42" s="4140" t="s">
        <v>1704</v>
      </c>
      <c r="E42" s="4141"/>
      <c r="F42" s="4141"/>
      <c r="G42" s="4141"/>
      <c r="H42" s="4141"/>
      <c r="I42" s="4141"/>
      <c r="J42" s="4141"/>
      <c r="K42" s="4141"/>
      <c r="L42" s="4141"/>
      <c r="M42" s="4141"/>
      <c r="N42" s="4141"/>
      <c r="O42" s="4141"/>
      <c r="P42" s="4141"/>
      <c r="Q42" s="4141"/>
      <c r="R42" s="4141"/>
      <c r="S42" s="4141"/>
      <c r="T42" s="4141"/>
      <c r="U42" s="4141"/>
      <c r="V42" s="4141"/>
      <c r="W42" s="4141"/>
      <c r="X42" s="4141"/>
      <c r="Y42" s="4141"/>
      <c r="Z42" s="4141"/>
      <c r="AA42" s="4141"/>
      <c r="AB42" s="4141"/>
      <c r="AC42" s="4141"/>
      <c r="AD42" s="4141"/>
      <c r="AE42" s="4141"/>
      <c r="AF42" s="4141"/>
      <c r="AG42" s="4141"/>
      <c r="AH42" s="4141"/>
      <c r="AI42" s="4141"/>
      <c r="AJ42" s="4141"/>
      <c r="AK42" s="4141"/>
      <c r="AL42" s="4142"/>
      <c r="AM42" s="1769"/>
      <c r="AN42" s="1769"/>
    </row>
    <row r="43" spans="1:40" s="685" customFormat="1" ht="31.9" customHeight="1" x14ac:dyDescent="0.2">
      <c r="A43" s="752">
        <v>8</v>
      </c>
      <c r="B43" s="686" t="s">
        <v>31</v>
      </c>
      <c r="C43" s="686"/>
      <c r="D43" s="4140" t="s">
        <v>1705</v>
      </c>
      <c r="E43" s="4141"/>
      <c r="F43" s="4141"/>
      <c r="G43" s="4141"/>
      <c r="H43" s="4141"/>
      <c r="I43" s="4141"/>
      <c r="J43" s="4141"/>
      <c r="K43" s="4141"/>
      <c r="L43" s="4141"/>
      <c r="M43" s="4141"/>
      <c r="N43" s="4141"/>
      <c r="O43" s="4141"/>
      <c r="P43" s="4141"/>
      <c r="Q43" s="4141"/>
      <c r="R43" s="4141"/>
      <c r="S43" s="4141"/>
      <c r="T43" s="4141"/>
      <c r="U43" s="4141"/>
      <c r="V43" s="4141"/>
      <c r="W43" s="4141"/>
      <c r="X43" s="4141"/>
      <c r="Y43" s="4141"/>
      <c r="Z43" s="4141"/>
      <c r="AA43" s="4141"/>
      <c r="AB43" s="4141"/>
      <c r="AC43" s="4141"/>
      <c r="AD43" s="4141"/>
      <c r="AE43" s="4141"/>
      <c r="AF43" s="4141"/>
      <c r="AG43" s="4141"/>
      <c r="AH43" s="4141"/>
      <c r="AI43" s="4141"/>
      <c r="AJ43" s="4141"/>
      <c r="AK43" s="4141"/>
      <c r="AL43" s="4142"/>
      <c r="AM43" s="1769"/>
      <c r="AN43" s="1769"/>
    </row>
    <row r="46" spans="1:40" ht="12.75" x14ac:dyDescent="0.25">
      <c r="E46" s="3600"/>
      <c r="F46" s="3600"/>
      <c r="G46" s="3600"/>
      <c r="H46" s="3600"/>
      <c r="I46" s="3600"/>
      <c r="J46" s="3600"/>
      <c r="K46" s="3600"/>
      <c r="L46" s="3600"/>
      <c r="M46" s="3600"/>
      <c r="N46" s="3600"/>
      <c r="O46" s="3600"/>
      <c r="P46" s="3600"/>
      <c r="Q46" s="3600"/>
      <c r="R46" s="3600"/>
    </row>
    <row r="47" spans="1:40" ht="12.75" x14ac:dyDescent="0.25">
      <c r="E47" s="3601">
        <v>2000</v>
      </c>
      <c r="F47" s="3601">
        <v>2001</v>
      </c>
      <c r="G47" s="3601">
        <v>2002</v>
      </c>
      <c r="H47" s="3601">
        <v>2003</v>
      </c>
      <c r="I47" s="3601">
        <v>2004</v>
      </c>
      <c r="J47" s="3601">
        <v>2005</v>
      </c>
      <c r="K47" s="3601">
        <v>2006</v>
      </c>
      <c r="L47" s="3601">
        <v>2007</v>
      </c>
      <c r="M47" s="3601">
        <v>2008</v>
      </c>
      <c r="N47" s="3601">
        <v>2009</v>
      </c>
      <c r="O47" s="3601">
        <v>2010</v>
      </c>
      <c r="P47" s="3601">
        <v>2011</v>
      </c>
      <c r="Q47" s="3601">
        <v>2012</v>
      </c>
      <c r="R47" s="3601">
        <v>2013</v>
      </c>
      <c r="S47" s="3601">
        <v>2014</v>
      </c>
      <c r="T47" s="3601">
        <v>2015</v>
      </c>
      <c r="U47" s="3601">
        <v>2016</v>
      </c>
      <c r="V47" s="3602">
        <v>2017</v>
      </c>
    </row>
    <row r="48" spans="1:40" ht="11.45" hidden="1" customHeight="1" x14ac:dyDescent="0.25">
      <c r="E48" s="3603"/>
      <c r="F48" s="3603"/>
      <c r="G48" s="3603"/>
      <c r="H48" s="3603"/>
      <c r="I48" s="3603"/>
      <c r="J48" s="3603"/>
      <c r="K48" s="3603"/>
      <c r="L48" s="3603"/>
      <c r="M48" s="3603"/>
      <c r="N48" s="3603"/>
      <c r="O48" s="3603"/>
      <c r="P48" s="3603"/>
      <c r="Q48" s="3603"/>
      <c r="R48" s="3603"/>
      <c r="V48" s="3604"/>
    </row>
    <row r="49" spans="4:22" ht="11.45" hidden="1" customHeight="1" x14ac:dyDescent="0.2">
      <c r="V49" s="3604"/>
    </row>
    <row r="50" spans="4:22" ht="11.45" hidden="1" customHeight="1" x14ac:dyDescent="0.2">
      <c r="V50" s="3604"/>
    </row>
    <row r="51" spans="4:22" ht="11.45" hidden="1" customHeight="1" x14ac:dyDescent="0.2">
      <c r="E51" s="696">
        <v>2000</v>
      </c>
      <c r="F51" s="696">
        <v>2001</v>
      </c>
      <c r="G51" s="696">
        <v>2002</v>
      </c>
      <c r="H51" s="696">
        <v>2003</v>
      </c>
      <c r="I51" s="696">
        <v>2004</v>
      </c>
      <c r="J51" s="696">
        <v>2005</v>
      </c>
      <c r="K51" s="696">
        <v>2006</v>
      </c>
      <c r="L51" s="696">
        <v>2007</v>
      </c>
      <c r="M51" s="696">
        <v>2008</v>
      </c>
      <c r="N51" s="696">
        <v>2009</v>
      </c>
      <c r="O51" s="696">
        <v>2010</v>
      </c>
      <c r="P51" s="696">
        <v>2011</v>
      </c>
      <c r="Q51" s="696">
        <v>2012</v>
      </c>
      <c r="R51" s="696">
        <v>2013</v>
      </c>
      <c r="S51" s="696">
        <v>2014</v>
      </c>
      <c r="V51" s="3604"/>
    </row>
    <row r="52" spans="4:22" ht="11.45" hidden="1" customHeight="1" x14ac:dyDescent="0.2">
      <c r="D52" s="696" t="s">
        <v>1699</v>
      </c>
      <c r="E52" s="696">
        <v>70</v>
      </c>
      <c r="F52" s="696">
        <v>64</v>
      </c>
      <c r="G52" s="696">
        <v>73</v>
      </c>
      <c r="H52" s="696">
        <v>74</v>
      </c>
      <c r="I52" s="696">
        <v>79</v>
      </c>
      <c r="J52" s="696">
        <v>73</v>
      </c>
      <c r="K52" s="696">
        <v>74</v>
      </c>
      <c r="L52" s="696">
        <v>65</v>
      </c>
      <c r="M52" s="696">
        <v>58</v>
      </c>
      <c r="N52" s="696">
        <v>59</v>
      </c>
      <c r="O52" s="696">
        <v>55</v>
      </c>
      <c r="P52" s="696">
        <v>50</v>
      </c>
      <c r="Q52" s="696">
        <v>52</v>
      </c>
      <c r="R52" s="696">
        <v>53</v>
      </c>
      <c r="S52" s="696">
        <v>56</v>
      </c>
      <c r="V52" s="3604"/>
    </row>
    <row r="53" spans="4:22" ht="11.45" hidden="1" customHeight="1" x14ac:dyDescent="0.2">
      <c r="D53" s="696" t="s">
        <v>1706</v>
      </c>
      <c r="I53" s="696">
        <v>10</v>
      </c>
      <c r="J53" s="696">
        <v>34</v>
      </c>
      <c r="K53" s="696">
        <v>2</v>
      </c>
      <c r="L53" s="696">
        <v>32</v>
      </c>
      <c r="M53" s="696">
        <v>27</v>
      </c>
      <c r="N53" s="696">
        <v>107</v>
      </c>
      <c r="O53" s="696">
        <v>111</v>
      </c>
      <c r="P53" s="696">
        <v>82</v>
      </c>
      <c r="Q53" s="696">
        <v>173</v>
      </c>
      <c r="R53" s="696">
        <v>155</v>
      </c>
      <c r="S53" s="696">
        <v>134</v>
      </c>
      <c r="V53" s="3604"/>
    </row>
    <row r="54" spans="4:22" ht="11.45" hidden="1" customHeight="1" x14ac:dyDescent="0.2">
      <c r="V54" s="3604"/>
    </row>
    <row r="55" spans="4:22" ht="11.45" hidden="1" customHeight="1" x14ac:dyDescent="0.2">
      <c r="V55" s="3604"/>
    </row>
    <row r="56" spans="4:22" ht="11.45" hidden="1" customHeight="1" x14ac:dyDescent="0.2">
      <c r="V56" s="3604"/>
    </row>
    <row r="57" spans="4:22" ht="11.45" hidden="1" customHeight="1" x14ac:dyDescent="0.2">
      <c r="V57" s="3604"/>
    </row>
    <row r="58" spans="4:22" ht="11.45" hidden="1" customHeight="1" x14ac:dyDescent="0.2">
      <c r="V58" s="3604"/>
    </row>
    <row r="59" spans="4:22" ht="11.45" hidden="1" customHeight="1" x14ac:dyDescent="0.2">
      <c r="V59" s="3604"/>
    </row>
    <row r="60" spans="4:22" ht="11.45" hidden="1" customHeight="1" x14ac:dyDescent="0.2">
      <c r="V60" s="3604"/>
    </row>
    <row r="61" spans="4:22" ht="11.45" hidden="1" customHeight="1" x14ac:dyDescent="0.2">
      <c r="V61" s="3604"/>
    </row>
    <row r="62" spans="4:22" ht="11.45" hidden="1" customHeight="1" x14ac:dyDescent="0.2">
      <c r="V62" s="3604"/>
    </row>
    <row r="63" spans="4:22" ht="11.45" hidden="1" customHeight="1" x14ac:dyDescent="0.2">
      <c r="V63" s="3604"/>
    </row>
    <row r="64" spans="4:22" ht="11.45" hidden="1" customHeight="1" x14ac:dyDescent="0.2">
      <c r="V64" s="3604"/>
    </row>
    <row r="65" spans="4:35" ht="11.45" hidden="1" customHeight="1" x14ac:dyDescent="0.2">
      <c r="V65" s="3604"/>
    </row>
    <row r="66" spans="4:35" ht="11.45" hidden="1" customHeight="1" x14ac:dyDescent="0.2">
      <c r="V66" s="3604"/>
    </row>
    <row r="67" spans="4:35" ht="11.45" hidden="1" customHeight="1" x14ac:dyDescent="0.2">
      <c r="V67" s="3604"/>
    </row>
    <row r="68" spans="4:35" ht="11.45" hidden="1" customHeight="1" x14ac:dyDescent="0.2">
      <c r="V68" s="3604"/>
    </row>
    <row r="69" spans="4:35" ht="11.45" hidden="1" customHeight="1" x14ac:dyDescent="0.2">
      <c r="V69" s="3604"/>
    </row>
    <row r="70" spans="4:35" ht="11.45" hidden="1" customHeight="1" x14ac:dyDescent="0.2">
      <c r="V70" s="3604"/>
    </row>
    <row r="71" spans="4:35" ht="11.45" hidden="1" customHeight="1" x14ac:dyDescent="0.2">
      <c r="V71" s="3604"/>
    </row>
    <row r="72" spans="4:35" ht="12" hidden="1" customHeight="1" x14ac:dyDescent="0.2">
      <c r="D72" s="3336"/>
      <c r="E72" s="4461">
        <v>2000</v>
      </c>
      <c r="F72" s="4462"/>
      <c r="G72" s="4461">
        <v>2001</v>
      </c>
      <c r="H72" s="4462"/>
      <c r="I72" s="4461">
        <v>2002</v>
      </c>
      <c r="J72" s="4462"/>
      <c r="K72" s="4461">
        <v>2003</v>
      </c>
      <c r="L72" s="4462"/>
      <c r="M72" s="4461">
        <v>2004</v>
      </c>
      <c r="N72" s="4462"/>
      <c r="O72" s="4461">
        <v>2005</v>
      </c>
      <c r="P72" s="4462"/>
      <c r="Q72" s="4461">
        <v>2006</v>
      </c>
      <c r="R72" s="4462"/>
      <c r="S72" s="4463">
        <v>2007</v>
      </c>
      <c r="T72" s="4462"/>
      <c r="U72" s="3336">
        <v>2008</v>
      </c>
      <c r="V72" s="3605">
        <v>2008</v>
      </c>
      <c r="W72" s="3606"/>
      <c r="X72" s="4461">
        <v>2009</v>
      </c>
      <c r="Y72" s="4462"/>
      <c r="Z72" s="4461">
        <v>2010</v>
      </c>
      <c r="AA72" s="4462"/>
      <c r="AB72" s="4461">
        <v>2011</v>
      </c>
      <c r="AC72" s="4462"/>
      <c r="AD72" s="4461">
        <v>2011</v>
      </c>
      <c r="AE72" s="4462"/>
      <c r="AF72" s="4461">
        <v>2011</v>
      </c>
      <c r="AG72" s="4462"/>
      <c r="AH72" s="4461">
        <v>2012</v>
      </c>
      <c r="AI72" s="4462"/>
    </row>
    <row r="73" spans="4:35" ht="11.45" hidden="1" customHeight="1" x14ac:dyDescent="0.2">
      <c r="D73" s="1459"/>
      <c r="E73" s="3607" t="s">
        <v>988</v>
      </c>
      <c r="F73" s="3608" t="s">
        <v>994</v>
      </c>
      <c r="G73" s="3607" t="s">
        <v>988</v>
      </c>
      <c r="H73" s="3608" t="s">
        <v>994</v>
      </c>
      <c r="I73" s="3607" t="s">
        <v>988</v>
      </c>
      <c r="J73" s="3608" t="s">
        <v>994</v>
      </c>
      <c r="K73" s="3607" t="s">
        <v>988</v>
      </c>
      <c r="L73" s="3608" t="s">
        <v>994</v>
      </c>
      <c r="M73" s="3607" t="s">
        <v>988</v>
      </c>
      <c r="N73" s="3608" t="s">
        <v>994</v>
      </c>
      <c r="O73" s="3607" t="s">
        <v>988</v>
      </c>
      <c r="P73" s="3608" t="s">
        <v>994</v>
      </c>
      <c r="Q73" s="3607" t="s">
        <v>988</v>
      </c>
      <c r="R73" s="3608" t="s">
        <v>994</v>
      </c>
      <c r="S73" s="3607" t="s">
        <v>988</v>
      </c>
      <c r="T73" s="3608" t="s">
        <v>994</v>
      </c>
      <c r="U73" s="3607" t="s">
        <v>988</v>
      </c>
      <c r="V73" s="3609" t="s">
        <v>988</v>
      </c>
      <c r="W73" s="3608" t="s">
        <v>994</v>
      </c>
      <c r="X73" s="3607" t="s">
        <v>988</v>
      </c>
      <c r="Y73" s="3608" t="s">
        <v>1370</v>
      </c>
      <c r="Z73" s="3607" t="s">
        <v>1358</v>
      </c>
      <c r="AA73" s="3608" t="s">
        <v>994</v>
      </c>
      <c r="AB73" s="3607" t="s">
        <v>988</v>
      </c>
      <c r="AC73" s="3608" t="s">
        <v>994</v>
      </c>
      <c r="AD73" s="3607" t="s">
        <v>988</v>
      </c>
      <c r="AE73" s="3608" t="s">
        <v>994</v>
      </c>
      <c r="AF73" s="3607" t="s">
        <v>988</v>
      </c>
      <c r="AG73" s="3608" t="s">
        <v>994</v>
      </c>
      <c r="AH73" s="3607" t="s">
        <v>988</v>
      </c>
      <c r="AI73" s="3608" t="s">
        <v>994</v>
      </c>
    </row>
    <row r="74" spans="4:35" ht="11.45" hidden="1" customHeight="1" x14ac:dyDescent="0.2">
      <c r="D74" s="3587" t="s">
        <v>1699</v>
      </c>
      <c r="E74" s="3588">
        <v>72</v>
      </c>
      <c r="F74" s="3589">
        <v>67</v>
      </c>
      <c r="G74" s="3588">
        <v>65</v>
      </c>
      <c r="H74" s="3589">
        <v>63</v>
      </c>
      <c r="I74" s="3588">
        <v>74</v>
      </c>
      <c r="J74" s="3589">
        <v>71</v>
      </c>
      <c r="K74" s="3588">
        <v>75</v>
      </c>
      <c r="L74" s="3589">
        <v>72</v>
      </c>
      <c r="M74" s="3588">
        <v>81</v>
      </c>
      <c r="N74" s="3589">
        <v>77</v>
      </c>
      <c r="O74" s="3588">
        <v>73</v>
      </c>
      <c r="P74" s="3589">
        <v>73</v>
      </c>
      <c r="Q74" s="3588">
        <v>76</v>
      </c>
      <c r="R74" s="3589">
        <v>72</v>
      </c>
      <c r="S74" s="3588">
        <v>68</v>
      </c>
      <c r="T74" s="3589">
        <v>62</v>
      </c>
      <c r="U74" s="3588">
        <v>58</v>
      </c>
      <c r="V74" s="3610">
        <v>58</v>
      </c>
      <c r="W74" s="3589">
        <v>58</v>
      </c>
      <c r="X74" s="3588">
        <v>61</v>
      </c>
      <c r="Y74" s="3589">
        <v>57</v>
      </c>
      <c r="Z74" s="3588">
        <v>56.8</v>
      </c>
      <c r="AA74" s="3589">
        <v>54</v>
      </c>
      <c r="AB74" s="3588">
        <v>48</v>
      </c>
      <c r="AC74" s="3589">
        <v>51</v>
      </c>
      <c r="AD74" s="3588">
        <v>48</v>
      </c>
      <c r="AE74" s="3589">
        <v>51</v>
      </c>
      <c r="AF74" s="3588">
        <v>48</v>
      </c>
      <c r="AG74" s="3589">
        <v>51</v>
      </c>
      <c r="AH74" s="3588">
        <v>53.5</v>
      </c>
      <c r="AI74" s="3589"/>
    </row>
    <row r="75" spans="4:35" ht="11.45" hidden="1" customHeight="1" x14ac:dyDescent="0.2">
      <c r="E75" s="696">
        <f>+AVERAGE(E74:F74)</f>
        <v>69.5</v>
      </c>
      <c r="G75" s="696">
        <f>+AVERAGE(G74:H74)</f>
        <v>64</v>
      </c>
      <c r="I75" s="696">
        <f>+AVERAGE(I74:J74)</f>
        <v>72.5</v>
      </c>
      <c r="K75" s="696">
        <f>+AVERAGE(K74:L74)</f>
        <v>73.5</v>
      </c>
      <c r="M75" s="696">
        <f>+AVERAGE(M74:N74)</f>
        <v>79</v>
      </c>
      <c r="O75" s="696">
        <f>+AVERAGE(O74:P74)</f>
        <v>73</v>
      </c>
      <c r="Q75" s="696">
        <f>+AVERAGE(Q74:R74)</f>
        <v>74</v>
      </c>
      <c r="S75" s="696">
        <f>+AVERAGE(S74:T74)</f>
        <v>65</v>
      </c>
      <c r="U75" s="696">
        <f>+AVERAGE(U74:V74)</f>
        <v>58</v>
      </c>
      <c r="V75" s="3604">
        <f>+AVERAGE(V74:W74)</f>
        <v>58</v>
      </c>
      <c r="X75" s="696">
        <f>+AVERAGE(X74:Y74)</f>
        <v>59</v>
      </c>
      <c r="Z75" s="696">
        <f>+AVERAGE(Z74:AA74)</f>
        <v>55.4</v>
      </c>
      <c r="AB75" s="696">
        <f>+AVERAGE(AB74:AC74)</f>
        <v>49.5</v>
      </c>
      <c r="AD75" s="696">
        <f>+AVERAGE(AD74:AE74)</f>
        <v>49.5</v>
      </c>
      <c r="AF75" s="696">
        <f>+AVERAGE(AF74:AG74)</f>
        <v>49.5</v>
      </c>
      <c r="AH75" s="696">
        <f>+AVERAGE(AH74:AI74)</f>
        <v>53.5</v>
      </c>
    </row>
    <row r="76" spans="4:35" ht="11.45" hidden="1" customHeight="1" x14ac:dyDescent="0.2">
      <c r="V76" s="3604"/>
    </row>
    <row r="77" spans="4:35" ht="11.45" hidden="1" customHeight="1" x14ac:dyDescent="0.2">
      <c r="V77" s="3604"/>
    </row>
    <row r="78" spans="4:35" ht="11.45" hidden="1" customHeight="1" x14ac:dyDescent="0.2">
      <c r="V78" s="3604"/>
    </row>
    <row r="79" spans="4:35" ht="11.45" hidden="1" customHeight="1" x14ac:dyDescent="0.2">
      <c r="V79" s="3604"/>
    </row>
    <row r="80" spans="4:35" ht="11.45" hidden="1" customHeight="1" x14ac:dyDescent="0.2">
      <c r="V80" s="3604"/>
    </row>
    <row r="81" spans="5:31" x14ac:dyDescent="0.2">
      <c r="E81" s="3126">
        <v>69.5</v>
      </c>
      <c r="F81" s="3594">
        <v>64</v>
      </c>
      <c r="G81" s="3126">
        <v>72.5</v>
      </c>
      <c r="H81" s="3594">
        <v>73.5</v>
      </c>
      <c r="I81" s="3126">
        <v>79</v>
      </c>
      <c r="J81" s="3594">
        <v>73</v>
      </c>
      <c r="K81" s="3126">
        <v>74</v>
      </c>
      <c r="L81" s="3594">
        <v>65</v>
      </c>
      <c r="M81" s="3126">
        <v>58</v>
      </c>
      <c r="N81" s="3594">
        <v>59</v>
      </c>
      <c r="O81" s="3126">
        <v>55.4</v>
      </c>
      <c r="P81" s="3594">
        <v>49.5</v>
      </c>
      <c r="Q81" s="3126">
        <v>52.25</v>
      </c>
      <c r="R81" s="3594">
        <v>53</v>
      </c>
      <c r="S81" s="3126">
        <v>56</v>
      </c>
      <c r="T81" s="3594">
        <v>50.5</v>
      </c>
      <c r="U81" s="3126">
        <v>48</v>
      </c>
      <c r="V81" s="3611">
        <v>46</v>
      </c>
    </row>
    <row r="82" spans="5:31" x14ac:dyDescent="0.2">
      <c r="I82" s="3126">
        <v>10</v>
      </c>
      <c r="J82" s="3126">
        <v>34</v>
      </c>
      <c r="K82" s="3126">
        <v>2</v>
      </c>
      <c r="L82" s="3126">
        <v>32</v>
      </c>
      <c r="M82" s="3126">
        <v>27</v>
      </c>
      <c r="N82" s="3126">
        <v>107</v>
      </c>
      <c r="O82" s="3126">
        <v>111</v>
      </c>
      <c r="P82" s="3126">
        <v>82</v>
      </c>
      <c r="Q82" s="3126">
        <v>173</v>
      </c>
      <c r="R82" s="3126">
        <v>155</v>
      </c>
      <c r="S82" s="3126">
        <v>191</v>
      </c>
      <c r="T82" s="3126">
        <v>164</v>
      </c>
      <c r="U82" s="3126">
        <v>137</v>
      </c>
      <c r="V82" s="3611">
        <v>173</v>
      </c>
    </row>
    <row r="83" spans="5:31" x14ac:dyDescent="0.2">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c r="AD83" s="699"/>
      <c r="AE83" s="699"/>
    </row>
    <row r="84" spans="5:31" x14ac:dyDescent="0.2">
      <c r="E84" s="755"/>
      <c r="F84" s="755"/>
      <c r="G84" s="755"/>
      <c r="H84" s="755"/>
      <c r="I84" s="755"/>
      <c r="J84" s="755"/>
      <c r="K84" s="755"/>
      <c r="L84" s="755"/>
      <c r="M84" s="755"/>
      <c r="N84" s="755"/>
      <c r="O84" s="755"/>
      <c r="P84" s="755"/>
      <c r="Q84" s="755"/>
      <c r="R84" s="755"/>
      <c r="S84" s="755"/>
      <c r="T84" s="755"/>
      <c r="U84" s="755"/>
      <c r="V84" s="755"/>
      <c r="W84" s="755"/>
      <c r="X84" s="755"/>
      <c r="Y84" s="755"/>
      <c r="Z84" s="755"/>
      <c r="AA84" s="755"/>
      <c r="AB84" s="755"/>
      <c r="AC84" s="755"/>
      <c r="AD84" s="755"/>
      <c r="AE84" s="699"/>
    </row>
    <row r="85" spans="5:31" x14ac:dyDescent="0.2">
      <c r="E85" s="3612"/>
      <c r="F85" s="3612"/>
      <c r="G85" s="3612"/>
      <c r="H85" s="3612"/>
      <c r="I85" s="3612"/>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699"/>
    </row>
    <row r="86" spans="5:31" x14ac:dyDescent="0.2">
      <c r="E86" s="699"/>
      <c r="F86" s="699"/>
      <c r="G86" s="699"/>
      <c r="H86" s="699"/>
      <c r="I86" s="699"/>
      <c r="J86" s="699"/>
      <c r="K86" s="699"/>
      <c r="L86" s="699"/>
      <c r="M86" s="699"/>
      <c r="N86" s="699"/>
      <c r="O86" s="699"/>
      <c r="P86" s="699"/>
      <c r="Q86" s="699"/>
      <c r="R86" s="699"/>
      <c r="S86" s="699"/>
      <c r="T86" s="699"/>
      <c r="U86" s="699"/>
      <c r="V86" s="699"/>
      <c r="W86" s="699"/>
      <c r="X86" s="699"/>
      <c r="Y86" s="699"/>
      <c r="Z86" s="699"/>
      <c r="AA86" s="699"/>
      <c r="AB86" s="699"/>
      <c r="AC86" s="699"/>
      <c r="AD86" s="699"/>
      <c r="AE86" s="699"/>
    </row>
    <row r="87" spans="5:31" x14ac:dyDescent="0.2">
      <c r="E87" s="699"/>
      <c r="F87" s="699"/>
      <c r="G87" s="699"/>
      <c r="H87" s="699"/>
      <c r="I87" s="699"/>
      <c r="J87" s="699"/>
      <c r="K87" s="699"/>
      <c r="L87" s="699"/>
      <c r="M87" s="699"/>
      <c r="N87" s="699"/>
      <c r="O87" s="699"/>
      <c r="P87" s="699"/>
      <c r="Q87" s="699"/>
      <c r="R87" s="699"/>
      <c r="S87" s="699"/>
      <c r="T87" s="699"/>
      <c r="U87" s="699"/>
      <c r="V87" s="699"/>
      <c r="W87" s="699"/>
      <c r="X87" s="699"/>
      <c r="Y87" s="699"/>
      <c r="Z87" s="699"/>
      <c r="AA87" s="699"/>
      <c r="AB87" s="699"/>
      <c r="AC87" s="699"/>
      <c r="AD87" s="699"/>
      <c r="AE87" s="699"/>
    </row>
  </sheetData>
  <mergeCells count="74">
    <mergeCell ref="O7:P7"/>
    <mergeCell ref="E7:F7"/>
    <mergeCell ref="G7:H7"/>
    <mergeCell ref="I7:J7"/>
    <mergeCell ref="K7:L7"/>
    <mergeCell ref="M7:N7"/>
    <mergeCell ref="AM7:AN7"/>
    <mergeCell ref="Q7:R7"/>
    <mergeCell ref="S7:T7"/>
    <mergeCell ref="U7:V7"/>
    <mergeCell ref="W7:X7"/>
    <mergeCell ref="Y7:Z7"/>
    <mergeCell ref="AA7:AB7"/>
    <mergeCell ref="AC7:AD7"/>
    <mergeCell ref="AE7:AF7"/>
    <mergeCell ref="AG7:AH7"/>
    <mergeCell ref="AI7:AJ7"/>
    <mergeCell ref="AK7:AL7"/>
    <mergeCell ref="E12:F12"/>
    <mergeCell ref="G12:H12"/>
    <mergeCell ref="I12:J12"/>
    <mergeCell ref="K12:L12"/>
    <mergeCell ref="M12:N12"/>
    <mergeCell ref="AK12:AL12"/>
    <mergeCell ref="AM12:AN12"/>
    <mergeCell ref="Q12:R12"/>
    <mergeCell ref="S12:T12"/>
    <mergeCell ref="U12:V12"/>
    <mergeCell ref="W12:X12"/>
    <mergeCell ref="Y12:Z12"/>
    <mergeCell ref="AA12:AB12"/>
    <mergeCell ref="O13:P13"/>
    <mergeCell ref="AC12:AD12"/>
    <mergeCell ref="AE12:AF12"/>
    <mergeCell ref="AG12:AH12"/>
    <mergeCell ref="AI12:AJ12"/>
    <mergeCell ref="O12:P12"/>
    <mergeCell ref="E13:F13"/>
    <mergeCell ref="G13:H13"/>
    <mergeCell ref="I13:J13"/>
    <mergeCell ref="K13:L13"/>
    <mergeCell ref="M13:N13"/>
    <mergeCell ref="Q72:R72"/>
    <mergeCell ref="S72:T72"/>
    <mergeCell ref="X72:Y72"/>
    <mergeCell ref="Z72:AA72"/>
    <mergeCell ref="AM13:AN13"/>
    <mergeCell ref="Q13:R13"/>
    <mergeCell ref="S13:T13"/>
    <mergeCell ref="U13:V13"/>
    <mergeCell ref="W13:X13"/>
    <mergeCell ref="Y13:Z13"/>
    <mergeCell ref="AA13:AB13"/>
    <mergeCell ref="AC13:AD13"/>
    <mergeCell ref="AE13:AF13"/>
    <mergeCell ref="AG13:AH13"/>
    <mergeCell ref="AI13:AJ13"/>
    <mergeCell ref="AK13:AL13"/>
    <mergeCell ref="AB72:AC72"/>
    <mergeCell ref="AD72:AE72"/>
    <mergeCell ref="D2:AN2"/>
    <mergeCell ref="D3:AN3"/>
    <mergeCell ref="D4:AN4"/>
    <mergeCell ref="D41:AL41"/>
    <mergeCell ref="D42:AL42"/>
    <mergeCell ref="D43:AL43"/>
    <mergeCell ref="E72:F72"/>
    <mergeCell ref="G72:H72"/>
    <mergeCell ref="I72:J72"/>
    <mergeCell ref="K72:L72"/>
    <mergeCell ref="M72:N72"/>
    <mergeCell ref="O72:P72"/>
    <mergeCell ref="AF72:AG72"/>
    <mergeCell ref="AH72:AI72"/>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99"/>
    <pageSetUpPr fitToPage="1"/>
  </sheetPr>
  <dimension ref="A1:AK40"/>
  <sheetViews>
    <sheetView showGridLines="0" view="pageBreakPreview" topLeftCell="B1" zoomScaleNormal="100" zoomScaleSheetLayoutView="100" workbookViewId="0">
      <selection activeCell="D39" sqref="D39:Q39"/>
    </sheetView>
  </sheetViews>
  <sheetFormatPr defaultColWidth="9.140625" defaultRowHeight="12" x14ac:dyDescent="0.2"/>
  <cols>
    <col min="1" max="1" width="3.7109375" style="3024" customWidth="1"/>
    <col min="2" max="2" width="14.42578125" style="3025" customWidth="1"/>
    <col min="3" max="3" width="3.7109375" style="3025" customWidth="1"/>
    <col min="4" max="4" width="22.5703125" style="733" customWidth="1"/>
    <col min="5" max="13" width="10.5703125" style="733" customWidth="1"/>
    <col min="14" max="14" width="11" style="733" customWidth="1"/>
    <col min="15" max="16" width="9" style="733" customWidth="1"/>
    <col min="17" max="17" width="10.85546875" style="733" customWidth="1"/>
    <col min="18" max="18" width="0.28515625" style="733" hidden="1" customWidth="1"/>
    <col min="19" max="36" width="9.140625" style="733" hidden="1" customWidth="1"/>
    <col min="37" max="37" width="1.5703125" style="733" hidden="1" customWidth="1"/>
    <col min="38" max="259" width="9.140625" style="733"/>
    <col min="260" max="260" width="3.7109375" style="733" customWidth="1"/>
    <col min="261" max="261" width="14.42578125" style="733" customWidth="1"/>
    <col min="262" max="262" width="3.7109375" style="733" customWidth="1"/>
    <col min="263" max="263" width="22.5703125" style="733" customWidth="1"/>
    <col min="264" max="270" width="10.5703125" style="733" customWidth="1"/>
    <col min="271" max="271" width="18.5703125" style="733" customWidth="1"/>
    <col min="272" max="272" width="9" style="733" customWidth="1"/>
    <col min="273" max="273" width="9.140625" style="733"/>
    <col min="274" max="274" width="13.140625" style="733" customWidth="1"/>
    <col min="275" max="275" width="9.140625" style="733"/>
    <col min="276" max="276" width="22.7109375" style="733" customWidth="1"/>
    <col min="277" max="515" width="9.140625" style="733"/>
    <col min="516" max="516" width="3.7109375" style="733" customWidth="1"/>
    <col min="517" max="517" width="14.42578125" style="733" customWidth="1"/>
    <col min="518" max="518" width="3.7109375" style="733" customWidth="1"/>
    <col min="519" max="519" width="22.5703125" style="733" customWidth="1"/>
    <col min="520" max="526" width="10.5703125" style="733" customWidth="1"/>
    <col min="527" max="527" width="18.5703125" style="733" customWidth="1"/>
    <col min="528" max="528" width="9" style="733" customWidth="1"/>
    <col min="529" max="529" width="9.140625" style="733"/>
    <col min="530" max="530" width="13.140625" style="733" customWidth="1"/>
    <col min="531" max="531" width="9.140625" style="733"/>
    <col min="532" max="532" width="22.7109375" style="733" customWidth="1"/>
    <col min="533" max="771" width="9.140625" style="733"/>
    <col min="772" max="772" width="3.7109375" style="733" customWidth="1"/>
    <col min="773" max="773" width="14.42578125" style="733" customWidth="1"/>
    <col min="774" max="774" width="3.7109375" style="733" customWidth="1"/>
    <col min="775" max="775" width="22.5703125" style="733" customWidth="1"/>
    <col min="776" max="782" width="10.5703125" style="733" customWidth="1"/>
    <col min="783" max="783" width="18.5703125" style="733" customWidth="1"/>
    <col min="784" max="784" width="9" style="733" customWidth="1"/>
    <col min="785" max="785" width="9.140625" style="733"/>
    <col min="786" max="786" width="13.140625" style="733" customWidth="1"/>
    <col min="787" max="787" width="9.140625" style="733"/>
    <col min="788" max="788" width="22.7109375" style="733" customWidth="1"/>
    <col min="789" max="1027" width="9.140625" style="733"/>
    <col min="1028" max="1028" width="3.7109375" style="733" customWidth="1"/>
    <col min="1029" max="1029" width="14.42578125" style="733" customWidth="1"/>
    <col min="1030" max="1030" width="3.7109375" style="733" customWidth="1"/>
    <col min="1031" max="1031" width="22.5703125" style="733" customWidth="1"/>
    <col min="1032" max="1038" width="10.5703125" style="733" customWidth="1"/>
    <col min="1039" max="1039" width="18.5703125" style="733" customWidth="1"/>
    <col min="1040" max="1040" width="9" style="733" customWidth="1"/>
    <col min="1041" max="1041" width="9.140625" style="733"/>
    <col min="1042" max="1042" width="13.140625" style="733" customWidth="1"/>
    <col min="1043" max="1043" width="9.140625" style="733"/>
    <col min="1044" max="1044" width="22.7109375" style="733" customWidth="1"/>
    <col min="1045" max="1283" width="9.140625" style="733"/>
    <col min="1284" max="1284" width="3.7109375" style="733" customWidth="1"/>
    <col min="1285" max="1285" width="14.42578125" style="733" customWidth="1"/>
    <col min="1286" max="1286" width="3.7109375" style="733" customWidth="1"/>
    <col min="1287" max="1287" width="22.5703125" style="733" customWidth="1"/>
    <col min="1288" max="1294" width="10.5703125" style="733" customWidth="1"/>
    <col min="1295" max="1295" width="18.5703125" style="733" customWidth="1"/>
    <col min="1296" max="1296" width="9" style="733" customWidth="1"/>
    <col min="1297" max="1297" width="9.140625" style="733"/>
    <col min="1298" max="1298" width="13.140625" style="733" customWidth="1"/>
    <col min="1299" max="1299" width="9.140625" style="733"/>
    <col min="1300" max="1300" width="22.7109375" style="733" customWidth="1"/>
    <col min="1301" max="1539" width="9.140625" style="733"/>
    <col min="1540" max="1540" width="3.7109375" style="733" customWidth="1"/>
    <col min="1541" max="1541" width="14.42578125" style="733" customWidth="1"/>
    <col min="1542" max="1542" width="3.7109375" style="733" customWidth="1"/>
    <col min="1543" max="1543" width="22.5703125" style="733" customWidth="1"/>
    <col min="1544" max="1550" width="10.5703125" style="733" customWidth="1"/>
    <col min="1551" max="1551" width="18.5703125" style="733" customWidth="1"/>
    <col min="1552" max="1552" width="9" style="733" customWidth="1"/>
    <col min="1553" max="1553" width="9.140625" style="733"/>
    <col min="1554" max="1554" width="13.140625" style="733" customWidth="1"/>
    <col min="1555" max="1555" width="9.140625" style="733"/>
    <col min="1556" max="1556" width="22.7109375" style="733" customWidth="1"/>
    <col min="1557" max="1795" width="9.140625" style="733"/>
    <col min="1796" max="1796" width="3.7109375" style="733" customWidth="1"/>
    <col min="1797" max="1797" width="14.42578125" style="733" customWidth="1"/>
    <col min="1798" max="1798" width="3.7109375" style="733" customWidth="1"/>
    <col min="1799" max="1799" width="22.5703125" style="733" customWidth="1"/>
    <col min="1800" max="1806" width="10.5703125" style="733" customWidth="1"/>
    <col min="1807" max="1807" width="18.5703125" style="733" customWidth="1"/>
    <col min="1808" max="1808" width="9" style="733" customWidth="1"/>
    <col min="1809" max="1809" width="9.140625" style="733"/>
    <col min="1810" max="1810" width="13.140625" style="733" customWidth="1"/>
    <col min="1811" max="1811" width="9.140625" style="733"/>
    <col min="1812" max="1812" width="22.7109375" style="733" customWidth="1"/>
    <col min="1813" max="2051" width="9.140625" style="733"/>
    <col min="2052" max="2052" width="3.7109375" style="733" customWidth="1"/>
    <col min="2053" max="2053" width="14.42578125" style="733" customWidth="1"/>
    <col min="2054" max="2054" width="3.7109375" style="733" customWidth="1"/>
    <col min="2055" max="2055" width="22.5703125" style="733" customWidth="1"/>
    <col min="2056" max="2062" width="10.5703125" style="733" customWidth="1"/>
    <col min="2063" max="2063" width="18.5703125" style="733" customWidth="1"/>
    <col min="2064" max="2064" width="9" style="733" customWidth="1"/>
    <col min="2065" max="2065" width="9.140625" style="733"/>
    <col min="2066" max="2066" width="13.140625" style="733" customWidth="1"/>
    <col min="2067" max="2067" width="9.140625" style="733"/>
    <col min="2068" max="2068" width="22.7109375" style="733" customWidth="1"/>
    <col min="2069" max="2307" width="9.140625" style="733"/>
    <col min="2308" max="2308" width="3.7109375" style="733" customWidth="1"/>
    <col min="2309" max="2309" width="14.42578125" style="733" customWidth="1"/>
    <col min="2310" max="2310" width="3.7109375" style="733" customWidth="1"/>
    <col min="2311" max="2311" width="22.5703125" style="733" customWidth="1"/>
    <col min="2312" max="2318" width="10.5703125" style="733" customWidth="1"/>
    <col min="2319" max="2319" width="18.5703125" style="733" customWidth="1"/>
    <col min="2320" max="2320" width="9" style="733" customWidth="1"/>
    <col min="2321" max="2321" width="9.140625" style="733"/>
    <col min="2322" max="2322" width="13.140625" style="733" customWidth="1"/>
    <col min="2323" max="2323" width="9.140625" style="733"/>
    <col min="2324" max="2324" width="22.7109375" style="733" customWidth="1"/>
    <col min="2325" max="2563" width="9.140625" style="733"/>
    <col min="2564" max="2564" width="3.7109375" style="733" customWidth="1"/>
    <col min="2565" max="2565" width="14.42578125" style="733" customWidth="1"/>
    <col min="2566" max="2566" width="3.7109375" style="733" customWidth="1"/>
    <col min="2567" max="2567" width="22.5703125" style="733" customWidth="1"/>
    <col min="2568" max="2574" width="10.5703125" style="733" customWidth="1"/>
    <col min="2575" max="2575" width="18.5703125" style="733" customWidth="1"/>
    <col min="2576" max="2576" width="9" style="733" customWidth="1"/>
    <col min="2577" max="2577" width="9.140625" style="733"/>
    <col min="2578" max="2578" width="13.140625" style="733" customWidth="1"/>
    <col min="2579" max="2579" width="9.140625" style="733"/>
    <col min="2580" max="2580" width="22.7109375" style="733" customWidth="1"/>
    <col min="2581" max="2819" width="9.140625" style="733"/>
    <col min="2820" max="2820" width="3.7109375" style="733" customWidth="1"/>
    <col min="2821" max="2821" width="14.42578125" style="733" customWidth="1"/>
    <col min="2822" max="2822" width="3.7109375" style="733" customWidth="1"/>
    <col min="2823" max="2823" width="22.5703125" style="733" customWidth="1"/>
    <col min="2824" max="2830" width="10.5703125" style="733" customWidth="1"/>
    <col min="2831" max="2831" width="18.5703125" style="733" customWidth="1"/>
    <col min="2832" max="2832" width="9" style="733" customWidth="1"/>
    <col min="2833" max="2833" width="9.140625" style="733"/>
    <col min="2834" max="2834" width="13.140625" style="733" customWidth="1"/>
    <col min="2835" max="2835" width="9.140625" style="733"/>
    <col min="2836" max="2836" width="22.7109375" style="733" customWidth="1"/>
    <col min="2837" max="3075" width="9.140625" style="733"/>
    <col min="3076" max="3076" width="3.7109375" style="733" customWidth="1"/>
    <col min="3077" max="3077" width="14.42578125" style="733" customWidth="1"/>
    <col min="3078" max="3078" width="3.7109375" style="733" customWidth="1"/>
    <col min="3079" max="3079" width="22.5703125" style="733" customWidth="1"/>
    <col min="3080" max="3086" width="10.5703125" style="733" customWidth="1"/>
    <col min="3087" max="3087" width="18.5703125" style="733" customWidth="1"/>
    <col min="3088" max="3088" width="9" style="733" customWidth="1"/>
    <col min="3089" max="3089" width="9.140625" style="733"/>
    <col min="3090" max="3090" width="13.140625" style="733" customWidth="1"/>
    <col min="3091" max="3091" width="9.140625" style="733"/>
    <col min="3092" max="3092" width="22.7109375" style="733" customWidth="1"/>
    <col min="3093" max="3331" width="9.140625" style="733"/>
    <col min="3332" max="3332" width="3.7109375" style="733" customWidth="1"/>
    <col min="3333" max="3333" width="14.42578125" style="733" customWidth="1"/>
    <col min="3334" max="3334" width="3.7109375" style="733" customWidth="1"/>
    <col min="3335" max="3335" width="22.5703125" style="733" customWidth="1"/>
    <col min="3336" max="3342" width="10.5703125" style="733" customWidth="1"/>
    <col min="3343" max="3343" width="18.5703125" style="733" customWidth="1"/>
    <col min="3344" max="3344" width="9" style="733" customWidth="1"/>
    <col min="3345" max="3345" width="9.140625" style="733"/>
    <col min="3346" max="3346" width="13.140625" style="733" customWidth="1"/>
    <col min="3347" max="3347" width="9.140625" style="733"/>
    <col min="3348" max="3348" width="22.7109375" style="733" customWidth="1"/>
    <col min="3349" max="3587" width="9.140625" style="733"/>
    <col min="3588" max="3588" width="3.7109375" style="733" customWidth="1"/>
    <col min="3589" max="3589" width="14.42578125" style="733" customWidth="1"/>
    <col min="3590" max="3590" width="3.7109375" style="733" customWidth="1"/>
    <col min="3591" max="3591" width="22.5703125" style="733" customWidth="1"/>
    <col min="3592" max="3598" width="10.5703125" style="733" customWidth="1"/>
    <col min="3599" max="3599" width="18.5703125" style="733" customWidth="1"/>
    <col min="3600" max="3600" width="9" style="733" customWidth="1"/>
    <col min="3601" max="3601" width="9.140625" style="733"/>
    <col min="3602" max="3602" width="13.140625" style="733" customWidth="1"/>
    <col min="3603" max="3603" width="9.140625" style="733"/>
    <col min="3604" max="3604" width="22.7109375" style="733" customWidth="1"/>
    <col min="3605" max="3843" width="9.140625" style="733"/>
    <col min="3844" max="3844" width="3.7109375" style="733" customWidth="1"/>
    <col min="3845" max="3845" width="14.42578125" style="733" customWidth="1"/>
    <col min="3846" max="3846" width="3.7109375" style="733" customWidth="1"/>
    <col min="3847" max="3847" width="22.5703125" style="733" customWidth="1"/>
    <col min="3848" max="3854" width="10.5703125" style="733" customWidth="1"/>
    <col min="3855" max="3855" width="18.5703125" style="733" customWidth="1"/>
    <col min="3856" max="3856" width="9" style="733" customWidth="1"/>
    <col min="3857" max="3857" width="9.140625" style="733"/>
    <col min="3858" max="3858" width="13.140625" style="733" customWidth="1"/>
    <col min="3859" max="3859" width="9.140625" style="733"/>
    <col min="3860" max="3860" width="22.7109375" style="733" customWidth="1"/>
    <col min="3861" max="4099" width="9.140625" style="733"/>
    <col min="4100" max="4100" width="3.7109375" style="733" customWidth="1"/>
    <col min="4101" max="4101" width="14.42578125" style="733" customWidth="1"/>
    <col min="4102" max="4102" width="3.7109375" style="733" customWidth="1"/>
    <col min="4103" max="4103" width="22.5703125" style="733" customWidth="1"/>
    <col min="4104" max="4110" width="10.5703125" style="733" customWidth="1"/>
    <col min="4111" max="4111" width="18.5703125" style="733" customWidth="1"/>
    <col min="4112" max="4112" width="9" style="733" customWidth="1"/>
    <col min="4113" max="4113" width="9.140625" style="733"/>
    <col min="4114" max="4114" width="13.140625" style="733" customWidth="1"/>
    <col min="4115" max="4115" width="9.140625" style="733"/>
    <col min="4116" max="4116" width="22.7109375" style="733" customWidth="1"/>
    <col min="4117" max="4355" width="9.140625" style="733"/>
    <col min="4356" max="4356" width="3.7109375" style="733" customWidth="1"/>
    <col min="4357" max="4357" width="14.42578125" style="733" customWidth="1"/>
    <col min="4358" max="4358" width="3.7109375" style="733" customWidth="1"/>
    <col min="4359" max="4359" width="22.5703125" style="733" customWidth="1"/>
    <col min="4360" max="4366" width="10.5703125" style="733" customWidth="1"/>
    <col min="4367" max="4367" width="18.5703125" style="733" customWidth="1"/>
    <col min="4368" max="4368" width="9" style="733" customWidth="1"/>
    <col min="4369" max="4369" width="9.140625" style="733"/>
    <col min="4370" max="4370" width="13.140625" style="733" customWidth="1"/>
    <col min="4371" max="4371" width="9.140625" style="733"/>
    <col min="4372" max="4372" width="22.7109375" style="733" customWidth="1"/>
    <col min="4373" max="4611" width="9.140625" style="733"/>
    <col min="4612" max="4612" width="3.7109375" style="733" customWidth="1"/>
    <col min="4613" max="4613" width="14.42578125" style="733" customWidth="1"/>
    <col min="4614" max="4614" width="3.7109375" style="733" customWidth="1"/>
    <col min="4615" max="4615" width="22.5703125" style="733" customWidth="1"/>
    <col min="4616" max="4622" width="10.5703125" style="733" customWidth="1"/>
    <col min="4623" max="4623" width="18.5703125" style="733" customWidth="1"/>
    <col min="4624" max="4624" width="9" style="733" customWidth="1"/>
    <col min="4625" max="4625" width="9.140625" style="733"/>
    <col min="4626" max="4626" width="13.140625" style="733" customWidth="1"/>
    <col min="4627" max="4627" width="9.140625" style="733"/>
    <col min="4628" max="4628" width="22.7109375" style="733" customWidth="1"/>
    <col min="4629" max="4867" width="9.140625" style="733"/>
    <col min="4868" max="4868" width="3.7109375" style="733" customWidth="1"/>
    <col min="4869" max="4869" width="14.42578125" style="733" customWidth="1"/>
    <col min="4870" max="4870" width="3.7109375" style="733" customWidth="1"/>
    <col min="4871" max="4871" width="22.5703125" style="733" customWidth="1"/>
    <col min="4872" max="4878" width="10.5703125" style="733" customWidth="1"/>
    <col min="4879" max="4879" width="18.5703125" style="733" customWidth="1"/>
    <col min="4880" max="4880" width="9" style="733" customWidth="1"/>
    <col min="4881" max="4881" width="9.140625" style="733"/>
    <col min="4882" max="4882" width="13.140625" style="733" customWidth="1"/>
    <col min="4883" max="4883" width="9.140625" style="733"/>
    <col min="4884" max="4884" width="22.7109375" style="733" customWidth="1"/>
    <col min="4885" max="5123" width="9.140625" style="733"/>
    <col min="5124" max="5124" width="3.7109375" style="733" customWidth="1"/>
    <col min="5125" max="5125" width="14.42578125" style="733" customWidth="1"/>
    <col min="5126" max="5126" width="3.7109375" style="733" customWidth="1"/>
    <col min="5127" max="5127" width="22.5703125" style="733" customWidth="1"/>
    <col min="5128" max="5134" width="10.5703125" style="733" customWidth="1"/>
    <col min="5135" max="5135" width="18.5703125" style="733" customWidth="1"/>
    <col min="5136" max="5136" width="9" style="733" customWidth="1"/>
    <col min="5137" max="5137" width="9.140625" style="733"/>
    <col min="5138" max="5138" width="13.140625" style="733" customWidth="1"/>
    <col min="5139" max="5139" width="9.140625" style="733"/>
    <col min="5140" max="5140" width="22.7109375" style="733" customWidth="1"/>
    <col min="5141" max="5379" width="9.140625" style="733"/>
    <col min="5380" max="5380" width="3.7109375" style="733" customWidth="1"/>
    <col min="5381" max="5381" width="14.42578125" style="733" customWidth="1"/>
    <col min="5382" max="5382" width="3.7109375" style="733" customWidth="1"/>
    <col min="5383" max="5383" width="22.5703125" style="733" customWidth="1"/>
    <col min="5384" max="5390" width="10.5703125" style="733" customWidth="1"/>
    <col min="5391" max="5391" width="18.5703125" style="733" customWidth="1"/>
    <col min="5392" max="5392" width="9" style="733" customWidth="1"/>
    <col min="5393" max="5393" width="9.140625" style="733"/>
    <col min="5394" max="5394" width="13.140625" style="733" customWidth="1"/>
    <col min="5395" max="5395" width="9.140625" style="733"/>
    <col min="5396" max="5396" width="22.7109375" style="733" customWidth="1"/>
    <col min="5397" max="5635" width="9.140625" style="733"/>
    <col min="5636" max="5636" width="3.7109375" style="733" customWidth="1"/>
    <col min="5637" max="5637" width="14.42578125" style="733" customWidth="1"/>
    <col min="5638" max="5638" width="3.7109375" style="733" customWidth="1"/>
    <col min="5639" max="5639" width="22.5703125" style="733" customWidth="1"/>
    <col min="5640" max="5646" width="10.5703125" style="733" customWidth="1"/>
    <col min="5647" max="5647" width="18.5703125" style="733" customWidth="1"/>
    <col min="5648" max="5648" width="9" style="733" customWidth="1"/>
    <col min="5649" max="5649" width="9.140625" style="733"/>
    <col min="5650" max="5650" width="13.140625" style="733" customWidth="1"/>
    <col min="5651" max="5651" width="9.140625" style="733"/>
    <col min="5652" max="5652" width="22.7109375" style="733" customWidth="1"/>
    <col min="5653" max="5891" width="9.140625" style="733"/>
    <col min="5892" max="5892" width="3.7109375" style="733" customWidth="1"/>
    <col min="5893" max="5893" width="14.42578125" style="733" customWidth="1"/>
    <col min="5894" max="5894" width="3.7109375" style="733" customWidth="1"/>
    <col min="5895" max="5895" width="22.5703125" style="733" customWidth="1"/>
    <col min="5896" max="5902" width="10.5703125" style="733" customWidth="1"/>
    <col min="5903" max="5903" width="18.5703125" style="733" customWidth="1"/>
    <col min="5904" max="5904" width="9" style="733" customWidth="1"/>
    <col min="5905" max="5905" width="9.140625" style="733"/>
    <col min="5906" max="5906" width="13.140625" style="733" customWidth="1"/>
    <col min="5907" max="5907" width="9.140625" style="733"/>
    <col min="5908" max="5908" width="22.7109375" style="733" customWidth="1"/>
    <col min="5909" max="6147" width="9.140625" style="733"/>
    <col min="6148" max="6148" width="3.7109375" style="733" customWidth="1"/>
    <col min="6149" max="6149" width="14.42578125" style="733" customWidth="1"/>
    <col min="6150" max="6150" width="3.7109375" style="733" customWidth="1"/>
    <col min="6151" max="6151" width="22.5703125" style="733" customWidth="1"/>
    <col min="6152" max="6158" width="10.5703125" style="733" customWidth="1"/>
    <col min="6159" max="6159" width="18.5703125" style="733" customWidth="1"/>
    <col min="6160" max="6160" width="9" style="733" customWidth="1"/>
    <col min="6161" max="6161" width="9.140625" style="733"/>
    <col min="6162" max="6162" width="13.140625" style="733" customWidth="1"/>
    <col min="6163" max="6163" width="9.140625" style="733"/>
    <col min="6164" max="6164" width="22.7109375" style="733" customWidth="1"/>
    <col min="6165" max="6403" width="9.140625" style="733"/>
    <col min="6404" max="6404" width="3.7109375" style="733" customWidth="1"/>
    <col min="6405" max="6405" width="14.42578125" style="733" customWidth="1"/>
    <col min="6406" max="6406" width="3.7109375" style="733" customWidth="1"/>
    <col min="6407" max="6407" width="22.5703125" style="733" customWidth="1"/>
    <col min="6408" max="6414" width="10.5703125" style="733" customWidth="1"/>
    <col min="6415" max="6415" width="18.5703125" style="733" customWidth="1"/>
    <col min="6416" max="6416" width="9" style="733" customWidth="1"/>
    <col min="6417" max="6417" width="9.140625" style="733"/>
    <col min="6418" max="6418" width="13.140625" style="733" customWidth="1"/>
    <col min="6419" max="6419" width="9.140625" style="733"/>
    <col min="6420" max="6420" width="22.7109375" style="733" customWidth="1"/>
    <col min="6421" max="6659" width="9.140625" style="733"/>
    <col min="6660" max="6660" width="3.7109375" style="733" customWidth="1"/>
    <col min="6661" max="6661" width="14.42578125" style="733" customWidth="1"/>
    <col min="6662" max="6662" width="3.7109375" style="733" customWidth="1"/>
    <col min="6663" max="6663" width="22.5703125" style="733" customWidth="1"/>
    <col min="6664" max="6670" width="10.5703125" style="733" customWidth="1"/>
    <col min="6671" max="6671" width="18.5703125" style="733" customWidth="1"/>
    <col min="6672" max="6672" width="9" style="733" customWidth="1"/>
    <col min="6673" max="6673" width="9.140625" style="733"/>
    <col min="6674" max="6674" width="13.140625" style="733" customWidth="1"/>
    <col min="6675" max="6675" width="9.140625" style="733"/>
    <col min="6676" max="6676" width="22.7109375" style="733" customWidth="1"/>
    <col min="6677" max="6915" width="9.140625" style="733"/>
    <col min="6916" max="6916" width="3.7109375" style="733" customWidth="1"/>
    <col min="6917" max="6917" width="14.42578125" style="733" customWidth="1"/>
    <col min="6918" max="6918" width="3.7109375" style="733" customWidth="1"/>
    <col min="6919" max="6919" width="22.5703125" style="733" customWidth="1"/>
    <col min="6920" max="6926" width="10.5703125" style="733" customWidth="1"/>
    <col min="6927" max="6927" width="18.5703125" style="733" customWidth="1"/>
    <col min="6928" max="6928" width="9" style="733" customWidth="1"/>
    <col min="6929" max="6929" width="9.140625" style="733"/>
    <col min="6930" max="6930" width="13.140625" style="733" customWidth="1"/>
    <col min="6931" max="6931" width="9.140625" style="733"/>
    <col min="6932" max="6932" width="22.7109375" style="733" customWidth="1"/>
    <col min="6933" max="7171" width="9.140625" style="733"/>
    <col min="7172" max="7172" width="3.7109375" style="733" customWidth="1"/>
    <col min="7173" max="7173" width="14.42578125" style="733" customWidth="1"/>
    <col min="7174" max="7174" width="3.7109375" style="733" customWidth="1"/>
    <col min="7175" max="7175" width="22.5703125" style="733" customWidth="1"/>
    <col min="7176" max="7182" width="10.5703125" style="733" customWidth="1"/>
    <col min="7183" max="7183" width="18.5703125" style="733" customWidth="1"/>
    <col min="7184" max="7184" width="9" style="733" customWidth="1"/>
    <col min="7185" max="7185" width="9.140625" style="733"/>
    <col min="7186" max="7186" width="13.140625" style="733" customWidth="1"/>
    <col min="7187" max="7187" width="9.140625" style="733"/>
    <col min="7188" max="7188" width="22.7109375" style="733" customWidth="1"/>
    <col min="7189" max="7427" width="9.140625" style="733"/>
    <col min="7428" max="7428" width="3.7109375" style="733" customWidth="1"/>
    <col min="7429" max="7429" width="14.42578125" style="733" customWidth="1"/>
    <col min="7430" max="7430" width="3.7109375" style="733" customWidth="1"/>
    <col min="7431" max="7431" width="22.5703125" style="733" customWidth="1"/>
    <col min="7432" max="7438" width="10.5703125" style="733" customWidth="1"/>
    <col min="7439" max="7439" width="18.5703125" style="733" customWidth="1"/>
    <col min="7440" max="7440" width="9" style="733" customWidth="1"/>
    <col min="7441" max="7441" width="9.140625" style="733"/>
    <col min="7442" max="7442" width="13.140625" style="733" customWidth="1"/>
    <col min="7443" max="7443" width="9.140625" style="733"/>
    <col min="7444" max="7444" width="22.7109375" style="733" customWidth="1"/>
    <col min="7445" max="7683" width="9.140625" style="733"/>
    <col min="7684" max="7684" width="3.7109375" style="733" customWidth="1"/>
    <col min="7685" max="7685" width="14.42578125" style="733" customWidth="1"/>
    <col min="7686" max="7686" width="3.7109375" style="733" customWidth="1"/>
    <col min="7687" max="7687" width="22.5703125" style="733" customWidth="1"/>
    <col min="7688" max="7694" width="10.5703125" style="733" customWidth="1"/>
    <col min="7695" max="7695" width="18.5703125" style="733" customWidth="1"/>
    <col min="7696" max="7696" width="9" style="733" customWidth="1"/>
    <col min="7697" max="7697" width="9.140625" style="733"/>
    <col min="7698" max="7698" width="13.140625" style="733" customWidth="1"/>
    <col min="7699" max="7699" width="9.140625" style="733"/>
    <col min="7700" max="7700" width="22.7109375" style="733" customWidth="1"/>
    <col min="7701" max="7939" width="9.140625" style="733"/>
    <col min="7940" max="7940" width="3.7109375" style="733" customWidth="1"/>
    <col min="7941" max="7941" width="14.42578125" style="733" customWidth="1"/>
    <col min="7942" max="7942" width="3.7109375" style="733" customWidth="1"/>
    <col min="7943" max="7943" width="22.5703125" style="733" customWidth="1"/>
    <col min="7944" max="7950" width="10.5703125" style="733" customWidth="1"/>
    <col min="7951" max="7951" width="18.5703125" style="733" customWidth="1"/>
    <col min="7952" max="7952" width="9" style="733" customWidth="1"/>
    <col min="7953" max="7953" width="9.140625" style="733"/>
    <col min="7954" max="7954" width="13.140625" style="733" customWidth="1"/>
    <col min="7955" max="7955" width="9.140625" style="733"/>
    <col min="7956" max="7956" width="22.7109375" style="733" customWidth="1"/>
    <col min="7957" max="8195" width="9.140625" style="733"/>
    <col min="8196" max="8196" width="3.7109375" style="733" customWidth="1"/>
    <col min="8197" max="8197" width="14.42578125" style="733" customWidth="1"/>
    <col min="8198" max="8198" width="3.7109375" style="733" customWidth="1"/>
    <col min="8199" max="8199" width="22.5703125" style="733" customWidth="1"/>
    <col min="8200" max="8206" width="10.5703125" style="733" customWidth="1"/>
    <col min="8207" max="8207" width="18.5703125" style="733" customWidth="1"/>
    <col min="8208" max="8208" width="9" style="733" customWidth="1"/>
    <col min="8209" max="8209" width="9.140625" style="733"/>
    <col min="8210" max="8210" width="13.140625" style="733" customWidth="1"/>
    <col min="8211" max="8211" width="9.140625" style="733"/>
    <col min="8212" max="8212" width="22.7109375" style="733" customWidth="1"/>
    <col min="8213" max="8451" width="9.140625" style="733"/>
    <col min="8452" max="8452" width="3.7109375" style="733" customWidth="1"/>
    <col min="8453" max="8453" width="14.42578125" style="733" customWidth="1"/>
    <col min="8454" max="8454" width="3.7109375" style="733" customWidth="1"/>
    <col min="8455" max="8455" width="22.5703125" style="733" customWidth="1"/>
    <col min="8456" max="8462" width="10.5703125" style="733" customWidth="1"/>
    <col min="8463" max="8463" width="18.5703125" style="733" customWidth="1"/>
    <col min="8464" max="8464" width="9" style="733" customWidth="1"/>
    <col min="8465" max="8465" width="9.140625" style="733"/>
    <col min="8466" max="8466" width="13.140625" style="733" customWidth="1"/>
    <col min="8467" max="8467" width="9.140625" style="733"/>
    <col min="8468" max="8468" width="22.7109375" style="733" customWidth="1"/>
    <col min="8469" max="8707" width="9.140625" style="733"/>
    <col min="8708" max="8708" width="3.7109375" style="733" customWidth="1"/>
    <col min="8709" max="8709" width="14.42578125" style="733" customWidth="1"/>
    <col min="8710" max="8710" width="3.7109375" style="733" customWidth="1"/>
    <col min="8711" max="8711" width="22.5703125" style="733" customWidth="1"/>
    <col min="8712" max="8718" width="10.5703125" style="733" customWidth="1"/>
    <col min="8719" max="8719" width="18.5703125" style="733" customWidth="1"/>
    <col min="8720" max="8720" width="9" style="733" customWidth="1"/>
    <col min="8721" max="8721" width="9.140625" style="733"/>
    <col min="8722" max="8722" width="13.140625" style="733" customWidth="1"/>
    <col min="8723" max="8723" width="9.140625" style="733"/>
    <col min="8724" max="8724" width="22.7109375" style="733" customWidth="1"/>
    <col min="8725" max="8963" width="9.140625" style="733"/>
    <col min="8964" max="8964" width="3.7109375" style="733" customWidth="1"/>
    <col min="8965" max="8965" width="14.42578125" style="733" customWidth="1"/>
    <col min="8966" max="8966" width="3.7109375" style="733" customWidth="1"/>
    <col min="8967" max="8967" width="22.5703125" style="733" customWidth="1"/>
    <col min="8968" max="8974" width="10.5703125" style="733" customWidth="1"/>
    <col min="8975" max="8975" width="18.5703125" style="733" customWidth="1"/>
    <col min="8976" max="8976" width="9" style="733" customWidth="1"/>
    <col min="8977" max="8977" width="9.140625" style="733"/>
    <col min="8978" max="8978" width="13.140625" style="733" customWidth="1"/>
    <col min="8979" max="8979" width="9.140625" style="733"/>
    <col min="8980" max="8980" width="22.7109375" style="733" customWidth="1"/>
    <col min="8981" max="9219" width="9.140625" style="733"/>
    <col min="9220" max="9220" width="3.7109375" style="733" customWidth="1"/>
    <col min="9221" max="9221" width="14.42578125" style="733" customWidth="1"/>
    <col min="9222" max="9222" width="3.7109375" style="733" customWidth="1"/>
    <col min="9223" max="9223" width="22.5703125" style="733" customWidth="1"/>
    <col min="9224" max="9230" width="10.5703125" style="733" customWidth="1"/>
    <col min="9231" max="9231" width="18.5703125" style="733" customWidth="1"/>
    <col min="9232" max="9232" width="9" style="733" customWidth="1"/>
    <col min="9233" max="9233" width="9.140625" style="733"/>
    <col min="9234" max="9234" width="13.140625" style="733" customWidth="1"/>
    <col min="9235" max="9235" width="9.140625" style="733"/>
    <col min="9236" max="9236" width="22.7109375" style="733" customWidth="1"/>
    <col min="9237" max="9475" width="9.140625" style="733"/>
    <col min="9476" max="9476" width="3.7109375" style="733" customWidth="1"/>
    <col min="9477" max="9477" width="14.42578125" style="733" customWidth="1"/>
    <col min="9478" max="9478" width="3.7109375" style="733" customWidth="1"/>
    <col min="9479" max="9479" width="22.5703125" style="733" customWidth="1"/>
    <col min="9480" max="9486" width="10.5703125" style="733" customWidth="1"/>
    <col min="9487" max="9487" width="18.5703125" style="733" customWidth="1"/>
    <col min="9488" max="9488" width="9" style="733" customWidth="1"/>
    <col min="9489" max="9489" width="9.140625" style="733"/>
    <col min="9490" max="9490" width="13.140625" style="733" customWidth="1"/>
    <col min="9491" max="9491" width="9.140625" style="733"/>
    <col min="9492" max="9492" width="22.7109375" style="733" customWidth="1"/>
    <col min="9493" max="9731" width="9.140625" style="733"/>
    <col min="9732" max="9732" width="3.7109375" style="733" customWidth="1"/>
    <col min="9733" max="9733" width="14.42578125" style="733" customWidth="1"/>
    <col min="9734" max="9734" width="3.7109375" style="733" customWidth="1"/>
    <col min="9735" max="9735" width="22.5703125" style="733" customWidth="1"/>
    <col min="9736" max="9742" width="10.5703125" style="733" customWidth="1"/>
    <col min="9743" max="9743" width="18.5703125" style="733" customWidth="1"/>
    <col min="9744" max="9744" width="9" style="733" customWidth="1"/>
    <col min="9745" max="9745" width="9.140625" style="733"/>
    <col min="9746" max="9746" width="13.140625" style="733" customWidth="1"/>
    <col min="9747" max="9747" width="9.140625" style="733"/>
    <col min="9748" max="9748" width="22.7109375" style="733" customWidth="1"/>
    <col min="9749" max="9987" width="9.140625" style="733"/>
    <col min="9988" max="9988" width="3.7109375" style="733" customWidth="1"/>
    <col min="9989" max="9989" width="14.42578125" style="733" customWidth="1"/>
    <col min="9990" max="9990" width="3.7109375" style="733" customWidth="1"/>
    <col min="9991" max="9991" width="22.5703125" style="733" customWidth="1"/>
    <col min="9992" max="9998" width="10.5703125" style="733" customWidth="1"/>
    <col min="9999" max="9999" width="18.5703125" style="733" customWidth="1"/>
    <col min="10000" max="10000" width="9" style="733" customWidth="1"/>
    <col min="10001" max="10001" width="9.140625" style="733"/>
    <col min="10002" max="10002" width="13.140625" style="733" customWidth="1"/>
    <col min="10003" max="10003" width="9.140625" style="733"/>
    <col min="10004" max="10004" width="22.7109375" style="733" customWidth="1"/>
    <col min="10005" max="10243" width="9.140625" style="733"/>
    <col min="10244" max="10244" width="3.7109375" style="733" customWidth="1"/>
    <col min="10245" max="10245" width="14.42578125" style="733" customWidth="1"/>
    <col min="10246" max="10246" width="3.7109375" style="733" customWidth="1"/>
    <col min="10247" max="10247" width="22.5703125" style="733" customWidth="1"/>
    <col min="10248" max="10254" width="10.5703125" style="733" customWidth="1"/>
    <col min="10255" max="10255" width="18.5703125" style="733" customWidth="1"/>
    <col min="10256" max="10256" width="9" style="733" customWidth="1"/>
    <col min="10257" max="10257" width="9.140625" style="733"/>
    <col min="10258" max="10258" width="13.140625" style="733" customWidth="1"/>
    <col min="10259" max="10259" width="9.140625" style="733"/>
    <col min="10260" max="10260" width="22.7109375" style="733" customWidth="1"/>
    <col min="10261" max="10499" width="9.140625" style="733"/>
    <col min="10500" max="10500" width="3.7109375" style="733" customWidth="1"/>
    <col min="10501" max="10501" width="14.42578125" style="733" customWidth="1"/>
    <col min="10502" max="10502" width="3.7109375" style="733" customWidth="1"/>
    <col min="10503" max="10503" width="22.5703125" style="733" customWidth="1"/>
    <col min="10504" max="10510" width="10.5703125" style="733" customWidth="1"/>
    <col min="10511" max="10511" width="18.5703125" style="733" customWidth="1"/>
    <col min="10512" max="10512" width="9" style="733" customWidth="1"/>
    <col min="10513" max="10513" width="9.140625" style="733"/>
    <col min="10514" max="10514" width="13.140625" style="733" customWidth="1"/>
    <col min="10515" max="10515" width="9.140625" style="733"/>
    <col min="10516" max="10516" width="22.7109375" style="733" customWidth="1"/>
    <col min="10517" max="10755" width="9.140625" style="733"/>
    <col min="10756" max="10756" width="3.7109375" style="733" customWidth="1"/>
    <col min="10757" max="10757" width="14.42578125" style="733" customWidth="1"/>
    <col min="10758" max="10758" width="3.7109375" style="733" customWidth="1"/>
    <col min="10759" max="10759" width="22.5703125" style="733" customWidth="1"/>
    <col min="10760" max="10766" width="10.5703125" style="733" customWidth="1"/>
    <col min="10767" max="10767" width="18.5703125" style="733" customWidth="1"/>
    <col min="10768" max="10768" width="9" style="733" customWidth="1"/>
    <col min="10769" max="10769" width="9.140625" style="733"/>
    <col min="10770" max="10770" width="13.140625" style="733" customWidth="1"/>
    <col min="10771" max="10771" width="9.140625" style="733"/>
    <col min="10772" max="10772" width="22.7109375" style="733" customWidth="1"/>
    <col min="10773" max="11011" width="9.140625" style="733"/>
    <col min="11012" max="11012" width="3.7109375" style="733" customWidth="1"/>
    <col min="11013" max="11013" width="14.42578125" style="733" customWidth="1"/>
    <col min="11014" max="11014" width="3.7109375" style="733" customWidth="1"/>
    <col min="11015" max="11015" width="22.5703125" style="733" customWidth="1"/>
    <col min="11016" max="11022" width="10.5703125" style="733" customWidth="1"/>
    <col min="11023" max="11023" width="18.5703125" style="733" customWidth="1"/>
    <col min="11024" max="11024" width="9" style="733" customWidth="1"/>
    <col min="11025" max="11025" width="9.140625" style="733"/>
    <col min="11026" max="11026" width="13.140625" style="733" customWidth="1"/>
    <col min="11027" max="11027" width="9.140625" style="733"/>
    <col min="11028" max="11028" width="22.7109375" style="733" customWidth="1"/>
    <col min="11029" max="11267" width="9.140625" style="733"/>
    <col min="11268" max="11268" width="3.7109375" style="733" customWidth="1"/>
    <col min="11269" max="11269" width="14.42578125" style="733" customWidth="1"/>
    <col min="11270" max="11270" width="3.7109375" style="733" customWidth="1"/>
    <col min="11271" max="11271" width="22.5703125" style="733" customWidth="1"/>
    <col min="11272" max="11278" width="10.5703125" style="733" customWidth="1"/>
    <col min="11279" max="11279" width="18.5703125" style="733" customWidth="1"/>
    <col min="11280" max="11280" width="9" style="733" customWidth="1"/>
    <col min="11281" max="11281" width="9.140625" style="733"/>
    <col min="11282" max="11282" width="13.140625" style="733" customWidth="1"/>
    <col min="11283" max="11283" width="9.140625" style="733"/>
    <col min="11284" max="11284" width="22.7109375" style="733" customWidth="1"/>
    <col min="11285" max="11523" width="9.140625" style="733"/>
    <col min="11524" max="11524" width="3.7109375" style="733" customWidth="1"/>
    <col min="11525" max="11525" width="14.42578125" style="733" customWidth="1"/>
    <col min="11526" max="11526" width="3.7109375" style="733" customWidth="1"/>
    <col min="11527" max="11527" width="22.5703125" style="733" customWidth="1"/>
    <col min="11528" max="11534" width="10.5703125" style="733" customWidth="1"/>
    <col min="11535" max="11535" width="18.5703125" style="733" customWidth="1"/>
    <col min="11536" max="11536" width="9" style="733" customWidth="1"/>
    <col min="11537" max="11537" width="9.140625" style="733"/>
    <col min="11538" max="11538" width="13.140625" style="733" customWidth="1"/>
    <col min="11539" max="11539" width="9.140625" style="733"/>
    <col min="11540" max="11540" width="22.7109375" style="733" customWidth="1"/>
    <col min="11541" max="11779" width="9.140625" style="733"/>
    <col min="11780" max="11780" width="3.7109375" style="733" customWidth="1"/>
    <col min="11781" max="11781" width="14.42578125" style="733" customWidth="1"/>
    <col min="11782" max="11782" width="3.7109375" style="733" customWidth="1"/>
    <col min="11783" max="11783" width="22.5703125" style="733" customWidth="1"/>
    <col min="11784" max="11790" width="10.5703125" style="733" customWidth="1"/>
    <col min="11791" max="11791" width="18.5703125" style="733" customWidth="1"/>
    <col min="11792" max="11792" width="9" style="733" customWidth="1"/>
    <col min="11793" max="11793" width="9.140625" style="733"/>
    <col min="11794" max="11794" width="13.140625" style="733" customWidth="1"/>
    <col min="11795" max="11795" width="9.140625" style="733"/>
    <col min="11796" max="11796" width="22.7109375" style="733" customWidth="1"/>
    <col min="11797" max="12035" width="9.140625" style="733"/>
    <col min="12036" max="12036" width="3.7109375" style="733" customWidth="1"/>
    <col min="12037" max="12037" width="14.42578125" style="733" customWidth="1"/>
    <col min="12038" max="12038" width="3.7109375" style="733" customWidth="1"/>
    <col min="12039" max="12039" width="22.5703125" style="733" customWidth="1"/>
    <col min="12040" max="12046" width="10.5703125" style="733" customWidth="1"/>
    <col min="12047" max="12047" width="18.5703125" style="733" customWidth="1"/>
    <col min="12048" max="12048" width="9" style="733" customWidth="1"/>
    <col min="12049" max="12049" width="9.140625" style="733"/>
    <col min="12050" max="12050" width="13.140625" style="733" customWidth="1"/>
    <col min="12051" max="12051" width="9.140625" style="733"/>
    <col min="12052" max="12052" width="22.7109375" style="733" customWidth="1"/>
    <col min="12053" max="12291" width="9.140625" style="733"/>
    <col min="12292" max="12292" width="3.7109375" style="733" customWidth="1"/>
    <col min="12293" max="12293" width="14.42578125" style="733" customWidth="1"/>
    <col min="12294" max="12294" width="3.7109375" style="733" customWidth="1"/>
    <col min="12295" max="12295" width="22.5703125" style="733" customWidth="1"/>
    <col min="12296" max="12302" width="10.5703125" style="733" customWidth="1"/>
    <col min="12303" max="12303" width="18.5703125" style="733" customWidth="1"/>
    <col min="12304" max="12304" width="9" style="733" customWidth="1"/>
    <col min="12305" max="12305" width="9.140625" style="733"/>
    <col min="12306" max="12306" width="13.140625" style="733" customWidth="1"/>
    <col min="12307" max="12307" width="9.140625" style="733"/>
    <col min="12308" max="12308" width="22.7109375" style="733" customWidth="1"/>
    <col min="12309" max="12547" width="9.140625" style="733"/>
    <col min="12548" max="12548" width="3.7109375" style="733" customWidth="1"/>
    <col min="12549" max="12549" width="14.42578125" style="733" customWidth="1"/>
    <col min="12550" max="12550" width="3.7109375" style="733" customWidth="1"/>
    <col min="12551" max="12551" width="22.5703125" style="733" customWidth="1"/>
    <col min="12552" max="12558" width="10.5703125" style="733" customWidth="1"/>
    <col min="12559" max="12559" width="18.5703125" style="733" customWidth="1"/>
    <col min="12560" max="12560" width="9" style="733" customWidth="1"/>
    <col min="12561" max="12561" width="9.140625" style="733"/>
    <col min="12562" max="12562" width="13.140625" style="733" customWidth="1"/>
    <col min="12563" max="12563" width="9.140625" style="733"/>
    <col min="12564" max="12564" width="22.7109375" style="733" customWidth="1"/>
    <col min="12565" max="12803" width="9.140625" style="733"/>
    <col min="12804" max="12804" width="3.7109375" style="733" customWidth="1"/>
    <col min="12805" max="12805" width="14.42578125" style="733" customWidth="1"/>
    <col min="12806" max="12806" width="3.7109375" style="733" customWidth="1"/>
    <col min="12807" max="12807" width="22.5703125" style="733" customWidth="1"/>
    <col min="12808" max="12814" width="10.5703125" style="733" customWidth="1"/>
    <col min="12815" max="12815" width="18.5703125" style="733" customWidth="1"/>
    <col min="12816" max="12816" width="9" style="733" customWidth="1"/>
    <col min="12817" max="12817" width="9.140625" style="733"/>
    <col min="12818" max="12818" width="13.140625" style="733" customWidth="1"/>
    <col min="12819" max="12819" width="9.140625" style="733"/>
    <col min="12820" max="12820" width="22.7109375" style="733" customWidth="1"/>
    <col min="12821" max="13059" width="9.140625" style="733"/>
    <col min="13060" max="13060" width="3.7109375" style="733" customWidth="1"/>
    <col min="13061" max="13061" width="14.42578125" style="733" customWidth="1"/>
    <col min="13062" max="13062" width="3.7109375" style="733" customWidth="1"/>
    <col min="13063" max="13063" width="22.5703125" style="733" customWidth="1"/>
    <col min="13064" max="13070" width="10.5703125" style="733" customWidth="1"/>
    <col min="13071" max="13071" width="18.5703125" style="733" customWidth="1"/>
    <col min="13072" max="13072" width="9" style="733" customWidth="1"/>
    <col min="13073" max="13073" width="9.140625" style="733"/>
    <col min="13074" max="13074" width="13.140625" style="733" customWidth="1"/>
    <col min="13075" max="13075" width="9.140625" style="733"/>
    <col min="13076" max="13076" width="22.7109375" style="733" customWidth="1"/>
    <col min="13077" max="13315" width="9.140625" style="733"/>
    <col min="13316" max="13316" width="3.7109375" style="733" customWidth="1"/>
    <col min="13317" max="13317" width="14.42578125" style="733" customWidth="1"/>
    <col min="13318" max="13318" width="3.7109375" style="733" customWidth="1"/>
    <col min="13319" max="13319" width="22.5703125" style="733" customWidth="1"/>
    <col min="13320" max="13326" width="10.5703125" style="733" customWidth="1"/>
    <col min="13327" max="13327" width="18.5703125" style="733" customWidth="1"/>
    <col min="13328" max="13328" width="9" style="733" customWidth="1"/>
    <col min="13329" max="13329" width="9.140625" style="733"/>
    <col min="13330" max="13330" width="13.140625" style="733" customWidth="1"/>
    <col min="13331" max="13331" width="9.140625" style="733"/>
    <col min="13332" max="13332" width="22.7109375" style="733" customWidth="1"/>
    <col min="13333" max="13571" width="9.140625" style="733"/>
    <col min="13572" max="13572" width="3.7109375" style="733" customWidth="1"/>
    <col min="13573" max="13573" width="14.42578125" style="733" customWidth="1"/>
    <col min="13574" max="13574" width="3.7109375" style="733" customWidth="1"/>
    <col min="13575" max="13575" width="22.5703125" style="733" customWidth="1"/>
    <col min="13576" max="13582" width="10.5703125" style="733" customWidth="1"/>
    <col min="13583" max="13583" width="18.5703125" style="733" customWidth="1"/>
    <col min="13584" max="13584" width="9" style="733" customWidth="1"/>
    <col min="13585" max="13585" width="9.140625" style="733"/>
    <col min="13586" max="13586" width="13.140625" style="733" customWidth="1"/>
    <col min="13587" max="13587" width="9.140625" style="733"/>
    <col min="13588" max="13588" width="22.7109375" style="733" customWidth="1"/>
    <col min="13589" max="13827" width="9.140625" style="733"/>
    <col min="13828" max="13828" width="3.7109375" style="733" customWidth="1"/>
    <col min="13829" max="13829" width="14.42578125" style="733" customWidth="1"/>
    <col min="13830" max="13830" width="3.7109375" style="733" customWidth="1"/>
    <col min="13831" max="13831" width="22.5703125" style="733" customWidth="1"/>
    <col min="13832" max="13838" width="10.5703125" style="733" customWidth="1"/>
    <col min="13839" max="13839" width="18.5703125" style="733" customWidth="1"/>
    <col min="13840" max="13840" width="9" style="733" customWidth="1"/>
    <col min="13841" max="13841" width="9.140625" style="733"/>
    <col min="13842" max="13842" width="13.140625" style="733" customWidth="1"/>
    <col min="13843" max="13843" width="9.140625" style="733"/>
    <col min="13844" max="13844" width="22.7109375" style="733" customWidth="1"/>
    <col min="13845" max="14083" width="9.140625" style="733"/>
    <col min="14084" max="14084" width="3.7109375" style="733" customWidth="1"/>
    <col min="14085" max="14085" width="14.42578125" style="733" customWidth="1"/>
    <col min="14086" max="14086" width="3.7109375" style="733" customWidth="1"/>
    <col min="14087" max="14087" width="22.5703125" style="733" customWidth="1"/>
    <col min="14088" max="14094" width="10.5703125" style="733" customWidth="1"/>
    <col min="14095" max="14095" width="18.5703125" style="733" customWidth="1"/>
    <col min="14096" max="14096" width="9" style="733" customWidth="1"/>
    <col min="14097" max="14097" width="9.140625" style="733"/>
    <col min="14098" max="14098" width="13.140625" style="733" customWidth="1"/>
    <col min="14099" max="14099" width="9.140625" style="733"/>
    <col min="14100" max="14100" width="22.7109375" style="733" customWidth="1"/>
    <col min="14101" max="14339" width="9.140625" style="733"/>
    <col min="14340" max="14340" width="3.7109375" style="733" customWidth="1"/>
    <col min="14341" max="14341" width="14.42578125" style="733" customWidth="1"/>
    <col min="14342" max="14342" width="3.7109375" style="733" customWidth="1"/>
    <col min="14343" max="14343" width="22.5703125" style="733" customWidth="1"/>
    <col min="14344" max="14350" width="10.5703125" style="733" customWidth="1"/>
    <col min="14351" max="14351" width="18.5703125" style="733" customWidth="1"/>
    <col min="14352" max="14352" width="9" style="733" customWidth="1"/>
    <col min="14353" max="14353" width="9.140625" style="733"/>
    <col min="14354" max="14354" width="13.140625" style="733" customWidth="1"/>
    <col min="14355" max="14355" width="9.140625" style="733"/>
    <col min="14356" max="14356" width="22.7109375" style="733" customWidth="1"/>
    <col min="14357" max="14595" width="9.140625" style="733"/>
    <col min="14596" max="14596" width="3.7109375" style="733" customWidth="1"/>
    <col min="14597" max="14597" width="14.42578125" style="733" customWidth="1"/>
    <col min="14598" max="14598" width="3.7109375" style="733" customWidth="1"/>
    <col min="14599" max="14599" width="22.5703125" style="733" customWidth="1"/>
    <col min="14600" max="14606" width="10.5703125" style="733" customWidth="1"/>
    <col min="14607" max="14607" width="18.5703125" style="733" customWidth="1"/>
    <col min="14608" max="14608" width="9" style="733" customWidth="1"/>
    <col min="14609" max="14609" width="9.140625" style="733"/>
    <col min="14610" max="14610" width="13.140625" style="733" customWidth="1"/>
    <col min="14611" max="14611" width="9.140625" style="733"/>
    <col min="14612" max="14612" width="22.7109375" style="733" customWidth="1"/>
    <col min="14613" max="14851" width="9.140625" style="733"/>
    <col min="14852" max="14852" width="3.7109375" style="733" customWidth="1"/>
    <col min="14853" max="14853" width="14.42578125" style="733" customWidth="1"/>
    <col min="14854" max="14854" width="3.7109375" style="733" customWidth="1"/>
    <col min="14855" max="14855" width="22.5703125" style="733" customWidth="1"/>
    <col min="14856" max="14862" width="10.5703125" style="733" customWidth="1"/>
    <col min="14863" max="14863" width="18.5703125" style="733" customWidth="1"/>
    <col min="14864" max="14864" width="9" style="733" customWidth="1"/>
    <col min="14865" max="14865" width="9.140625" style="733"/>
    <col min="14866" max="14866" width="13.140625" style="733" customWidth="1"/>
    <col min="14867" max="14867" width="9.140625" style="733"/>
    <col min="14868" max="14868" width="22.7109375" style="733" customWidth="1"/>
    <col min="14869" max="15107" width="9.140625" style="733"/>
    <col min="15108" max="15108" width="3.7109375" style="733" customWidth="1"/>
    <col min="15109" max="15109" width="14.42578125" style="733" customWidth="1"/>
    <col min="15110" max="15110" width="3.7109375" style="733" customWidth="1"/>
    <col min="15111" max="15111" width="22.5703125" style="733" customWidth="1"/>
    <col min="15112" max="15118" width="10.5703125" style="733" customWidth="1"/>
    <col min="15119" max="15119" width="18.5703125" style="733" customWidth="1"/>
    <col min="15120" max="15120" width="9" style="733" customWidth="1"/>
    <col min="15121" max="15121" width="9.140625" style="733"/>
    <col min="15122" max="15122" width="13.140625" style="733" customWidth="1"/>
    <col min="15123" max="15123" width="9.140625" style="733"/>
    <col min="15124" max="15124" width="22.7109375" style="733" customWidth="1"/>
    <col min="15125" max="15363" width="9.140625" style="733"/>
    <col min="15364" max="15364" width="3.7109375" style="733" customWidth="1"/>
    <col min="15365" max="15365" width="14.42578125" style="733" customWidth="1"/>
    <col min="15366" max="15366" width="3.7109375" style="733" customWidth="1"/>
    <col min="15367" max="15367" width="22.5703125" style="733" customWidth="1"/>
    <col min="15368" max="15374" width="10.5703125" style="733" customWidth="1"/>
    <col min="15375" max="15375" width="18.5703125" style="733" customWidth="1"/>
    <col min="15376" max="15376" width="9" style="733" customWidth="1"/>
    <col min="15377" max="15377" width="9.140625" style="733"/>
    <col min="15378" max="15378" width="13.140625" style="733" customWidth="1"/>
    <col min="15379" max="15379" width="9.140625" style="733"/>
    <col min="15380" max="15380" width="22.7109375" style="733" customWidth="1"/>
    <col min="15381" max="15619" width="9.140625" style="733"/>
    <col min="15620" max="15620" width="3.7109375" style="733" customWidth="1"/>
    <col min="15621" max="15621" width="14.42578125" style="733" customWidth="1"/>
    <col min="15622" max="15622" width="3.7109375" style="733" customWidth="1"/>
    <col min="15623" max="15623" width="22.5703125" style="733" customWidth="1"/>
    <col min="15624" max="15630" width="10.5703125" style="733" customWidth="1"/>
    <col min="15631" max="15631" width="18.5703125" style="733" customWidth="1"/>
    <col min="15632" max="15632" width="9" style="733" customWidth="1"/>
    <col min="15633" max="15633" width="9.140625" style="733"/>
    <col min="15634" max="15634" width="13.140625" style="733" customWidth="1"/>
    <col min="15635" max="15635" width="9.140625" style="733"/>
    <col min="15636" max="15636" width="22.7109375" style="733" customWidth="1"/>
    <col min="15637" max="15875" width="9.140625" style="733"/>
    <col min="15876" max="15876" width="3.7109375" style="733" customWidth="1"/>
    <col min="15877" max="15877" width="14.42578125" style="733" customWidth="1"/>
    <col min="15878" max="15878" width="3.7109375" style="733" customWidth="1"/>
    <col min="15879" max="15879" width="22.5703125" style="733" customWidth="1"/>
    <col min="15880" max="15886" width="10.5703125" style="733" customWidth="1"/>
    <col min="15887" max="15887" width="18.5703125" style="733" customWidth="1"/>
    <col min="15888" max="15888" width="9" style="733" customWidth="1"/>
    <col min="15889" max="15889" width="9.140625" style="733"/>
    <col min="15890" max="15890" width="13.140625" style="733" customWidth="1"/>
    <col min="15891" max="15891" width="9.140625" style="733"/>
    <col min="15892" max="15892" width="22.7109375" style="733" customWidth="1"/>
    <col min="15893" max="16131" width="9.140625" style="733"/>
    <col min="16132" max="16132" width="3.7109375" style="733" customWidth="1"/>
    <col min="16133" max="16133" width="14.42578125" style="733" customWidth="1"/>
    <col min="16134" max="16134" width="3.7109375" style="733" customWidth="1"/>
    <col min="16135" max="16135" width="22.5703125" style="733" customWidth="1"/>
    <col min="16136" max="16142" width="10.5703125" style="733" customWidth="1"/>
    <col min="16143" max="16143" width="18.5703125" style="733" customWidth="1"/>
    <col min="16144" max="16144" width="9" style="733" customWidth="1"/>
    <col min="16145" max="16145" width="9.140625" style="733"/>
    <col min="16146" max="16146" width="13.140625" style="733" customWidth="1"/>
    <col min="16147" max="16147" width="9.140625" style="733"/>
    <col min="16148" max="16148" width="22.7109375" style="733" customWidth="1"/>
    <col min="16149" max="16384" width="9.140625" style="733"/>
  </cols>
  <sheetData>
    <row r="1" spans="1:30" s="943" customFormat="1" ht="15" x14ac:dyDescent="0.2">
      <c r="A1" s="2035"/>
      <c r="B1" s="2036"/>
      <c r="C1" s="2036"/>
      <c r="Q1" s="3036"/>
      <c r="R1" s="3036"/>
      <c r="S1" s="3036"/>
      <c r="T1" s="2041"/>
      <c r="U1" s="2041"/>
      <c r="V1" s="2041"/>
      <c r="W1" s="2041"/>
    </row>
    <row r="2" spans="1:30" s="943" customFormat="1" ht="15" customHeight="1" x14ac:dyDescent="0.2">
      <c r="A2" s="1">
        <v>1</v>
      </c>
      <c r="B2" s="1" t="s">
        <v>0</v>
      </c>
      <c r="C2" s="1">
        <v>81</v>
      </c>
      <c r="D2" s="4140" t="s">
        <v>1707</v>
      </c>
      <c r="E2" s="4141"/>
      <c r="F2" s="4141"/>
      <c r="G2" s="4141"/>
      <c r="H2" s="4141"/>
      <c r="I2" s="4141"/>
      <c r="J2" s="4141"/>
      <c r="K2" s="4141"/>
      <c r="L2" s="4141"/>
      <c r="M2" s="4141"/>
      <c r="N2" s="4141"/>
      <c r="O2" s="4141"/>
      <c r="P2" s="4141"/>
      <c r="Q2" s="4142"/>
      <c r="R2" s="733"/>
      <c r="S2" s="733"/>
      <c r="T2" s="688"/>
      <c r="U2" s="688"/>
      <c r="V2" s="3531"/>
      <c r="W2" s="3614"/>
    </row>
    <row r="3" spans="1:30" s="943" customFormat="1" ht="15" x14ac:dyDescent="0.25">
      <c r="A3" s="1">
        <v>2</v>
      </c>
      <c r="B3" s="1" t="s">
        <v>2</v>
      </c>
      <c r="C3" s="1"/>
      <c r="D3" s="4140" t="s">
        <v>1535</v>
      </c>
      <c r="E3" s="4141"/>
      <c r="F3" s="4141"/>
      <c r="G3" s="4141"/>
      <c r="H3" s="4141"/>
      <c r="I3" s="4141"/>
      <c r="J3" s="4141"/>
      <c r="K3" s="4141"/>
      <c r="L3" s="4141"/>
      <c r="M3" s="4141"/>
      <c r="N3" s="4141"/>
      <c r="O3" s="4141"/>
      <c r="P3" s="4141"/>
      <c r="Q3" s="4142"/>
      <c r="R3" s="733"/>
      <c r="S3" s="733"/>
      <c r="T3" s="688"/>
      <c r="U3" s="688"/>
      <c r="V3" s="3109"/>
      <c r="W3" s="2041"/>
    </row>
    <row r="4" spans="1:30" s="943" customFormat="1" ht="14.25" customHeight="1" x14ac:dyDescent="0.25">
      <c r="A4" s="1">
        <v>3</v>
      </c>
      <c r="B4" s="1" t="s">
        <v>4</v>
      </c>
      <c r="C4" s="1"/>
      <c r="D4" s="4140" t="s">
        <v>1708</v>
      </c>
      <c r="E4" s="4141"/>
      <c r="F4" s="4141"/>
      <c r="G4" s="4141"/>
      <c r="H4" s="4141"/>
      <c r="I4" s="4141"/>
      <c r="J4" s="4141"/>
      <c r="K4" s="4141"/>
      <c r="L4" s="4141"/>
      <c r="M4" s="4141"/>
      <c r="N4" s="4141"/>
      <c r="O4" s="4141"/>
      <c r="P4" s="4141"/>
      <c r="Q4" s="4142"/>
      <c r="R4" s="733"/>
      <c r="S4" s="733"/>
      <c r="T4" s="688"/>
      <c r="U4" s="688"/>
      <c r="V4" s="3615"/>
      <c r="W4" s="2041"/>
    </row>
    <row r="5" spans="1:30" ht="12.75" x14ac:dyDescent="0.2">
      <c r="C5" s="12"/>
      <c r="T5" s="3036"/>
      <c r="U5" s="3036"/>
      <c r="V5" s="3036"/>
      <c r="Z5" s="3036"/>
      <c r="AA5" s="3036"/>
    </row>
    <row r="6" spans="1:30" ht="12.75" x14ac:dyDescent="0.2">
      <c r="A6" s="1">
        <v>4</v>
      </c>
      <c r="B6" s="12" t="s">
        <v>5</v>
      </c>
      <c r="C6" s="1"/>
      <c r="D6" s="1738" t="s">
        <v>40</v>
      </c>
      <c r="E6" s="749" t="s">
        <v>1709</v>
      </c>
      <c r="F6" s="3036"/>
      <c r="G6" s="3036"/>
      <c r="H6" s="3036"/>
      <c r="I6" s="3036"/>
      <c r="J6" s="3036"/>
      <c r="K6" s="3036"/>
      <c r="L6" s="3036"/>
      <c r="M6" s="3036"/>
      <c r="S6" s="3036"/>
      <c r="T6" s="3036"/>
      <c r="U6" s="3036"/>
      <c r="V6" s="3036"/>
      <c r="W6" s="3036"/>
      <c r="Z6" s="3036"/>
      <c r="AA6" s="3036"/>
    </row>
    <row r="7" spans="1:30" ht="22.5" x14ac:dyDescent="0.2">
      <c r="C7" s="1"/>
      <c r="D7" s="3616"/>
      <c r="E7" s="3617">
        <v>2006</v>
      </c>
      <c r="F7" s="3617">
        <v>2007</v>
      </c>
      <c r="G7" s="3617">
        <v>2008</v>
      </c>
      <c r="H7" s="3617">
        <v>2009</v>
      </c>
      <c r="I7" s="3617">
        <v>2010</v>
      </c>
      <c r="J7" s="3617">
        <v>2011</v>
      </c>
      <c r="K7" s="3617">
        <v>2012</v>
      </c>
      <c r="L7" s="3617">
        <v>2013</v>
      </c>
      <c r="M7" s="3617">
        <v>2014</v>
      </c>
      <c r="N7" s="3617">
        <v>2015</v>
      </c>
      <c r="O7" s="3618">
        <v>2016</v>
      </c>
      <c r="P7" s="3618">
        <v>2017</v>
      </c>
      <c r="Q7" s="3619" t="s">
        <v>1710</v>
      </c>
      <c r="R7" s="3620"/>
      <c r="V7" s="3036"/>
      <c r="W7" s="3036"/>
      <c r="X7" s="3036"/>
      <c r="Y7" s="3036"/>
      <c r="Z7" s="3036"/>
      <c r="AC7" s="3036"/>
      <c r="AD7" s="3036"/>
    </row>
    <row r="8" spans="1:30" ht="12.75" x14ac:dyDescent="0.2">
      <c r="C8" s="1"/>
      <c r="D8" s="2021" t="s">
        <v>84</v>
      </c>
      <c r="E8" s="1379">
        <v>21</v>
      </c>
      <c r="F8" s="1379">
        <v>21</v>
      </c>
      <c r="G8" s="3621">
        <v>25</v>
      </c>
      <c r="H8" s="3621">
        <v>20</v>
      </c>
      <c r="I8" s="3621">
        <v>23</v>
      </c>
      <c r="J8" s="3621">
        <v>23</v>
      </c>
      <c r="K8" s="3621">
        <v>18</v>
      </c>
      <c r="L8" s="3621">
        <v>6</v>
      </c>
      <c r="M8" s="3622">
        <v>17</v>
      </c>
      <c r="N8" s="3622">
        <v>18</v>
      </c>
      <c r="O8" s="3623">
        <v>23</v>
      </c>
      <c r="P8" s="3623">
        <v>24</v>
      </c>
      <c r="Q8" s="3624" t="s">
        <v>606</v>
      </c>
      <c r="R8" s="3625"/>
      <c r="V8" s="3036"/>
      <c r="W8" s="3036"/>
      <c r="X8" s="3036"/>
      <c r="Y8" s="3036"/>
      <c r="Z8" s="3036"/>
      <c r="AC8" s="3036"/>
      <c r="AD8" s="3036"/>
    </row>
    <row r="9" spans="1:30" ht="12.75" x14ac:dyDescent="0.2">
      <c r="C9" s="1"/>
      <c r="D9" s="2021" t="s">
        <v>334</v>
      </c>
      <c r="E9" s="1379">
        <v>16</v>
      </c>
      <c r="F9" s="1379">
        <v>18</v>
      </c>
      <c r="G9" s="3621">
        <v>18</v>
      </c>
      <c r="H9" s="3621">
        <v>22</v>
      </c>
      <c r="I9" s="3621">
        <v>24</v>
      </c>
      <c r="J9" s="3621">
        <v>18</v>
      </c>
      <c r="K9" s="3621">
        <v>24</v>
      </c>
      <c r="L9" s="3621">
        <v>22</v>
      </c>
      <c r="M9" s="3622">
        <v>16</v>
      </c>
      <c r="N9" s="3622">
        <v>16</v>
      </c>
      <c r="O9" s="3623">
        <v>12</v>
      </c>
      <c r="P9" s="3623">
        <v>12</v>
      </c>
      <c r="Q9" s="3626" t="s">
        <v>1711</v>
      </c>
      <c r="R9" s="3625"/>
      <c r="V9" s="3036"/>
      <c r="W9" s="3036"/>
      <c r="X9" s="3036"/>
      <c r="Y9" s="3036"/>
      <c r="Z9" s="3036"/>
      <c r="AC9" s="3036"/>
      <c r="AD9" s="3036"/>
    </row>
    <row r="10" spans="1:30" ht="12.75" x14ac:dyDescent="0.2">
      <c r="C10" s="1"/>
      <c r="D10" s="2021" t="s">
        <v>339</v>
      </c>
      <c r="E10" s="1379">
        <v>23</v>
      </c>
      <c r="F10" s="1379">
        <v>30</v>
      </c>
      <c r="G10" s="3621">
        <v>29</v>
      </c>
      <c r="H10" s="3621">
        <v>24</v>
      </c>
      <c r="I10" s="3621">
        <v>17</v>
      </c>
      <c r="J10" s="3621">
        <v>21</v>
      </c>
      <c r="K10" s="3621">
        <v>23</v>
      </c>
      <c r="L10" s="3621">
        <v>20</v>
      </c>
      <c r="M10" s="3622">
        <v>31</v>
      </c>
      <c r="N10" s="3622">
        <v>32</v>
      </c>
      <c r="O10" s="3623">
        <v>49</v>
      </c>
      <c r="P10" s="3623">
        <v>25</v>
      </c>
      <c r="Q10" s="3626" t="s">
        <v>604</v>
      </c>
      <c r="R10" s="3625"/>
      <c r="V10" s="3036"/>
      <c r="W10" s="3036"/>
      <c r="X10" s="3036"/>
      <c r="Y10" s="3036"/>
      <c r="Z10" s="3036"/>
      <c r="AC10" s="3036"/>
      <c r="AD10" s="3036"/>
    </row>
    <row r="11" spans="1:30" ht="12.75" x14ac:dyDescent="0.2">
      <c r="C11" s="1"/>
      <c r="D11" s="2021" t="s">
        <v>335</v>
      </c>
      <c r="E11" s="1379">
        <v>15</v>
      </c>
      <c r="F11" s="1379">
        <v>24</v>
      </c>
      <c r="G11" s="3621">
        <v>28</v>
      </c>
      <c r="H11" s="3621">
        <v>28</v>
      </c>
      <c r="I11" s="3621">
        <v>26</v>
      </c>
      <c r="J11" s="3621">
        <v>25</v>
      </c>
      <c r="K11" s="3621">
        <v>27</v>
      </c>
      <c r="L11" s="3621">
        <v>17</v>
      </c>
      <c r="M11" s="3622">
        <v>21</v>
      </c>
      <c r="N11" s="3622">
        <v>20</v>
      </c>
      <c r="O11" s="3623">
        <v>21</v>
      </c>
      <c r="P11" s="3623">
        <v>16</v>
      </c>
      <c r="Q11" s="3626" t="s">
        <v>604</v>
      </c>
      <c r="R11" s="3625"/>
      <c r="V11" s="3036"/>
      <c r="W11" s="3036"/>
      <c r="X11" s="3036"/>
      <c r="Y11" s="3036"/>
      <c r="Z11" s="3036"/>
      <c r="AC11" s="3036"/>
      <c r="AD11" s="3036"/>
    </row>
    <row r="12" spans="1:30" ht="12.75" x14ac:dyDescent="0.2">
      <c r="C12" s="1"/>
      <c r="D12" s="2021" t="s">
        <v>337</v>
      </c>
      <c r="E12" s="1379">
        <v>26</v>
      </c>
      <c r="F12" s="1379">
        <v>20</v>
      </c>
      <c r="G12" s="3621">
        <v>26</v>
      </c>
      <c r="H12" s="3621">
        <v>29</v>
      </c>
      <c r="I12" s="3621">
        <v>27</v>
      </c>
      <c r="J12" s="3621">
        <v>31</v>
      </c>
      <c r="K12" s="3621">
        <v>21</v>
      </c>
      <c r="L12" s="3621">
        <v>24</v>
      </c>
      <c r="M12" s="3622">
        <v>22</v>
      </c>
      <c r="N12" s="3622">
        <v>22</v>
      </c>
      <c r="O12" s="3623">
        <v>14</v>
      </c>
      <c r="P12" s="3623">
        <v>19</v>
      </c>
      <c r="Q12" s="3624" t="s">
        <v>606</v>
      </c>
      <c r="R12" s="3625"/>
      <c r="V12" s="3036"/>
      <c r="W12" s="3036"/>
      <c r="X12" s="3036"/>
      <c r="Y12" s="3036"/>
      <c r="Z12" s="3036"/>
      <c r="AC12" s="3036"/>
      <c r="AD12" s="3036"/>
    </row>
    <row r="13" spans="1:30" ht="12.75" x14ac:dyDescent="0.2">
      <c r="C13" s="1"/>
      <c r="D13" s="3627" t="s">
        <v>28</v>
      </c>
      <c r="E13" s="3628">
        <v>28</v>
      </c>
      <c r="F13" s="3628">
        <v>37</v>
      </c>
      <c r="G13" s="3629">
        <v>35</v>
      </c>
      <c r="H13" s="3629">
        <v>32</v>
      </c>
      <c r="I13" s="3629">
        <v>34</v>
      </c>
      <c r="J13" s="3629">
        <v>36</v>
      </c>
      <c r="K13" s="3629">
        <v>35</v>
      </c>
      <c r="L13" s="3629">
        <v>39</v>
      </c>
      <c r="M13" s="3630">
        <v>69</v>
      </c>
      <c r="N13" s="3630">
        <v>73</v>
      </c>
      <c r="O13" s="3630">
        <v>74</v>
      </c>
      <c r="P13" s="3630">
        <v>82</v>
      </c>
      <c r="Q13" s="3624" t="s">
        <v>606</v>
      </c>
      <c r="R13" s="3631"/>
      <c r="S13" s="3036"/>
      <c r="T13" s="3036"/>
      <c r="U13" s="3036"/>
      <c r="V13" s="3036"/>
      <c r="W13" s="3036"/>
      <c r="X13" s="3036"/>
      <c r="Y13" s="3036"/>
      <c r="Z13" s="3036"/>
      <c r="AC13" s="3036"/>
      <c r="AD13" s="3036"/>
    </row>
    <row r="14" spans="1:30" ht="12.75" x14ac:dyDescent="0.2">
      <c r="C14" s="1"/>
      <c r="D14" s="2021" t="s">
        <v>1712</v>
      </c>
      <c r="E14" s="1379">
        <v>37</v>
      </c>
      <c r="F14" s="1379">
        <v>31</v>
      </c>
      <c r="G14" s="3621">
        <v>37</v>
      </c>
      <c r="H14" s="3621">
        <v>36</v>
      </c>
      <c r="I14" s="3621">
        <v>42</v>
      </c>
      <c r="J14" s="3621">
        <v>43</v>
      </c>
      <c r="K14" s="3621">
        <v>48</v>
      </c>
      <c r="L14" s="3621">
        <v>49</v>
      </c>
      <c r="M14" s="3622">
        <v>29</v>
      </c>
      <c r="N14" s="3622">
        <v>29</v>
      </c>
      <c r="O14" s="3623">
        <v>33</v>
      </c>
      <c r="P14" s="3623">
        <v>39</v>
      </c>
      <c r="Q14" s="3624" t="s">
        <v>606</v>
      </c>
      <c r="R14" s="3625"/>
      <c r="S14" s="3036"/>
      <c r="T14" s="3036"/>
      <c r="U14" s="3036"/>
      <c r="V14" s="3036"/>
      <c r="W14" s="3036"/>
      <c r="X14" s="3036"/>
      <c r="Y14" s="3036"/>
      <c r="Z14" s="3036"/>
      <c r="AC14" s="3036"/>
      <c r="AD14" s="3036"/>
    </row>
    <row r="15" spans="1:30" ht="12.75" x14ac:dyDescent="0.2">
      <c r="C15" s="1"/>
      <c r="D15" s="2021" t="s">
        <v>73</v>
      </c>
      <c r="E15" s="1379">
        <v>40</v>
      </c>
      <c r="F15" s="1379">
        <v>49</v>
      </c>
      <c r="G15" s="3621">
        <v>52</v>
      </c>
      <c r="H15" s="3621">
        <v>38</v>
      </c>
      <c r="I15" s="3621">
        <v>45</v>
      </c>
      <c r="J15" s="3621">
        <v>52</v>
      </c>
      <c r="K15" s="3621">
        <v>54</v>
      </c>
      <c r="L15" s="3621">
        <v>56</v>
      </c>
      <c r="M15" s="3622">
        <v>72</v>
      </c>
      <c r="N15" s="3622">
        <v>72</v>
      </c>
      <c r="O15" s="3623">
        <v>71</v>
      </c>
      <c r="P15" s="3623">
        <v>81</v>
      </c>
      <c r="Q15" s="3624" t="s">
        <v>606</v>
      </c>
      <c r="R15" s="3625"/>
      <c r="V15" s="3036"/>
      <c r="W15" s="3036"/>
      <c r="X15" s="3036"/>
      <c r="Y15" s="3036"/>
      <c r="Z15" s="3036"/>
      <c r="AC15" s="3036"/>
      <c r="AD15" s="3036"/>
    </row>
    <row r="16" spans="1:30" ht="12.75" x14ac:dyDescent="0.2">
      <c r="C16" s="1"/>
      <c r="D16" s="2021" t="s">
        <v>76</v>
      </c>
      <c r="E16" s="1379">
        <v>25</v>
      </c>
      <c r="F16" s="1379">
        <v>28</v>
      </c>
      <c r="G16" s="3621">
        <v>36</v>
      </c>
      <c r="H16" s="3621">
        <v>40</v>
      </c>
      <c r="I16" s="3621">
        <v>49</v>
      </c>
      <c r="J16" s="3621">
        <v>41</v>
      </c>
      <c r="K16" s="3621">
        <v>39</v>
      </c>
      <c r="L16" s="3621">
        <v>34</v>
      </c>
      <c r="M16" s="3622">
        <v>48</v>
      </c>
      <c r="N16" s="3622">
        <v>48</v>
      </c>
      <c r="O16" s="3623">
        <v>57</v>
      </c>
      <c r="P16" s="3623">
        <v>55</v>
      </c>
      <c r="Q16" s="3626" t="s">
        <v>604</v>
      </c>
      <c r="R16" s="3625"/>
      <c r="V16" s="3036"/>
      <c r="W16" s="3036"/>
      <c r="X16" s="3036"/>
      <c r="Y16" s="3036"/>
      <c r="Z16" s="3036"/>
      <c r="AC16" s="3036"/>
      <c r="AD16" s="3036"/>
    </row>
    <row r="17" spans="1:30" ht="12.75" x14ac:dyDescent="0.2">
      <c r="C17" s="1"/>
      <c r="D17" s="2021" t="s">
        <v>338</v>
      </c>
      <c r="E17" s="1379">
        <v>52</v>
      </c>
      <c r="F17" s="1379">
        <v>51</v>
      </c>
      <c r="G17" s="3621">
        <v>50</v>
      </c>
      <c r="H17" s="3621">
        <v>41</v>
      </c>
      <c r="I17" s="3621">
        <v>47</v>
      </c>
      <c r="J17" s="3621">
        <v>46</v>
      </c>
      <c r="K17" s="3621">
        <v>51</v>
      </c>
      <c r="L17" s="3621">
        <v>54</v>
      </c>
      <c r="M17" s="3622">
        <v>40</v>
      </c>
      <c r="N17" s="3622">
        <v>42</v>
      </c>
      <c r="O17" s="3623">
        <v>41</v>
      </c>
      <c r="P17" s="3623">
        <v>48</v>
      </c>
      <c r="Q17" s="3626" t="s">
        <v>606</v>
      </c>
      <c r="R17" s="3625"/>
      <c r="V17" s="3036"/>
      <c r="W17" s="3036"/>
      <c r="X17" s="3036"/>
      <c r="Y17" s="3036"/>
      <c r="Z17" s="3036"/>
      <c r="AC17" s="3036"/>
      <c r="AD17" s="3036"/>
    </row>
    <row r="18" spans="1:30" ht="12.75" x14ac:dyDescent="0.2">
      <c r="C18" s="1"/>
      <c r="D18" s="2021" t="s">
        <v>340</v>
      </c>
      <c r="E18" s="1379">
        <v>78</v>
      </c>
      <c r="F18" s="1379">
        <v>55</v>
      </c>
      <c r="G18" s="3621">
        <v>47</v>
      </c>
      <c r="H18" s="3621">
        <v>47</v>
      </c>
      <c r="I18" s="3621">
        <v>55</v>
      </c>
      <c r="J18" s="3621">
        <v>65</v>
      </c>
      <c r="K18" s="3621">
        <v>72</v>
      </c>
      <c r="L18" s="3621">
        <v>73</v>
      </c>
      <c r="M18" s="3622">
        <v>37</v>
      </c>
      <c r="N18" s="3622">
        <v>37</v>
      </c>
      <c r="O18" s="3623">
        <v>36</v>
      </c>
      <c r="P18" s="3623">
        <v>45</v>
      </c>
      <c r="Q18" s="3624" t="s">
        <v>606</v>
      </c>
      <c r="R18" s="3625"/>
      <c r="V18" s="3036"/>
      <c r="W18" s="3036"/>
      <c r="X18" s="3036"/>
      <c r="Y18" s="3036"/>
      <c r="Z18" s="3036"/>
      <c r="AC18" s="3036"/>
      <c r="AD18" s="3036"/>
    </row>
    <row r="19" spans="1:30" ht="12.75" x14ac:dyDescent="0.2">
      <c r="C19" s="1"/>
      <c r="D19" s="2021" t="s">
        <v>85</v>
      </c>
      <c r="E19" s="1379">
        <v>73</v>
      </c>
      <c r="F19" s="1379">
        <v>41</v>
      </c>
      <c r="G19" s="3621">
        <v>42</v>
      </c>
      <c r="H19" s="3621">
        <v>56</v>
      </c>
      <c r="I19" s="3621">
        <v>51</v>
      </c>
      <c r="J19" s="3621">
        <v>54</v>
      </c>
      <c r="K19" s="3621">
        <v>53</v>
      </c>
      <c r="L19" s="3621">
        <v>53</v>
      </c>
      <c r="M19" s="3622">
        <v>42</v>
      </c>
      <c r="N19" s="3622">
        <v>38</v>
      </c>
      <c r="O19" s="3623">
        <v>47</v>
      </c>
      <c r="P19" s="3623">
        <v>49</v>
      </c>
      <c r="Q19" s="3624" t="s">
        <v>606</v>
      </c>
      <c r="R19" s="3625"/>
      <c r="V19" s="3036"/>
      <c r="W19" s="3036"/>
      <c r="X19" s="3036"/>
      <c r="Y19" s="3036"/>
      <c r="Z19" s="3036"/>
      <c r="AC19" s="3036"/>
      <c r="AD19" s="3036"/>
    </row>
    <row r="20" spans="1:30" ht="12.75" x14ac:dyDescent="0.2">
      <c r="C20" s="1"/>
      <c r="D20" s="3632" t="s">
        <v>1713</v>
      </c>
      <c r="E20" s="3075">
        <v>51</v>
      </c>
      <c r="F20" s="3075">
        <v>43</v>
      </c>
      <c r="G20" s="3633">
        <v>57</v>
      </c>
      <c r="H20" s="3633">
        <v>57</v>
      </c>
      <c r="I20" s="3633">
        <v>65</v>
      </c>
      <c r="J20" s="3633">
        <v>53</v>
      </c>
      <c r="K20" s="3633">
        <v>49</v>
      </c>
      <c r="L20" s="3633">
        <v>47</v>
      </c>
      <c r="M20" s="3622">
        <v>77</v>
      </c>
      <c r="N20" s="3622">
        <v>70</v>
      </c>
      <c r="O20" s="3623">
        <v>66</v>
      </c>
      <c r="P20" s="3623">
        <v>71</v>
      </c>
      <c r="Q20" s="3624" t="s">
        <v>606</v>
      </c>
      <c r="R20" s="3625"/>
      <c r="V20" s="3036"/>
      <c r="W20" s="3036"/>
      <c r="X20" s="3036"/>
      <c r="Y20" s="3036"/>
      <c r="Z20" s="3036"/>
      <c r="AC20" s="3036"/>
      <c r="AD20" s="3036"/>
    </row>
    <row r="21" spans="1:30" ht="12.75" x14ac:dyDescent="0.2">
      <c r="C21" s="1"/>
      <c r="D21" s="3634" t="s">
        <v>1714</v>
      </c>
      <c r="E21" s="3635">
        <v>178</v>
      </c>
      <c r="F21" s="3635">
        <v>178</v>
      </c>
      <c r="G21" s="3635">
        <v>178</v>
      </c>
      <c r="H21" s="3635">
        <v>178</v>
      </c>
      <c r="I21" s="3635">
        <v>183</v>
      </c>
      <c r="J21" s="3635">
        <v>183</v>
      </c>
      <c r="K21" s="3635">
        <v>183</v>
      </c>
      <c r="L21" s="3635">
        <v>185</v>
      </c>
      <c r="M21" s="3635">
        <v>189</v>
      </c>
      <c r="N21" s="3635">
        <v>189</v>
      </c>
      <c r="O21" s="3636">
        <v>190</v>
      </c>
      <c r="P21" s="3636">
        <v>190</v>
      </c>
      <c r="Q21" s="3637"/>
      <c r="R21" s="17"/>
      <c r="S21" s="3036"/>
      <c r="T21" s="3036"/>
      <c r="U21" s="3036"/>
      <c r="V21" s="3036"/>
      <c r="W21" s="3036"/>
      <c r="X21" s="3036"/>
      <c r="Y21" s="3036"/>
      <c r="Z21" s="3036"/>
      <c r="AC21" s="3036"/>
      <c r="AD21" s="3036"/>
    </row>
    <row r="22" spans="1:30" ht="12.75" x14ac:dyDescent="0.2">
      <c r="C22" s="1"/>
      <c r="D22" s="932"/>
      <c r="E22" s="3036"/>
      <c r="F22" s="3036"/>
      <c r="G22" s="3036"/>
      <c r="H22" s="3036"/>
      <c r="I22" s="3036"/>
      <c r="J22" s="3036"/>
      <c r="K22" s="3036"/>
      <c r="L22" s="3036"/>
      <c r="M22" s="3036"/>
      <c r="N22" s="3036"/>
      <c r="O22" s="3036"/>
      <c r="P22" s="3036"/>
      <c r="Q22" s="3036"/>
      <c r="R22" s="3036"/>
      <c r="S22" s="3036"/>
      <c r="T22" s="3036"/>
      <c r="U22" s="3036"/>
      <c r="V22" s="3036"/>
      <c r="W22" s="3036"/>
      <c r="Z22" s="3036"/>
      <c r="AA22" s="3036"/>
    </row>
    <row r="23" spans="1:30" ht="12.75" x14ac:dyDescent="0.2">
      <c r="C23" s="1"/>
      <c r="D23" s="932"/>
      <c r="E23" s="3036"/>
      <c r="F23" s="3036"/>
      <c r="G23" s="3036"/>
      <c r="H23" s="3036"/>
      <c r="I23" s="3036"/>
      <c r="J23" s="3036"/>
      <c r="K23" s="3036"/>
      <c r="L23" s="3036"/>
      <c r="M23" s="3036"/>
      <c r="N23" s="3036"/>
      <c r="O23" s="3036"/>
      <c r="P23" s="3036"/>
      <c r="Q23" s="3036"/>
      <c r="R23" s="3036"/>
      <c r="S23" s="3036"/>
      <c r="T23" s="3036"/>
      <c r="U23" s="3036"/>
      <c r="V23" s="3036"/>
      <c r="W23" s="3036"/>
      <c r="Z23" s="3036"/>
      <c r="AA23" s="3036"/>
    </row>
    <row r="24" spans="1:30" x14ac:dyDescent="0.2">
      <c r="D24" s="1405" t="s">
        <v>67</v>
      </c>
      <c r="E24" s="749" t="s">
        <v>1715</v>
      </c>
      <c r="F24" s="3036"/>
      <c r="G24" s="3036"/>
      <c r="H24" s="3036"/>
      <c r="I24" s="3036"/>
      <c r="J24" s="3036"/>
      <c r="K24" s="3036"/>
      <c r="L24" s="3036"/>
      <c r="R24" s="732"/>
      <c r="Z24" s="3036"/>
      <c r="AA24" s="3036"/>
    </row>
    <row r="25" spans="1:30" ht="22.5" x14ac:dyDescent="0.2">
      <c r="A25" s="1"/>
      <c r="B25" s="1"/>
      <c r="D25" s="3638" t="s">
        <v>1716</v>
      </c>
      <c r="E25" s="3639"/>
      <c r="F25" s="3617">
        <v>2007</v>
      </c>
      <c r="G25" s="3617">
        <v>2008</v>
      </c>
      <c r="H25" s="3617">
        <v>2009</v>
      </c>
      <c r="I25" s="3617">
        <v>2010</v>
      </c>
      <c r="J25" s="3617">
        <v>2011</v>
      </c>
      <c r="K25" s="3617">
        <v>2012</v>
      </c>
      <c r="L25" s="3617">
        <v>2013</v>
      </c>
      <c r="M25" s="3640">
        <v>2014</v>
      </c>
      <c r="N25" s="3640">
        <v>2015</v>
      </c>
      <c r="O25" s="3618">
        <v>2016</v>
      </c>
      <c r="P25" s="3618">
        <v>2017</v>
      </c>
      <c r="Q25" s="3619" t="s">
        <v>1717</v>
      </c>
      <c r="R25" s="3620"/>
      <c r="U25" s="732"/>
      <c r="AC25" s="3036"/>
      <c r="AD25" s="3036"/>
    </row>
    <row r="26" spans="1:30" ht="12.75" x14ac:dyDescent="0.2">
      <c r="B26" s="3641"/>
      <c r="C26" s="734"/>
      <c r="D26" s="3642" t="s">
        <v>1718</v>
      </c>
      <c r="E26" s="3643"/>
      <c r="F26" s="3644">
        <v>32</v>
      </c>
      <c r="G26" s="3644">
        <v>2</v>
      </c>
      <c r="H26" s="3644">
        <v>2</v>
      </c>
      <c r="I26" s="3644">
        <v>2</v>
      </c>
      <c r="J26" s="3644">
        <v>2</v>
      </c>
      <c r="K26" s="3644">
        <v>1</v>
      </c>
      <c r="L26" s="3644">
        <v>1</v>
      </c>
      <c r="M26" s="3644">
        <v>28</v>
      </c>
      <c r="N26" s="3644">
        <v>59</v>
      </c>
      <c r="O26" s="3645">
        <v>62</v>
      </c>
      <c r="P26" s="3645">
        <v>68</v>
      </c>
      <c r="Q26" s="3624" t="s">
        <v>606</v>
      </c>
      <c r="R26" s="3631"/>
      <c r="U26" s="751"/>
    </row>
    <row r="27" spans="1:30" ht="12.75" x14ac:dyDescent="0.2">
      <c r="B27" s="3641"/>
      <c r="C27" s="734"/>
      <c r="D27" s="3642" t="s">
        <v>1719</v>
      </c>
      <c r="E27" s="3643"/>
      <c r="F27" s="3644">
        <v>9</v>
      </c>
      <c r="G27" s="3644">
        <v>9</v>
      </c>
      <c r="H27" s="3644">
        <v>9</v>
      </c>
      <c r="I27" s="3644">
        <v>10</v>
      </c>
      <c r="J27" s="3644">
        <v>10</v>
      </c>
      <c r="K27" s="3644">
        <v>10</v>
      </c>
      <c r="L27" s="3644">
        <v>10</v>
      </c>
      <c r="M27" s="3644">
        <v>10</v>
      </c>
      <c r="N27" s="3644">
        <v>14</v>
      </c>
      <c r="O27" s="3645">
        <v>22</v>
      </c>
      <c r="P27" s="3645">
        <v>24</v>
      </c>
      <c r="Q27" s="3624" t="s">
        <v>606</v>
      </c>
      <c r="R27" s="3631"/>
      <c r="U27" s="751"/>
    </row>
    <row r="28" spans="1:30" ht="12.75" x14ac:dyDescent="0.2">
      <c r="B28" s="3641"/>
      <c r="C28" s="734"/>
      <c r="D28" s="3642" t="s">
        <v>1720</v>
      </c>
      <c r="E28" s="3643"/>
      <c r="F28" s="3644">
        <v>59</v>
      </c>
      <c r="G28" s="3644">
        <v>65</v>
      </c>
      <c r="H28" s="3644">
        <v>23</v>
      </c>
      <c r="I28" s="3644">
        <v>23</v>
      </c>
      <c r="J28" s="3644">
        <v>24</v>
      </c>
      <c r="K28" s="3644">
        <v>44</v>
      </c>
      <c r="L28" s="3644">
        <v>32</v>
      </c>
      <c r="M28" s="3644">
        <v>24</v>
      </c>
      <c r="N28" s="3644">
        <v>20</v>
      </c>
      <c r="O28" s="3645">
        <v>51</v>
      </c>
      <c r="P28" s="3645">
        <v>46</v>
      </c>
      <c r="Q28" s="3624" t="str">
        <f>IF(K28&gt;L28,"+","-")</f>
        <v>+</v>
      </c>
      <c r="R28" s="3631"/>
      <c r="U28" s="751"/>
    </row>
    <row r="29" spans="1:30" x14ac:dyDescent="0.2">
      <c r="D29" s="3642" t="s">
        <v>1707</v>
      </c>
      <c r="E29" s="3646"/>
      <c r="F29" s="3647">
        <v>37</v>
      </c>
      <c r="G29" s="3647">
        <v>35</v>
      </c>
      <c r="H29" s="3647">
        <v>32</v>
      </c>
      <c r="I29" s="3647">
        <v>34</v>
      </c>
      <c r="J29" s="3647">
        <v>36</v>
      </c>
      <c r="K29" s="3647">
        <v>35</v>
      </c>
      <c r="L29" s="3647">
        <v>39</v>
      </c>
      <c r="M29" s="3647">
        <v>82</v>
      </c>
      <c r="N29" s="3647">
        <v>73</v>
      </c>
      <c r="O29" s="3645">
        <v>74</v>
      </c>
      <c r="P29" s="3645">
        <v>82</v>
      </c>
      <c r="Q29" s="3624" t="s">
        <v>606</v>
      </c>
      <c r="R29" s="3631"/>
      <c r="U29" s="751"/>
      <c r="V29" s="732"/>
      <c r="W29" s="732"/>
      <c r="AC29" s="3036"/>
      <c r="AD29" s="3036"/>
    </row>
    <row r="30" spans="1:30" ht="12.75" x14ac:dyDescent="0.2">
      <c r="B30" s="3641"/>
      <c r="C30" s="734"/>
      <c r="D30" s="3648" t="s">
        <v>1721</v>
      </c>
      <c r="E30" s="3649"/>
      <c r="F30" s="3645">
        <v>58</v>
      </c>
      <c r="G30" s="3650">
        <v>57</v>
      </c>
      <c r="H30" s="3650">
        <v>47</v>
      </c>
      <c r="I30" s="3650">
        <v>67</v>
      </c>
      <c r="J30" s="3650">
        <v>75</v>
      </c>
      <c r="K30" s="3650">
        <v>44</v>
      </c>
      <c r="L30" s="3650">
        <v>53</v>
      </c>
      <c r="M30" s="3650">
        <v>64</v>
      </c>
      <c r="N30" s="3650">
        <v>120</v>
      </c>
      <c r="O30" s="3645">
        <v>131</v>
      </c>
      <c r="P30" s="3645">
        <v>136</v>
      </c>
      <c r="Q30" s="3624" t="str">
        <f>IF(K30&gt;L30,"+","-")</f>
        <v>-</v>
      </c>
      <c r="R30" s="3631"/>
      <c r="V30" s="751"/>
      <c r="W30" s="751"/>
    </row>
    <row r="31" spans="1:30" x14ac:dyDescent="0.2">
      <c r="D31" s="3642" t="s">
        <v>1722</v>
      </c>
      <c r="E31" s="3643"/>
      <c r="F31" s="3644"/>
      <c r="G31" s="3644"/>
      <c r="H31" s="3644"/>
      <c r="I31" s="3644"/>
      <c r="J31" s="3644"/>
      <c r="K31" s="3644"/>
      <c r="L31" s="3644">
        <v>150</v>
      </c>
      <c r="M31" s="3644">
        <v>150</v>
      </c>
      <c r="N31" s="3644">
        <v>168</v>
      </c>
      <c r="O31" s="3645">
        <v>111</v>
      </c>
      <c r="P31" s="3645">
        <v>112</v>
      </c>
      <c r="Q31" s="3624" t="s">
        <v>606</v>
      </c>
      <c r="R31" s="3631"/>
      <c r="U31" s="751"/>
    </row>
    <row r="32" spans="1:30" x14ac:dyDescent="0.2">
      <c r="D32" s="3642" t="s">
        <v>1723</v>
      </c>
      <c r="E32" s="3643"/>
      <c r="F32" s="3644">
        <v>85</v>
      </c>
      <c r="G32" s="3644">
        <v>83</v>
      </c>
      <c r="H32" s="3644">
        <v>82</v>
      </c>
      <c r="I32" s="3644">
        <v>85</v>
      </c>
      <c r="J32" s="3644">
        <v>85</v>
      </c>
      <c r="K32" s="3644">
        <v>81</v>
      </c>
      <c r="L32" s="3644">
        <v>80</v>
      </c>
      <c r="M32" s="3644">
        <v>80</v>
      </c>
      <c r="N32" s="3644">
        <v>119</v>
      </c>
      <c r="O32" s="3645">
        <v>113</v>
      </c>
      <c r="P32" s="3645">
        <v>115</v>
      </c>
      <c r="Q32" s="3624" t="s">
        <v>606</v>
      </c>
      <c r="R32" s="3631"/>
      <c r="U32" s="751"/>
    </row>
    <row r="33" spans="1:28" ht="12.75" x14ac:dyDescent="0.2">
      <c r="B33" s="3641"/>
      <c r="C33" s="736"/>
      <c r="D33" s="3642" t="s">
        <v>1724</v>
      </c>
      <c r="E33" s="3643"/>
      <c r="F33" s="3644">
        <v>69</v>
      </c>
      <c r="G33" s="3644">
        <v>78</v>
      </c>
      <c r="H33" s="3644">
        <v>87</v>
      </c>
      <c r="I33" s="3644">
        <v>90</v>
      </c>
      <c r="J33" s="3644">
        <v>91</v>
      </c>
      <c r="K33" s="3644">
        <v>76</v>
      </c>
      <c r="L33" s="3644">
        <v>79</v>
      </c>
      <c r="M33" s="3644">
        <v>99</v>
      </c>
      <c r="N33" s="3644">
        <v>101</v>
      </c>
      <c r="O33" s="3645">
        <v>105</v>
      </c>
      <c r="P33" s="3645">
        <v>107</v>
      </c>
      <c r="Q33" s="3624" t="str">
        <f>IF(K33&gt;L33,"+","-")</f>
        <v>-</v>
      </c>
      <c r="R33" s="3631"/>
      <c r="U33" s="751"/>
    </row>
    <row r="34" spans="1:28" x14ac:dyDescent="0.2">
      <c r="B34" s="3030"/>
      <c r="C34" s="3030"/>
      <c r="D34" s="3651" t="s">
        <v>1725</v>
      </c>
      <c r="E34" s="3652"/>
      <c r="F34" s="3653">
        <v>130</v>
      </c>
      <c r="G34" s="3653">
        <v>137</v>
      </c>
      <c r="H34" s="3653">
        <v>147</v>
      </c>
      <c r="I34" s="3653">
        <v>148</v>
      </c>
      <c r="J34" s="3653">
        <v>149</v>
      </c>
      <c r="K34" s="3653">
        <v>144</v>
      </c>
      <c r="L34" s="3653">
        <v>115</v>
      </c>
      <c r="M34" s="3653">
        <v>106</v>
      </c>
      <c r="N34" s="3653">
        <v>130</v>
      </c>
      <c r="O34" s="3654">
        <v>139</v>
      </c>
      <c r="P34" s="3654">
        <v>147</v>
      </c>
      <c r="Q34" s="3655" t="s">
        <v>606</v>
      </c>
      <c r="R34" s="3631"/>
      <c r="U34" s="751"/>
      <c r="V34" s="3036"/>
      <c r="W34" s="3036"/>
      <c r="X34" s="3036"/>
      <c r="Y34" s="3036"/>
      <c r="Z34" s="3036"/>
      <c r="AA34" s="3036"/>
      <c r="AB34" s="3036"/>
    </row>
    <row r="35" spans="1:28" x14ac:dyDescent="0.2">
      <c r="T35" s="3036"/>
      <c r="U35" s="3036"/>
      <c r="V35" s="3036"/>
      <c r="W35" s="3036"/>
      <c r="X35" s="3036"/>
      <c r="Y35" s="3036"/>
    </row>
    <row r="36" spans="1:28" s="943" customFormat="1" ht="14.25" customHeight="1" x14ac:dyDescent="0.2">
      <c r="A36" s="1">
        <v>5</v>
      </c>
      <c r="B36" s="1" t="s">
        <v>29</v>
      </c>
      <c r="C36" s="1"/>
      <c r="D36" s="4140" t="s">
        <v>351</v>
      </c>
      <c r="E36" s="4141"/>
      <c r="F36" s="4141"/>
      <c r="G36" s="4141"/>
      <c r="H36" s="4141"/>
      <c r="I36" s="4141"/>
      <c r="J36" s="4141"/>
      <c r="K36" s="4141"/>
      <c r="L36" s="4141"/>
      <c r="M36" s="4141"/>
      <c r="N36" s="4141"/>
      <c r="O36" s="4141"/>
      <c r="P36" s="4141"/>
      <c r="Q36" s="4142"/>
      <c r="R36" s="733"/>
      <c r="S36" s="733"/>
      <c r="T36" s="688"/>
      <c r="U36" s="688"/>
      <c r="V36" s="688"/>
      <c r="W36" s="2041"/>
      <c r="X36" s="2041"/>
      <c r="Y36" s="2041"/>
    </row>
    <row r="37" spans="1:28" s="943" customFormat="1" ht="18" customHeight="1" x14ac:dyDescent="0.25">
      <c r="A37" s="40">
        <v>6</v>
      </c>
      <c r="B37" s="40" t="s">
        <v>32</v>
      </c>
      <c r="C37" s="40"/>
      <c r="D37" s="4140" t="s">
        <v>1726</v>
      </c>
      <c r="E37" s="4141"/>
      <c r="F37" s="4141"/>
      <c r="G37" s="4141"/>
      <c r="H37" s="4141"/>
      <c r="I37" s="4141"/>
      <c r="J37" s="4141"/>
      <c r="K37" s="4141"/>
      <c r="L37" s="4141"/>
      <c r="M37" s="4141"/>
      <c r="N37" s="4141"/>
      <c r="O37" s="4141"/>
      <c r="P37" s="4141"/>
      <c r="Q37" s="4142"/>
      <c r="R37" s="733"/>
      <c r="S37" s="733"/>
      <c r="T37" s="688"/>
      <c r="U37" s="688"/>
      <c r="V37" s="3109"/>
      <c r="W37" s="2041"/>
      <c r="X37" s="2041"/>
      <c r="Y37" s="2041"/>
    </row>
    <row r="38" spans="1:28" s="943" customFormat="1" ht="105.95" customHeight="1" x14ac:dyDescent="0.2">
      <c r="A38" s="1">
        <v>7</v>
      </c>
      <c r="B38" s="1" t="s">
        <v>34</v>
      </c>
      <c r="C38" s="1"/>
      <c r="D38" s="4140" t="s">
        <v>1727</v>
      </c>
      <c r="E38" s="4141"/>
      <c r="F38" s="4141"/>
      <c r="G38" s="4141"/>
      <c r="H38" s="4141"/>
      <c r="I38" s="4141"/>
      <c r="J38" s="4141"/>
      <c r="K38" s="4141"/>
      <c r="L38" s="4141"/>
      <c r="M38" s="4141"/>
      <c r="N38" s="4141"/>
      <c r="O38" s="4141"/>
      <c r="P38" s="4141"/>
      <c r="Q38" s="4142"/>
      <c r="R38" s="733"/>
      <c r="S38" s="733"/>
      <c r="T38" s="688"/>
      <c r="U38" s="688"/>
      <c r="V38" s="688"/>
      <c r="W38" s="2041"/>
      <c r="X38" s="2041"/>
      <c r="Y38" s="2041"/>
    </row>
    <row r="39" spans="1:28" s="943" customFormat="1" ht="14.25" customHeight="1" x14ac:dyDescent="0.2">
      <c r="A39" s="1">
        <v>8</v>
      </c>
      <c r="B39" s="1" t="s">
        <v>31</v>
      </c>
      <c r="C39" s="1"/>
      <c r="D39" s="4140" t="s">
        <v>1728</v>
      </c>
      <c r="E39" s="4141"/>
      <c r="F39" s="4141"/>
      <c r="G39" s="4141"/>
      <c r="H39" s="4141"/>
      <c r="I39" s="4141"/>
      <c r="J39" s="4141"/>
      <c r="K39" s="4141"/>
      <c r="L39" s="4141"/>
      <c r="M39" s="4141"/>
      <c r="N39" s="4141"/>
      <c r="O39" s="4141"/>
      <c r="P39" s="4141"/>
      <c r="Q39" s="4142"/>
      <c r="R39" s="733"/>
      <c r="S39" s="733"/>
      <c r="T39" s="688"/>
      <c r="U39" s="688"/>
      <c r="V39" s="688"/>
      <c r="W39" s="2041"/>
      <c r="X39" s="2041"/>
      <c r="Y39" s="2041"/>
    </row>
    <row r="40" spans="1:28" x14ac:dyDescent="0.2">
      <c r="B40" s="3656"/>
      <c r="C40" s="3656"/>
      <c r="N40" s="3036"/>
      <c r="O40" s="3036"/>
      <c r="P40" s="3036"/>
      <c r="Q40" s="3036"/>
      <c r="R40" s="3036"/>
      <c r="S40" s="3036"/>
      <c r="T40" s="3036"/>
      <c r="U40" s="3036"/>
    </row>
  </sheetData>
  <mergeCells count="7">
    <mergeCell ref="D38:Q38"/>
    <mergeCell ref="D39:Q39"/>
    <mergeCell ref="D2:Q2"/>
    <mergeCell ref="D3:Q3"/>
    <mergeCell ref="D4:Q4"/>
    <mergeCell ref="D36:Q36"/>
    <mergeCell ref="D37:Q37"/>
  </mergeCells>
  <pageMargins left="0.74803149606299213" right="0.74803149606299213" top="0.98425196850393704" bottom="0.98425196850393704" header="0.51181102362204722" footer="0.51181102362204722"/>
  <pageSetup paperSize="9" scale="68" orientation="landscape" r:id="rId1"/>
  <headerFooter alignWithMargins="0">
    <oddHeader>&amp;C&amp;"-,Bold"DEVELOPMENT INDICATORS 2014</oddHeader>
    <oddFooter>&amp;LDepartment of Planning, Monitoring and Evaluation (DPME). &amp;CPage &amp;P of &amp;N&amp;R&amp;D</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45"/>
  <sheetViews>
    <sheetView showGridLines="0" view="pageBreakPreview" zoomScaleSheetLayoutView="100" workbookViewId="0">
      <selection activeCell="D4" sqref="D4:R4"/>
    </sheetView>
  </sheetViews>
  <sheetFormatPr defaultColWidth="9.140625" defaultRowHeight="12" x14ac:dyDescent="0.2"/>
  <cols>
    <col min="1" max="1" width="3.7109375" style="3024" customWidth="1"/>
    <col min="2" max="2" width="14.42578125" style="3025" customWidth="1"/>
    <col min="3" max="3" width="3.7109375" style="3025" customWidth="1"/>
    <col min="4" max="4" width="22.5703125" style="733" customWidth="1"/>
    <col min="5" max="5" width="10.42578125" style="733" customWidth="1"/>
    <col min="6" max="17" width="10.5703125" style="733" customWidth="1"/>
    <col min="18" max="18" width="7.140625" style="733" customWidth="1"/>
    <col min="19" max="19" width="4.7109375" style="733" customWidth="1"/>
    <col min="20" max="16384" width="9.140625" style="733"/>
  </cols>
  <sheetData>
    <row r="1" spans="1:18" s="943" customFormat="1" ht="15" x14ac:dyDescent="0.2">
      <c r="A1" s="2035"/>
      <c r="B1" s="2036"/>
      <c r="C1" s="2036"/>
    </row>
    <row r="2" spans="1:18" s="943" customFormat="1" ht="14.25" customHeight="1" x14ac:dyDescent="0.2">
      <c r="A2" s="1">
        <v>1</v>
      </c>
      <c r="B2" s="1" t="s">
        <v>0</v>
      </c>
      <c r="C2" s="1">
        <v>82</v>
      </c>
      <c r="D2" s="4140" t="s">
        <v>1746</v>
      </c>
      <c r="E2" s="4141"/>
      <c r="F2" s="4141"/>
      <c r="G2" s="4141"/>
      <c r="H2" s="4141"/>
      <c r="I2" s="4141"/>
      <c r="J2" s="4141"/>
      <c r="K2" s="4141"/>
      <c r="L2" s="4141"/>
      <c r="M2" s="4141"/>
      <c r="N2" s="4141"/>
      <c r="O2" s="4141"/>
      <c r="P2" s="4141"/>
      <c r="Q2" s="4141"/>
      <c r="R2" s="4142"/>
    </row>
    <row r="3" spans="1:18" s="943" customFormat="1" ht="14.25" customHeight="1" x14ac:dyDescent="0.2">
      <c r="A3" s="1">
        <v>2</v>
      </c>
      <c r="B3" s="1" t="s">
        <v>2</v>
      </c>
      <c r="C3" s="1"/>
      <c r="D3" s="4140" t="s">
        <v>1747</v>
      </c>
      <c r="E3" s="4141"/>
      <c r="F3" s="4141"/>
      <c r="G3" s="4141"/>
      <c r="H3" s="4141"/>
      <c r="I3" s="4141"/>
      <c r="J3" s="4141"/>
      <c r="K3" s="4141"/>
      <c r="L3" s="4141"/>
      <c r="M3" s="4141"/>
      <c r="N3" s="4141"/>
      <c r="O3" s="4141"/>
      <c r="P3" s="4141"/>
      <c r="Q3" s="4141"/>
      <c r="R3" s="4142"/>
    </row>
    <row r="4" spans="1:18" s="943" customFormat="1" ht="41.25" customHeight="1" x14ac:dyDescent="0.2">
      <c r="A4" s="1">
        <v>3</v>
      </c>
      <c r="B4" s="1" t="s">
        <v>4</v>
      </c>
      <c r="C4" s="1"/>
      <c r="D4" s="4140" t="s">
        <v>1748</v>
      </c>
      <c r="E4" s="4141"/>
      <c r="F4" s="4141"/>
      <c r="G4" s="4141"/>
      <c r="H4" s="4141"/>
      <c r="I4" s="4141"/>
      <c r="J4" s="4141"/>
      <c r="K4" s="4141"/>
      <c r="L4" s="4141"/>
      <c r="M4" s="4141"/>
      <c r="N4" s="4141"/>
      <c r="O4" s="4141"/>
      <c r="P4" s="4141"/>
      <c r="Q4" s="4141"/>
      <c r="R4" s="4142"/>
    </row>
    <row r="5" spans="1:18" ht="12.75" x14ac:dyDescent="0.2">
      <c r="C5" s="12"/>
    </row>
    <row r="6" spans="1:18" s="11" customFormat="1" ht="12.75" x14ac:dyDescent="0.2">
      <c r="A6" s="1">
        <v>4</v>
      </c>
      <c r="B6" s="12" t="s">
        <v>5</v>
      </c>
      <c r="C6" s="1778"/>
      <c r="D6" s="1381" t="s">
        <v>6</v>
      </c>
      <c r="E6" s="1381"/>
      <c r="F6" s="1381" t="s">
        <v>1749</v>
      </c>
      <c r="G6" s="1381"/>
      <c r="H6" s="1381"/>
      <c r="I6" s="1381"/>
      <c r="J6" s="1381"/>
      <c r="K6" s="1381"/>
      <c r="L6" s="1381"/>
      <c r="M6" s="1381"/>
      <c r="N6" s="1381"/>
      <c r="O6" s="1381"/>
      <c r="P6" s="1381"/>
    </row>
    <row r="7" spans="1:18" s="11" customFormat="1" ht="11.25" x14ac:dyDescent="0.2">
      <c r="A7" s="5"/>
      <c r="B7" s="6"/>
      <c r="C7" s="1778"/>
      <c r="D7" s="1456" t="s">
        <v>1750</v>
      </c>
      <c r="E7" s="3740"/>
      <c r="F7" s="3741">
        <v>2000</v>
      </c>
      <c r="G7" s="3741">
        <v>2001</v>
      </c>
      <c r="H7" s="3741">
        <v>2002</v>
      </c>
      <c r="I7" s="3741">
        <v>2003</v>
      </c>
      <c r="J7" s="3741">
        <v>2004</v>
      </c>
      <c r="K7" s="3741">
        <v>2005</v>
      </c>
      <c r="L7" s="3741">
        <v>2006</v>
      </c>
      <c r="M7" s="3741">
        <v>2007</v>
      </c>
      <c r="N7" s="3741">
        <v>2008</v>
      </c>
      <c r="O7" s="3741">
        <v>2009</v>
      </c>
      <c r="P7" s="3742">
        <v>2010</v>
      </c>
      <c r="Q7" s="3742">
        <v>2011</v>
      </c>
      <c r="R7" s="3742">
        <v>2012</v>
      </c>
    </row>
    <row r="8" spans="1:18" s="11" customFormat="1" ht="11.25" x14ac:dyDescent="0.2">
      <c r="A8" s="5"/>
      <c r="B8" s="6"/>
      <c r="C8" s="3743"/>
      <c r="D8" s="4469" t="s">
        <v>1751</v>
      </c>
      <c r="E8" s="4469"/>
      <c r="F8" s="3744">
        <v>431</v>
      </c>
      <c r="G8" s="3744">
        <v>442</v>
      </c>
      <c r="H8" s="3744">
        <v>453</v>
      </c>
      <c r="I8" s="3744">
        <v>464</v>
      </c>
      <c r="J8" s="3744">
        <v>475</v>
      </c>
      <c r="K8" s="3744">
        <v>486</v>
      </c>
      <c r="L8" s="3744">
        <v>497</v>
      </c>
      <c r="M8" s="3744">
        <v>508</v>
      </c>
      <c r="N8" s="3744">
        <v>519</v>
      </c>
      <c r="O8" s="3744">
        <v>530</v>
      </c>
      <c r="P8" s="3744">
        <v>550</v>
      </c>
      <c r="Q8" s="3744">
        <v>547</v>
      </c>
      <c r="R8" s="3744">
        <v>553</v>
      </c>
    </row>
    <row r="9" spans="1:18" s="11" customFormat="1" ht="11.25" x14ac:dyDescent="0.2">
      <c r="A9" s="5"/>
      <c r="B9" s="6"/>
      <c r="C9" s="3743"/>
      <c r="D9" s="4470" t="s">
        <v>1752</v>
      </c>
      <c r="E9" s="4470"/>
      <c r="F9" s="3744">
        <v>398</v>
      </c>
      <c r="G9" s="3744">
        <v>398</v>
      </c>
      <c r="H9" s="3744">
        <v>398</v>
      </c>
      <c r="I9" s="3744">
        <v>398</v>
      </c>
      <c r="J9" s="3744">
        <v>398</v>
      </c>
      <c r="K9" s="3744">
        <v>398</v>
      </c>
      <c r="L9" s="3744">
        <v>398</v>
      </c>
      <c r="M9" s="3744">
        <v>398</v>
      </c>
      <c r="N9" s="3744">
        <v>398</v>
      </c>
      <c r="O9" s="3744">
        <v>398</v>
      </c>
      <c r="P9" s="3744">
        <v>398</v>
      </c>
      <c r="Q9" s="3744">
        <v>398</v>
      </c>
      <c r="R9" s="3744">
        <v>398</v>
      </c>
    </row>
    <row r="10" spans="1:18" s="11" customFormat="1" ht="11.25" x14ac:dyDescent="0.2">
      <c r="A10" s="5"/>
      <c r="B10" s="6"/>
      <c r="C10" s="3743"/>
      <c r="D10" s="2085" t="s">
        <v>639</v>
      </c>
      <c r="E10" s="2085"/>
      <c r="F10" s="3744">
        <v>434</v>
      </c>
      <c r="G10" s="3744">
        <v>434</v>
      </c>
      <c r="H10" s="3744">
        <v>446</v>
      </c>
      <c r="I10" s="3744">
        <v>468</v>
      </c>
      <c r="J10" s="3744">
        <v>489</v>
      </c>
      <c r="K10" s="3744">
        <v>485</v>
      </c>
      <c r="L10" s="3744">
        <v>492</v>
      </c>
      <c r="M10" s="3744">
        <v>517</v>
      </c>
      <c r="N10" s="3744">
        <v>515</v>
      </c>
      <c r="O10" s="3744">
        <v>514</v>
      </c>
      <c r="P10" s="3744">
        <v>514</v>
      </c>
      <c r="Q10" s="3744">
        <v>529</v>
      </c>
      <c r="R10" s="3744">
        <v>518</v>
      </c>
    </row>
    <row r="11" spans="1:18" s="11" customFormat="1" ht="20.25" customHeight="1" x14ac:dyDescent="0.2">
      <c r="A11" s="5"/>
      <c r="B11" s="6"/>
      <c r="C11" s="6"/>
      <c r="D11" s="2085"/>
      <c r="E11" s="2085"/>
      <c r="F11" s="1336"/>
      <c r="G11" s="1336"/>
      <c r="H11" s="1336"/>
      <c r="I11" s="3745"/>
      <c r="J11" s="17"/>
      <c r="K11" s="17"/>
      <c r="L11" s="17"/>
      <c r="M11" s="17"/>
      <c r="N11" s="17"/>
      <c r="O11" s="17"/>
      <c r="P11" s="17"/>
    </row>
    <row r="12" spans="1:18" ht="12.75" x14ac:dyDescent="0.2">
      <c r="A12" s="1">
        <v>5</v>
      </c>
      <c r="B12" s="1" t="s">
        <v>90</v>
      </c>
      <c r="D12" s="1355"/>
      <c r="E12" s="1355"/>
      <c r="F12" s="1886"/>
      <c r="G12" s="1886"/>
      <c r="H12" s="1886"/>
      <c r="I12" s="1886"/>
      <c r="J12" s="1355"/>
      <c r="K12" s="1355"/>
      <c r="L12" s="1355"/>
      <c r="M12" s="1355"/>
      <c r="N12" s="1355"/>
      <c r="O12" s="1355"/>
      <c r="P12" s="1355"/>
    </row>
    <row r="18" spans="1:3" x14ac:dyDescent="0.2">
      <c r="A18" s="733"/>
      <c r="B18" s="733"/>
      <c r="C18" s="733"/>
    </row>
    <row r="19" spans="1:3" x14ac:dyDescent="0.2">
      <c r="A19" s="733"/>
      <c r="B19" s="733"/>
      <c r="C19" s="733"/>
    </row>
    <row r="20" spans="1:3" x14ac:dyDescent="0.2">
      <c r="A20" s="733"/>
      <c r="B20" s="733"/>
      <c r="C20" s="733"/>
    </row>
    <row r="21" spans="1:3" x14ac:dyDescent="0.2">
      <c r="A21" s="733"/>
      <c r="B21" s="733"/>
      <c r="C21" s="733"/>
    </row>
    <row r="22" spans="1:3" x14ac:dyDescent="0.2">
      <c r="A22" s="733"/>
      <c r="B22" s="733"/>
      <c r="C22" s="733"/>
    </row>
    <row r="23" spans="1:3" x14ac:dyDescent="0.2">
      <c r="A23" s="733"/>
      <c r="B23" s="733"/>
      <c r="C23" s="733"/>
    </row>
    <row r="24" spans="1:3" x14ac:dyDescent="0.2">
      <c r="A24" s="733"/>
      <c r="B24" s="733"/>
      <c r="C24" s="733"/>
    </row>
    <row r="25" spans="1:3" x14ac:dyDescent="0.2">
      <c r="A25" s="733"/>
      <c r="B25" s="733"/>
      <c r="C25" s="733"/>
    </row>
    <row r="26" spans="1:3" x14ac:dyDescent="0.2">
      <c r="A26" s="733"/>
      <c r="B26" s="733"/>
      <c r="C26" s="733"/>
    </row>
    <row r="27" spans="1:3" x14ac:dyDescent="0.2">
      <c r="A27" s="733"/>
      <c r="B27" s="733"/>
      <c r="C27" s="733"/>
    </row>
    <row r="28" spans="1:3" x14ac:dyDescent="0.2">
      <c r="A28" s="733"/>
      <c r="B28" s="733"/>
      <c r="C28" s="733"/>
    </row>
    <row r="29" spans="1:3" x14ac:dyDescent="0.2">
      <c r="A29" s="733"/>
      <c r="B29" s="733"/>
      <c r="C29" s="733"/>
    </row>
    <row r="43" spans="1:18" s="943" customFormat="1" ht="14.25" customHeight="1" x14ac:dyDescent="0.2">
      <c r="A43" s="1">
        <v>6</v>
      </c>
      <c r="B43" s="1" t="s">
        <v>29</v>
      </c>
      <c r="C43" s="1"/>
      <c r="D43" s="4140" t="s">
        <v>1753</v>
      </c>
      <c r="E43" s="4141"/>
      <c r="F43" s="4141"/>
      <c r="G43" s="4141"/>
      <c r="H43" s="4141"/>
      <c r="I43" s="4141"/>
      <c r="J43" s="4141"/>
      <c r="K43" s="4141"/>
      <c r="L43" s="4141"/>
      <c r="M43" s="4141"/>
      <c r="N43" s="4141"/>
      <c r="O43" s="4141"/>
      <c r="P43" s="4141"/>
      <c r="Q43" s="4141"/>
      <c r="R43" s="4142"/>
    </row>
    <row r="44" spans="1:18" s="943" customFormat="1" ht="29.25" customHeight="1" x14ac:dyDescent="0.2">
      <c r="A44" s="40">
        <v>7</v>
      </c>
      <c r="B44" s="40" t="s">
        <v>32</v>
      </c>
      <c r="C44" s="40"/>
      <c r="D44" s="4140" t="s">
        <v>1754</v>
      </c>
      <c r="E44" s="4141"/>
      <c r="F44" s="4141"/>
      <c r="G44" s="4141"/>
      <c r="H44" s="4141"/>
      <c r="I44" s="4141"/>
      <c r="J44" s="4141"/>
      <c r="K44" s="4141"/>
      <c r="L44" s="4141"/>
      <c r="M44" s="4141"/>
      <c r="N44" s="4141"/>
      <c r="O44" s="4141"/>
      <c r="P44" s="4141"/>
      <c r="Q44" s="4141"/>
      <c r="R44" s="4142"/>
    </row>
    <row r="45" spans="1:18" s="943" customFormat="1" ht="51.75" customHeight="1" x14ac:dyDescent="0.2">
      <c r="A45" s="1">
        <v>8</v>
      </c>
      <c r="B45" s="1" t="s">
        <v>31</v>
      </c>
      <c r="C45" s="1"/>
      <c r="D45" s="4140" t="s">
        <v>640</v>
      </c>
      <c r="E45" s="4141"/>
      <c r="F45" s="4141"/>
      <c r="G45" s="4141"/>
      <c r="H45" s="4141"/>
      <c r="I45" s="4141"/>
      <c r="J45" s="4141"/>
      <c r="K45" s="4141"/>
      <c r="L45" s="4141"/>
      <c r="M45" s="4141"/>
      <c r="N45" s="4141"/>
      <c r="O45" s="4141"/>
      <c r="P45" s="4141"/>
      <c r="Q45" s="4141"/>
      <c r="R45" s="4142"/>
    </row>
  </sheetData>
  <mergeCells count="8">
    <mergeCell ref="D44:R44"/>
    <mergeCell ref="D45:R45"/>
    <mergeCell ref="D2:R2"/>
    <mergeCell ref="D3:R3"/>
    <mergeCell ref="D4:R4"/>
    <mergeCell ref="D8:E8"/>
    <mergeCell ref="D9:E9"/>
    <mergeCell ref="D43:R43"/>
  </mergeCells>
  <pageMargins left="0.74803149606299213" right="0.74803149606299213" top="0.98425196850393704" bottom="0.98425196850393704" header="0.51181102362204722" footer="0.51181102362204722"/>
  <pageSetup paperSize="9" scale="64" orientation="landscape" r:id="rId1"/>
  <headerFooter alignWithMargins="0">
    <oddFooter>&amp;LDRAFT&amp;CPage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J180"/>
  <sheetViews>
    <sheetView showGridLines="0" view="pageBreakPreview" zoomScaleNormal="100" zoomScaleSheetLayoutView="100" workbookViewId="0">
      <selection activeCell="S88" sqref="S88"/>
    </sheetView>
  </sheetViews>
  <sheetFormatPr defaultColWidth="9.28515625" defaultRowHeight="15" x14ac:dyDescent="0.25"/>
  <cols>
    <col min="1" max="1" width="3.7109375" style="116" customWidth="1"/>
    <col min="2" max="2" width="13.7109375" style="113" bestFit="1" customWidth="1"/>
    <col min="3" max="3" width="3.7109375" style="114" customWidth="1"/>
    <col min="4" max="4" width="12.5703125" style="44" customWidth="1"/>
    <col min="5" max="5" width="6.7109375" style="44" customWidth="1"/>
    <col min="6" max="30" width="5.5703125" style="44" customWidth="1"/>
    <col min="31" max="31" width="9.7109375" style="44" bestFit="1" customWidth="1"/>
    <col min="32" max="33" width="9.28515625" style="44"/>
    <col min="34" max="34" width="10.7109375" style="44" customWidth="1"/>
    <col min="35" max="35" width="9.7109375" style="44" bestFit="1" customWidth="1"/>
    <col min="36" max="37" width="9.28515625" style="44"/>
    <col min="38" max="38" width="10.5703125" style="44" customWidth="1"/>
    <col min="39" max="39" width="9.7109375" style="44" bestFit="1" customWidth="1"/>
    <col min="40" max="41" width="9.28515625" style="44"/>
    <col min="42" max="42" width="10.5703125" style="44" customWidth="1"/>
    <col min="43" max="43" width="9.7109375" style="44" bestFit="1" customWidth="1"/>
    <col min="44" max="45" width="9.28515625" style="44"/>
    <col min="46" max="46" width="10" style="44" customWidth="1"/>
    <col min="47" max="47" width="9.7109375" style="44" bestFit="1" customWidth="1"/>
    <col min="48" max="50" width="9.28515625" style="44"/>
    <col min="51" max="51" width="9.7109375" style="44" bestFit="1" customWidth="1"/>
    <col min="52" max="52" width="9.7109375" style="44" customWidth="1"/>
    <col min="53" max="53" width="9.28515625" style="44"/>
    <col min="54" max="54" width="9.7109375" style="44" customWidth="1"/>
    <col min="55" max="55" width="9.7109375" style="44" bestFit="1" customWidth="1"/>
    <col min="56" max="56" width="9.28515625" style="44" customWidth="1"/>
    <col min="57" max="57" width="9.28515625" style="44"/>
    <col min="58" max="58" width="11.5703125" style="44" customWidth="1"/>
    <col min="59" max="16384" width="9.28515625" style="44"/>
  </cols>
  <sheetData>
    <row r="1" spans="1:58" x14ac:dyDescent="0.25">
      <c r="D1" s="115"/>
      <c r="E1" s="115"/>
      <c r="F1" s="115"/>
      <c r="G1" s="115"/>
      <c r="H1" s="115"/>
      <c r="I1" s="115"/>
      <c r="J1" s="115"/>
      <c r="K1" s="115"/>
      <c r="L1" s="115"/>
      <c r="M1" s="115"/>
      <c r="N1" s="115"/>
      <c r="O1" s="115"/>
      <c r="P1" s="125"/>
      <c r="Q1" s="125"/>
      <c r="R1" s="125"/>
      <c r="S1" s="125"/>
      <c r="T1" s="125"/>
      <c r="U1" s="125"/>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row>
    <row r="2" spans="1:58" ht="15" customHeight="1" x14ac:dyDescent="0.25">
      <c r="A2" s="116">
        <v>1</v>
      </c>
      <c r="B2" s="117" t="s">
        <v>0</v>
      </c>
      <c r="C2" s="116">
        <f>'[1]G debt'!C2+1</f>
        <v>7</v>
      </c>
      <c r="D2" s="4063" t="s">
        <v>159</v>
      </c>
      <c r="E2" s="4064"/>
      <c r="F2" s="4064"/>
      <c r="G2" s="4064"/>
      <c r="H2" s="4064"/>
      <c r="I2" s="4064"/>
      <c r="J2" s="4064"/>
      <c r="K2" s="4064"/>
      <c r="L2" s="4064"/>
      <c r="M2" s="4064"/>
      <c r="N2" s="4064"/>
      <c r="O2" s="4064"/>
      <c r="P2" s="4064"/>
      <c r="Q2" s="4064"/>
      <c r="R2" s="4064"/>
      <c r="S2" s="4064"/>
      <c r="T2" s="4064"/>
      <c r="U2" s="4064"/>
      <c r="V2" s="4064"/>
      <c r="W2" s="4064"/>
      <c r="X2" s="4064"/>
      <c r="Y2" s="4064"/>
      <c r="Z2" s="4064"/>
      <c r="AA2" s="4064"/>
      <c r="AB2" s="4065"/>
      <c r="AC2" s="254"/>
      <c r="AD2" s="49"/>
      <c r="AE2" s="49"/>
      <c r="AF2" s="49"/>
      <c r="AG2" s="49"/>
      <c r="AH2" s="49"/>
      <c r="AI2" s="49"/>
      <c r="AJ2" s="49"/>
      <c r="AK2" s="49"/>
      <c r="AL2" s="49"/>
      <c r="AM2" s="49"/>
      <c r="AN2" s="49"/>
      <c r="AO2" s="49"/>
      <c r="AP2" s="49"/>
      <c r="AQ2" s="49"/>
      <c r="AR2" s="49"/>
      <c r="AS2" s="49"/>
      <c r="AT2" s="53"/>
      <c r="AU2" s="53"/>
      <c r="AV2" s="53"/>
      <c r="AW2" s="53"/>
      <c r="AX2" s="53"/>
      <c r="AY2" s="53"/>
      <c r="AZ2" s="53"/>
      <c r="BA2" s="53"/>
      <c r="BB2" s="53"/>
      <c r="BC2" s="53"/>
      <c r="BD2" s="53"/>
      <c r="BE2" s="53"/>
      <c r="BF2" s="53"/>
    </row>
    <row r="3" spans="1:58" ht="15" customHeight="1" x14ac:dyDescent="0.25">
      <c r="A3" s="116">
        <v>2</v>
      </c>
      <c r="B3" s="117" t="s">
        <v>2</v>
      </c>
      <c r="C3" s="116"/>
      <c r="D3" s="4057" t="s">
        <v>160</v>
      </c>
      <c r="E3" s="4058"/>
      <c r="F3" s="4058"/>
      <c r="G3" s="4058"/>
      <c r="H3" s="4058"/>
      <c r="I3" s="4058"/>
      <c r="J3" s="4058"/>
      <c r="K3" s="4058"/>
      <c r="L3" s="4058"/>
      <c r="M3" s="4058"/>
      <c r="N3" s="4058"/>
      <c r="O3" s="4058"/>
      <c r="P3" s="4058"/>
      <c r="Q3" s="4058"/>
      <c r="R3" s="4058"/>
      <c r="S3" s="4058"/>
      <c r="T3" s="4058"/>
      <c r="U3" s="4058"/>
      <c r="V3" s="4058"/>
      <c r="W3" s="4058"/>
      <c r="X3" s="4058"/>
      <c r="Y3" s="4058"/>
      <c r="Z3" s="4058"/>
      <c r="AA3" s="4058"/>
      <c r="AB3" s="4059"/>
      <c r="AC3" s="175"/>
      <c r="AD3" s="49"/>
      <c r="AE3" s="49"/>
      <c r="AF3" s="49"/>
      <c r="AG3" s="49"/>
      <c r="AH3" s="49"/>
      <c r="AI3" s="49"/>
      <c r="AJ3" s="49"/>
      <c r="AK3" s="49"/>
      <c r="AL3" s="49"/>
      <c r="AM3" s="49"/>
      <c r="AN3" s="49"/>
      <c r="AO3" s="49"/>
      <c r="AP3" s="49"/>
      <c r="AQ3" s="49"/>
      <c r="AR3" s="49"/>
      <c r="AS3" s="49"/>
      <c r="AT3" s="53"/>
      <c r="AU3" s="53"/>
      <c r="AV3" s="53"/>
      <c r="AW3" s="53"/>
      <c r="AX3" s="53"/>
      <c r="AY3" s="53"/>
      <c r="AZ3" s="53"/>
      <c r="BA3" s="53"/>
      <c r="BB3" s="53"/>
      <c r="BC3" s="53"/>
      <c r="BD3" s="53"/>
      <c r="BE3" s="53"/>
      <c r="BF3" s="53"/>
    </row>
    <row r="4" spans="1:58" ht="15" customHeight="1" x14ac:dyDescent="0.25">
      <c r="A4" s="116">
        <v>3</v>
      </c>
      <c r="B4" s="117" t="s">
        <v>4</v>
      </c>
      <c r="C4" s="116"/>
      <c r="D4" s="4057" t="s">
        <v>161</v>
      </c>
      <c r="E4" s="4058"/>
      <c r="F4" s="4058"/>
      <c r="G4" s="4058"/>
      <c r="H4" s="4058"/>
      <c r="I4" s="4058"/>
      <c r="J4" s="4058"/>
      <c r="K4" s="4058"/>
      <c r="L4" s="4058"/>
      <c r="M4" s="4058"/>
      <c r="N4" s="4058"/>
      <c r="O4" s="4058"/>
      <c r="P4" s="4058"/>
      <c r="Q4" s="4058"/>
      <c r="R4" s="4058"/>
      <c r="S4" s="4058"/>
      <c r="T4" s="4058"/>
      <c r="U4" s="4058"/>
      <c r="V4" s="4058"/>
      <c r="W4" s="4058"/>
      <c r="X4" s="4058"/>
      <c r="Y4" s="4058"/>
      <c r="Z4" s="4058"/>
      <c r="AA4" s="4058"/>
      <c r="AB4" s="4059"/>
      <c r="AC4" s="175"/>
      <c r="AD4" s="255"/>
      <c r="AE4" s="255"/>
      <c r="AF4" s="255"/>
      <c r="AG4" s="255"/>
      <c r="AH4" s="255"/>
      <c r="AI4" s="255"/>
      <c r="AJ4" s="255"/>
      <c r="AK4" s="255"/>
      <c r="AL4" s="255"/>
      <c r="AM4" s="255"/>
      <c r="AN4" s="255"/>
      <c r="AO4" s="255"/>
      <c r="AP4" s="255"/>
      <c r="AQ4" s="255"/>
      <c r="AR4" s="255"/>
      <c r="AS4" s="255"/>
      <c r="AT4" s="53"/>
      <c r="AU4" s="53"/>
      <c r="AV4" s="53"/>
      <c r="AW4" s="53"/>
      <c r="AX4" s="53"/>
      <c r="AY4" s="53"/>
      <c r="AZ4" s="53"/>
      <c r="BA4" s="53"/>
      <c r="BB4" s="53"/>
      <c r="BC4" s="53"/>
      <c r="BD4" s="53"/>
      <c r="BE4" s="53"/>
      <c r="BF4" s="53"/>
    </row>
    <row r="5" spans="1:58" ht="12" customHeight="1" x14ac:dyDescent="0.25">
      <c r="B5" s="117"/>
      <c r="C5" s="116"/>
      <c r="D5" s="4057"/>
      <c r="E5" s="4058"/>
      <c r="F5" s="4058"/>
      <c r="G5" s="4058"/>
      <c r="H5" s="4058"/>
      <c r="I5" s="4058"/>
      <c r="J5" s="4058"/>
      <c r="K5" s="4058"/>
      <c r="L5" s="4058"/>
      <c r="M5" s="4058"/>
      <c r="N5" s="4058"/>
      <c r="O5" s="4058"/>
      <c r="P5" s="4058"/>
      <c r="Q5" s="4058"/>
      <c r="R5" s="4058"/>
      <c r="S5" s="4058"/>
      <c r="T5" s="4058"/>
      <c r="U5" s="4058"/>
      <c r="V5" s="4058"/>
      <c r="W5" s="4058"/>
      <c r="X5" s="4058"/>
      <c r="Y5" s="4058"/>
      <c r="Z5" s="4058"/>
      <c r="AA5" s="4058"/>
      <c r="AB5" s="4059"/>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25">
      <c r="A6" s="116">
        <v>4</v>
      </c>
      <c r="B6" s="121" t="s">
        <v>5</v>
      </c>
      <c r="C6" s="118"/>
      <c r="D6" s="115"/>
      <c r="E6" s="115"/>
      <c r="F6" s="115"/>
      <c r="G6" s="115"/>
      <c r="H6" s="115"/>
      <c r="I6" s="115"/>
      <c r="J6" s="115"/>
      <c r="K6" s="115"/>
      <c r="L6" s="115"/>
      <c r="M6" s="115"/>
      <c r="N6" s="115"/>
      <c r="O6" s="115"/>
      <c r="P6" s="125"/>
      <c r="Q6" s="139"/>
      <c r="R6" s="125"/>
      <c r="S6" s="125"/>
      <c r="T6" s="125"/>
      <c r="U6" s="125"/>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row>
    <row r="7" spans="1:58" x14ac:dyDescent="0.25">
      <c r="C7" s="118"/>
      <c r="D7" s="123" t="s">
        <v>40</v>
      </c>
      <c r="E7" s="123" t="s">
        <v>162</v>
      </c>
      <c r="F7" s="123"/>
      <c r="G7" s="123"/>
      <c r="H7" s="123"/>
      <c r="I7" s="123"/>
      <c r="J7" s="123"/>
      <c r="K7" s="123"/>
      <c r="L7" s="123"/>
      <c r="M7" s="124"/>
      <c r="N7" s="124"/>
      <c r="O7" s="124"/>
      <c r="P7" s="124"/>
      <c r="Q7" s="124"/>
      <c r="R7" s="125"/>
      <c r="S7" s="125"/>
      <c r="T7" s="125"/>
      <c r="U7" s="125"/>
      <c r="V7" s="125"/>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row>
    <row r="8" spans="1:58" x14ac:dyDescent="0.25">
      <c r="D8" s="183"/>
      <c r="E8" s="257" t="s">
        <v>42</v>
      </c>
      <c r="F8" s="257" t="s">
        <v>43</v>
      </c>
      <c r="G8" s="257" t="s">
        <v>44</v>
      </c>
      <c r="H8" s="257" t="s">
        <v>45</v>
      </c>
      <c r="I8" s="257" t="s">
        <v>46</v>
      </c>
      <c r="J8" s="257" t="s">
        <v>47</v>
      </c>
      <c r="K8" s="257" t="s">
        <v>48</v>
      </c>
      <c r="L8" s="257" t="s">
        <v>49</v>
      </c>
      <c r="M8" s="257" t="s">
        <v>50</v>
      </c>
      <c r="N8" s="257" t="s">
        <v>51</v>
      </c>
      <c r="O8" s="257" t="s">
        <v>52</v>
      </c>
      <c r="P8" s="257" t="s">
        <v>53</v>
      </c>
      <c r="Q8" s="257" t="s">
        <v>54</v>
      </c>
      <c r="R8" s="257" t="s">
        <v>55</v>
      </c>
      <c r="S8" s="257" t="s">
        <v>56</v>
      </c>
      <c r="T8" s="257" t="s">
        <v>57</v>
      </c>
      <c r="U8" s="257" t="s">
        <v>58</v>
      </c>
      <c r="V8" s="257" t="s">
        <v>59</v>
      </c>
      <c r="W8" s="257" t="s">
        <v>60</v>
      </c>
      <c r="X8" s="258">
        <v>2013</v>
      </c>
      <c r="Y8" s="258">
        <v>2014</v>
      </c>
      <c r="Z8" s="258">
        <v>2015</v>
      </c>
      <c r="AA8" s="258">
        <v>2016</v>
      </c>
      <c r="AB8" s="823">
        <v>2017</v>
      </c>
      <c r="AC8" s="259"/>
      <c r="AD8" s="259"/>
    </row>
    <row r="9" spans="1:58" x14ac:dyDescent="0.25">
      <c r="D9" s="260" t="s">
        <v>163</v>
      </c>
      <c r="E9" s="261">
        <v>5.7779999999999996</v>
      </c>
      <c r="F9" s="261">
        <v>10.8513</v>
      </c>
      <c r="G9" s="261">
        <v>10.0183</v>
      </c>
      <c r="H9" s="261">
        <v>12.182499999999999</v>
      </c>
      <c r="I9" s="261">
        <v>12.947699999999999</v>
      </c>
      <c r="J9" s="261">
        <v>13.0137</v>
      </c>
      <c r="K9" s="261">
        <v>7.0092999999999996</v>
      </c>
      <c r="L9" s="261">
        <v>8.1340000000000003</v>
      </c>
      <c r="M9" s="261">
        <v>4.0925000000000002</v>
      </c>
      <c r="N9" s="261">
        <v>11.0558</v>
      </c>
      <c r="O9" s="261">
        <v>7.4539999999999997</v>
      </c>
      <c r="P9" s="261">
        <v>6.6601999999999997</v>
      </c>
      <c r="Q9" s="261">
        <v>6.3327</v>
      </c>
      <c r="R9" s="261">
        <v>5.0458999999999996</v>
      </c>
      <c r="S9" s="261">
        <v>5.0228000000000002</v>
      </c>
      <c r="T9" s="261">
        <v>3.9510999999999998</v>
      </c>
      <c r="U9" s="261">
        <v>5.3140000000000001</v>
      </c>
      <c r="V9" s="261">
        <v>2.7332999999999998</v>
      </c>
      <c r="W9" s="261">
        <v>2.649</v>
      </c>
      <c r="X9" s="261">
        <v>2.9411999999999998</v>
      </c>
      <c r="Y9" s="261">
        <v>3.7511999999999999</v>
      </c>
      <c r="Z9" s="261">
        <v>4.3250999999999999</v>
      </c>
      <c r="AA9" s="261">
        <v>3.4643999999999999</v>
      </c>
      <c r="AB9" s="824">
        <v>5.3009000000000004</v>
      </c>
      <c r="AC9" s="261"/>
      <c r="AD9" s="261"/>
    </row>
    <row r="10" spans="1:58" x14ac:dyDescent="0.25">
      <c r="D10" s="262" t="s">
        <v>164</v>
      </c>
      <c r="E10" s="263">
        <v>16.25</v>
      </c>
      <c r="F10" s="263">
        <v>18.5</v>
      </c>
      <c r="G10" s="263">
        <v>20.25</v>
      </c>
      <c r="H10" s="263">
        <v>19.25</v>
      </c>
      <c r="I10" s="263">
        <v>23</v>
      </c>
      <c r="J10" s="263">
        <v>15.5</v>
      </c>
      <c r="K10" s="263">
        <v>14.5</v>
      </c>
      <c r="L10" s="263">
        <v>13</v>
      </c>
      <c r="M10" s="263">
        <v>17</v>
      </c>
      <c r="N10" s="263">
        <v>11.5</v>
      </c>
      <c r="O10" s="263">
        <v>11</v>
      </c>
      <c r="P10" s="263">
        <v>10.5</v>
      </c>
      <c r="Q10" s="263">
        <v>12.5</v>
      </c>
      <c r="R10" s="263">
        <v>14.5</v>
      </c>
      <c r="S10" s="263">
        <v>15</v>
      </c>
      <c r="T10" s="263">
        <v>10.5</v>
      </c>
      <c r="U10" s="263">
        <v>9</v>
      </c>
      <c r="V10" s="263">
        <v>9</v>
      </c>
      <c r="W10" s="263">
        <v>8.5</v>
      </c>
      <c r="X10" s="264">
        <v>8.5</v>
      </c>
      <c r="Y10" s="264">
        <v>9.25</v>
      </c>
      <c r="Z10" s="265">
        <v>9.75</v>
      </c>
      <c r="AA10" s="265">
        <v>10.5</v>
      </c>
      <c r="AB10" s="825">
        <v>10.25</v>
      </c>
      <c r="AC10" s="261"/>
      <c r="AD10" s="261"/>
    </row>
    <row r="11" spans="1:58" x14ac:dyDescent="0.25">
      <c r="C11" s="118"/>
      <c r="D11" s="123" t="s">
        <v>67</v>
      </c>
      <c r="E11" s="123" t="s">
        <v>165</v>
      </c>
      <c r="F11" s="123"/>
      <c r="G11" s="123"/>
      <c r="H11" s="123"/>
      <c r="I11" s="123"/>
      <c r="J11" s="123"/>
      <c r="K11" s="123"/>
      <c r="L11" s="123"/>
      <c r="M11" s="124"/>
      <c r="N11" s="124"/>
      <c r="O11" s="124"/>
      <c r="P11" s="124"/>
      <c r="Q11" s="124"/>
      <c r="R11" s="125"/>
      <c r="S11" s="125"/>
      <c r="T11" s="125"/>
      <c r="U11" s="125"/>
      <c r="V11" s="125"/>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row>
    <row r="12" spans="1:58" x14ac:dyDescent="0.25">
      <c r="D12" s="183"/>
      <c r="E12" s="257" t="s">
        <v>42</v>
      </c>
      <c r="F12" s="257" t="s">
        <v>43</v>
      </c>
      <c r="G12" s="257" t="s">
        <v>44</v>
      </c>
      <c r="H12" s="257" t="s">
        <v>45</v>
      </c>
      <c r="I12" s="257" t="s">
        <v>46</v>
      </c>
      <c r="J12" s="257" t="s">
        <v>47</v>
      </c>
      <c r="K12" s="257" t="s">
        <v>48</v>
      </c>
      <c r="L12" s="257" t="s">
        <v>49</v>
      </c>
      <c r="M12" s="257" t="s">
        <v>50</v>
      </c>
      <c r="N12" s="257" t="s">
        <v>51</v>
      </c>
      <c r="O12" s="257" t="s">
        <v>52</v>
      </c>
      <c r="P12" s="257" t="s">
        <v>53</v>
      </c>
      <c r="Q12" s="257" t="s">
        <v>54</v>
      </c>
      <c r="R12" s="257" t="s">
        <v>55</v>
      </c>
      <c r="S12" s="257" t="s">
        <v>56</v>
      </c>
      <c r="T12" s="257" t="s">
        <v>57</v>
      </c>
      <c r="U12" s="257" t="s">
        <v>58</v>
      </c>
      <c r="V12" s="257" t="s">
        <v>59</v>
      </c>
      <c r="W12" s="257" t="s">
        <v>60</v>
      </c>
      <c r="X12" s="258">
        <v>2013</v>
      </c>
      <c r="Y12" s="258">
        <v>2014</v>
      </c>
      <c r="Z12" s="258">
        <v>2015</v>
      </c>
      <c r="AA12" s="258">
        <v>2016</v>
      </c>
      <c r="AB12" s="823">
        <v>2017</v>
      </c>
      <c r="AC12" s="259"/>
      <c r="AD12" s="259"/>
    </row>
    <row r="13" spans="1:58" x14ac:dyDescent="0.25">
      <c r="D13" s="260" t="s">
        <v>163</v>
      </c>
      <c r="E13" s="261">
        <v>2.8207</v>
      </c>
      <c r="F13" s="261">
        <v>7.5772000000000004</v>
      </c>
      <c r="G13" s="261">
        <v>7.0448000000000004</v>
      </c>
      <c r="H13" s="261">
        <v>9.1250999999999998</v>
      </c>
      <c r="I13" s="261">
        <v>9.5684000000000005</v>
      </c>
      <c r="J13" s="261">
        <v>9.5890000000000004</v>
      </c>
      <c r="K13" s="261">
        <v>4.6729000000000003</v>
      </c>
      <c r="L13" s="261">
        <v>4.7847</v>
      </c>
      <c r="M13" s="261">
        <v>0.97860000000000003</v>
      </c>
      <c r="N13" s="261">
        <v>7.5697000000000001</v>
      </c>
      <c r="O13" s="261">
        <v>4.0658000000000003</v>
      </c>
      <c r="P13" s="261">
        <v>3.2818999999999998</v>
      </c>
      <c r="Q13" s="261">
        <v>3.0246</v>
      </c>
      <c r="R13" s="261">
        <v>1.8349</v>
      </c>
      <c r="S13" s="261">
        <v>1.8265</v>
      </c>
      <c r="T13" s="261">
        <v>0.65849999999999997</v>
      </c>
      <c r="U13" s="261">
        <v>1.9323999999999999</v>
      </c>
      <c r="V13" s="261">
        <v>-0.5655</v>
      </c>
      <c r="W13" s="261">
        <v>-0.6623</v>
      </c>
      <c r="X13" s="261">
        <v>-0.3795</v>
      </c>
      <c r="Y13" s="261">
        <v>0.4274</v>
      </c>
      <c r="Z13" s="261">
        <v>0.99809999999999999</v>
      </c>
      <c r="AA13" s="261">
        <v>0.18729999999999999</v>
      </c>
      <c r="AB13" s="824">
        <v>1.958</v>
      </c>
      <c r="AC13" s="261"/>
      <c r="AD13" s="261"/>
    </row>
    <row r="14" spans="1:58" x14ac:dyDescent="0.25">
      <c r="D14" s="262" t="s">
        <v>164</v>
      </c>
      <c r="E14" s="263">
        <v>13</v>
      </c>
      <c r="F14" s="263">
        <v>15</v>
      </c>
      <c r="G14" s="263">
        <v>17</v>
      </c>
      <c r="H14" s="263">
        <v>16</v>
      </c>
      <c r="I14" s="263">
        <v>19.32</v>
      </c>
      <c r="J14" s="263">
        <v>12</v>
      </c>
      <c r="K14" s="263">
        <v>12</v>
      </c>
      <c r="L14" s="263">
        <v>9.5</v>
      </c>
      <c r="M14" s="263">
        <v>13.5</v>
      </c>
      <c r="N14" s="263">
        <v>8</v>
      </c>
      <c r="O14" s="263">
        <v>7.5</v>
      </c>
      <c r="P14" s="263">
        <v>7</v>
      </c>
      <c r="Q14" s="263">
        <v>9</v>
      </c>
      <c r="R14" s="263">
        <v>11</v>
      </c>
      <c r="S14" s="263">
        <v>11.5</v>
      </c>
      <c r="T14" s="263">
        <v>7</v>
      </c>
      <c r="U14" s="263">
        <v>5.5</v>
      </c>
      <c r="V14" s="263">
        <v>5.5</v>
      </c>
      <c r="W14" s="263">
        <v>5</v>
      </c>
      <c r="X14" s="264">
        <v>5</v>
      </c>
      <c r="Y14" s="264">
        <v>5.75</v>
      </c>
      <c r="Z14" s="265">
        <v>6.25</v>
      </c>
      <c r="AA14" s="265">
        <v>7</v>
      </c>
      <c r="AB14" s="825">
        <v>6.75</v>
      </c>
      <c r="AC14" s="261"/>
      <c r="AD14" s="261"/>
    </row>
    <row r="15" spans="1:58" x14ac:dyDescent="0.25">
      <c r="C15" s="118"/>
      <c r="D15" s="115"/>
      <c r="E15" s="120"/>
      <c r="F15" s="120"/>
      <c r="G15" s="120"/>
      <c r="H15" s="120"/>
      <c r="I15" s="120"/>
      <c r="J15" s="120"/>
      <c r="K15" s="120"/>
      <c r="L15" s="120"/>
      <c r="M15" s="120"/>
      <c r="N15" s="120"/>
      <c r="O15" s="120"/>
      <c r="P15" s="119"/>
      <c r="Q15" s="120"/>
      <c r="R15" s="115"/>
      <c r="S15" s="115"/>
      <c r="T15" s="115"/>
      <c r="U15" s="115"/>
      <c r="W15" s="140"/>
      <c r="X15" s="246"/>
    </row>
    <row r="16" spans="1:58" x14ac:dyDescent="0.25">
      <c r="A16" s="116">
        <v>5</v>
      </c>
      <c r="B16" s="117" t="s">
        <v>90</v>
      </c>
      <c r="C16" s="116"/>
      <c r="D16" s="115"/>
      <c r="E16" s="120"/>
      <c r="F16" s="120"/>
      <c r="G16" s="120"/>
      <c r="H16" s="120"/>
      <c r="I16" s="120"/>
      <c r="J16" s="120"/>
      <c r="K16" s="120"/>
      <c r="L16" s="120"/>
      <c r="M16" s="120"/>
      <c r="N16" s="120"/>
      <c r="O16" s="120"/>
      <c r="P16" s="120"/>
      <c r="Q16" s="120"/>
      <c r="R16" s="266"/>
      <c r="S16" s="266"/>
      <c r="T16" s="266"/>
      <c r="U16" s="266"/>
      <c r="W16" s="140"/>
      <c r="X16" s="246"/>
      <c r="Y16" s="97"/>
    </row>
    <row r="17" spans="4:26" x14ac:dyDescent="0.25">
      <c r="D17" s="115"/>
      <c r="E17" s="120"/>
      <c r="F17" s="120"/>
      <c r="G17" s="120"/>
      <c r="H17" s="120"/>
      <c r="I17" s="120"/>
      <c r="J17" s="120"/>
      <c r="K17" s="120"/>
      <c r="L17" s="120"/>
      <c r="M17" s="120"/>
      <c r="N17" s="120"/>
      <c r="O17" s="120"/>
      <c r="P17" s="120"/>
      <c r="Q17" s="120"/>
      <c r="R17" s="266"/>
      <c r="S17" s="266"/>
      <c r="T17" s="266"/>
      <c r="U17" s="266"/>
      <c r="W17" s="140"/>
      <c r="X17" s="165"/>
    </row>
    <row r="18" spans="4:26" x14ac:dyDescent="0.25">
      <c r="D18" s="115"/>
      <c r="E18" s="120"/>
      <c r="F18" s="120"/>
      <c r="G18" s="120"/>
      <c r="H18" s="120"/>
      <c r="I18" s="120"/>
      <c r="J18" s="120"/>
      <c r="K18" s="120"/>
      <c r="L18" s="120"/>
      <c r="M18" s="120"/>
      <c r="N18" s="120"/>
      <c r="O18" s="120"/>
      <c r="P18" s="115"/>
      <c r="Q18" s="120"/>
      <c r="R18" s="266"/>
      <c r="S18" s="266"/>
      <c r="T18" s="266"/>
      <c r="U18" s="266"/>
      <c r="W18" s="140"/>
    </row>
    <row r="19" spans="4:26" x14ac:dyDescent="0.25">
      <c r="D19" s="115"/>
      <c r="E19" s="120"/>
      <c r="F19" s="120"/>
      <c r="G19" s="120"/>
      <c r="H19" s="120"/>
      <c r="I19" s="120"/>
      <c r="J19" s="120"/>
      <c r="K19" s="120"/>
      <c r="L19" s="120"/>
      <c r="M19" s="115"/>
      <c r="N19" s="120"/>
      <c r="O19" s="120"/>
      <c r="P19" s="120"/>
      <c r="Q19" s="120"/>
      <c r="R19" s="266"/>
      <c r="S19" s="266"/>
      <c r="T19" s="266"/>
      <c r="U19" s="266"/>
      <c r="W19" s="140"/>
      <c r="Z19" s="267" t="s">
        <v>166</v>
      </c>
    </row>
    <row r="20" spans="4:26" x14ac:dyDescent="0.25">
      <c r="D20" s="115"/>
      <c r="E20" s="120"/>
      <c r="F20" s="120"/>
      <c r="G20" s="120"/>
      <c r="H20" s="120"/>
      <c r="I20" s="120"/>
      <c r="J20" s="120"/>
      <c r="K20" s="120"/>
      <c r="L20" s="120"/>
      <c r="M20" s="115"/>
      <c r="N20" s="120"/>
      <c r="O20" s="120"/>
      <c r="P20" s="119"/>
      <c r="Q20" s="120"/>
      <c r="R20" s="266"/>
      <c r="S20" s="266"/>
      <c r="T20" s="266"/>
      <c r="U20" s="266"/>
      <c r="W20" s="140"/>
    </row>
    <row r="21" spans="4:26" x14ac:dyDescent="0.25">
      <c r="D21" s="115"/>
      <c r="E21" s="120"/>
      <c r="F21" s="120"/>
      <c r="G21" s="120"/>
      <c r="H21" s="120"/>
      <c r="I21" s="120"/>
      <c r="J21" s="120"/>
      <c r="K21" s="120"/>
      <c r="L21" s="120"/>
      <c r="M21" s="115"/>
      <c r="N21" s="120"/>
      <c r="O21" s="120"/>
      <c r="P21" s="119"/>
      <c r="Q21" s="120"/>
      <c r="R21" s="266"/>
      <c r="S21" s="266"/>
      <c r="T21" s="266"/>
      <c r="U21" s="266"/>
      <c r="W21" s="140"/>
      <c r="X21" s="44" t="s">
        <v>167</v>
      </c>
    </row>
    <row r="22" spans="4:26" x14ac:dyDescent="0.25">
      <c r="D22" s="115"/>
      <c r="E22" s="120"/>
      <c r="F22" s="120"/>
      <c r="G22" s="120"/>
      <c r="H22" s="120"/>
      <c r="I22" s="120"/>
      <c r="J22" s="120"/>
      <c r="K22" s="120"/>
      <c r="L22" s="120"/>
      <c r="M22" s="115"/>
      <c r="N22" s="120"/>
      <c r="O22" s="120"/>
      <c r="P22" s="120"/>
      <c r="Q22" s="120"/>
      <c r="R22" s="266"/>
      <c r="S22" s="266"/>
      <c r="T22" s="266"/>
      <c r="U22" s="266"/>
      <c r="W22" s="140"/>
    </row>
    <row r="23" spans="4:26" x14ac:dyDescent="0.25">
      <c r="D23" s="115"/>
      <c r="E23" s="120"/>
      <c r="F23" s="120"/>
      <c r="G23" s="120"/>
      <c r="H23" s="120"/>
      <c r="I23" s="120"/>
      <c r="J23" s="120"/>
      <c r="K23" s="120"/>
      <c r="L23" s="120"/>
      <c r="M23" s="120"/>
      <c r="N23" s="120"/>
      <c r="O23" s="120"/>
      <c r="P23" s="120"/>
      <c r="Q23" s="120"/>
      <c r="R23" s="266"/>
      <c r="S23" s="266"/>
      <c r="T23" s="266"/>
      <c r="U23" s="266"/>
      <c r="W23" s="140"/>
    </row>
    <row r="24" spans="4:26" x14ac:dyDescent="0.25">
      <c r="D24" s="115"/>
      <c r="E24" s="120"/>
      <c r="F24" s="120"/>
      <c r="G24" s="120"/>
      <c r="H24" s="120"/>
      <c r="I24" s="120"/>
      <c r="J24" s="120"/>
      <c r="K24" s="120"/>
      <c r="L24" s="120"/>
      <c r="M24" s="120"/>
      <c r="N24" s="120"/>
      <c r="O24" s="120"/>
      <c r="P24" s="120"/>
      <c r="Q24" s="120"/>
      <c r="R24" s="266"/>
      <c r="S24" s="266"/>
      <c r="T24" s="266"/>
      <c r="U24" s="266"/>
      <c r="W24" s="140"/>
    </row>
    <row r="25" spans="4:26" x14ac:dyDescent="0.25">
      <c r="D25" s="115"/>
      <c r="E25" s="120"/>
      <c r="F25" s="120"/>
      <c r="G25" s="120"/>
      <c r="H25" s="120"/>
      <c r="I25" s="120"/>
      <c r="J25" s="120"/>
      <c r="K25" s="120"/>
      <c r="L25" s="120"/>
      <c r="M25" s="120"/>
      <c r="N25" s="120"/>
      <c r="O25" s="120"/>
      <c r="P25" s="120"/>
      <c r="Q25" s="120"/>
      <c r="R25" s="266"/>
      <c r="S25" s="266"/>
      <c r="T25" s="266"/>
      <c r="U25" s="266"/>
      <c r="W25" s="140"/>
    </row>
    <row r="26" spans="4:26" x14ac:dyDescent="0.25">
      <c r="D26" s="115"/>
      <c r="E26" s="115"/>
      <c r="F26" s="115"/>
      <c r="G26" s="115"/>
      <c r="H26" s="115"/>
      <c r="I26" s="115"/>
      <c r="J26" s="115"/>
      <c r="K26" s="115"/>
      <c r="L26" s="115"/>
      <c r="M26" s="115"/>
      <c r="N26" s="115"/>
      <c r="O26" s="115"/>
      <c r="P26" s="115"/>
      <c r="Q26" s="115"/>
      <c r="R26" s="266"/>
      <c r="S26" s="266"/>
      <c r="T26" s="266"/>
      <c r="U26" s="266"/>
      <c r="W26" s="268"/>
    </row>
    <row r="27" spans="4:26" x14ac:dyDescent="0.25">
      <c r="D27" s="115"/>
      <c r="E27" s="115"/>
      <c r="F27" s="115"/>
      <c r="G27" s="115"/>
      <c r="H27" s="115"/>
      <c r="I27" s="115"/>
      <c r="J27" s="115"/>
      <c r="K27" s="115"/>
      <c r="L27" s="115"/>
      <c r="M27" s="115"/>
      <c r="N27" s="115"/>
      <c r="O27" s="115"/>
      <c r="P27" s="115"/>
      <c r="Q27" s="115"/>
      <c r="R27" s="266"/>
      <c r="S27" s="266"/>
      <c r="T27" s="266"/>
      <c r="U27" s="266"/>
    </row>
    <row r="28" spans="4:26" x14ac:dyDescent="0.25">
      <c r="D28" s="115"/>
      <c r="E28" s="115"/>
      <c r="F28" s="115"/>
      <c r="G28" s="115"/>
      <c r="H28" s="115"/>
      <c r="I28" s="115"/>
      <c r="J28" s="115"/>
      <c r="K28" s="115"/>
      <c r="L28" s="115"/>
      <c r="M28" s="115"/>
      <c r="N28" s="115"/>
      <c r="O28" s="115"/>
      <c r="P28" s="115"/>
      <c r="Q28" s="115"/>
      <c r="R28" s="266"/>
      <c r="S28" s="266"/>
      <c r="T28" s="266"/>
      <c r="U28" s="266"/>
    </row>
    <row r="29" spans="4:26" x14ac:dyDescent="0.25">
      <c r="D29" s="115"/>
      <c r="E29" s="115"/>
      <c r="F29" s="115"/>
      <c r="G29" s="115"/>
      <c r="H29" s="115"/>
      <c r="I29" s="115"/>
      <c r="J29" s="115"/>
      <c r="K29" s="115"/>
      <c r="L29" s="115"/>
      <c r="M29" s="115"/>
      <c r="N29" s="115"/>
      <c r="O29" s="115"/>
      <c r="P29" s="115"/>
      <c r="Q29" s="115"/>
      <c r="R29" s="266"/>
      <c r="S29" s="266"/>
      <c r="T29" s="266"/>
      <c r="U29" s="266"/>
    </row>
    <row r="30" spans="4:26" x14ac:dyDescent="0.25">
      <c r="D30" s="115"/>
      <c r="E30" s="115"/>
      <c r="F30" s="115"/>
      <c r="G30" s="115"/>
      <c r="H30" s="115"/>
      <c r="I30" s="115"/>
      <c r="J30" s="115"/>
      <c r="K30" s="115"/>
      <c r="L30" s="115"/>
      <c r="M30" s="115"/>
      <c r="N30" s="115"/>
      <c r="O30" s="115"/>
      <c r="P30" s="115"/>
      <c r="Q30" s="115"/>
      <c r="R30" s="269"/>
      <c r="S30" s="269"/>
      <c r="T30" s="269"/>
      <c r="U30" s="269"/>
    </row>
    <row r="31" spans="4:26" x14ac:dyDescent="0.25">
      <c r="D31" s="115"/>
      <c r="E31" s="115"/>
      <c r="F31" s="115"/>
      <c r="G31" s="115"/>
      <c r="H31" s="115"/>
      <c r="I31" s="115"/>
      <c r="J31" s="115"/>
      <c r="K31" s="115"/>
      <c r="L31" s="115"/>
      <c r="M31" s="115"/>
      <c r="N31" s="115"/>
      <c r="O31" s="115"/>
      <c r="P31" s="115"/>
      <c r="Q31" s="115"/>
      <c r="R31" s="115"/>
      <c r="S31" s="115"/>
      <c r="T31" s="115"/>
      <c r="U31" s="115"/>
    </row>
    <row r="32" spans="4:26" x14ac:dyDescent="0.25">
      <c r="D32" s="115"/>
      <c r="E32" s="115"/>
      <c r="F32" s="115"/>
      <c r="G32" s="115"/>
      <c r="H32" s="115"/>
      <c r="I32" s="115"/>
      <c r="J32" s="115"/>
      <c r="K32" s="115"/>
      <c r="L32" s="115"/>
      <c r="M32" s="115"/>
      <c r="N32" s="115"/>
      <c r="O32" s="115"/>
      <c r="P32" s="115"/>
      <c r="Q32" s="115"/>
      <c r="R32" s="115"/>
      <c r="S32" s="115"/>
      <c r="T32" s="115"/>
      <c r="U32" s="115"/>
    </row>
    <row r="33" spans="1:88" x14ac:dyDescent="0.25">
      <c r="D33" s="115"/>
      <c r="E33" s="115"/>
      <c r="F33" s="115"/>
      <c r="G33" s="115"/>
      <c r="H33" s="115"/>
      <c r="I33" s="115"/>
      <c r="J33" s="115"/>
      <c r="K33" s="115"/>
      <c r="L33" s="115"/>
      <c r="M33" s="115"/>
      <c r="N33" s="115"/>
      <c r="O33" s="115"/>
      <c r="P33" s="115"/>
      <c r="Q33" s="115"/>
      <c r="R33" s="115"/>
      <c r="S33" s="115"/>
      <c r="T33" s="115"/>
      <c r="U33" s="115"/>
    </row>
    <row r="34" spans="1:88" x14ac:dyDescent="0.25">
      <c r="D34" s="115"/>
      <c r="E34" s="115"/>
      <c r="F34" s="115"/>
      <c r="G34" s="115"/>
      <c r="H34" s="115"/>
      <c r="I34" s="115"/>
      <c r="J34" s="115"/>
      <c r="K34" s="115"/>
      <c r="L34" s="115"/>
      <c r="M34" s="115"/>
      <c r="N34" s="115"/>
      <c r="O34" s="115"/>
      <c r="P34" s="115"/>
      <c r="Q34" s="115"/>
      <c r="R34" s="115"/>
      <c r="S34" s="115"/>
      <c r="T34" s="115"/>
      <c r="U34" s="115"/>
    </row>
    <row r="35" spans="1:88" x14ac:dyDescent="0.25">
      <c r="D35" s="115"/>
      <c r="E35" s="115"/>
      <c r="F35" s="115"/>
      <c r="G35" s="115"/>
      <c r="H35" s="115"/>
      <c r="I35" s="115"/>
      <c r="J35" s="115"/>
      <c r="K35" s="115"/>
      <c r="L35" s="115"/>
      <c r="M35" s="115"/>
      <c r="N35" s="115"/>
      <c r="O35" s="115"/>
      <c r="P35" s="115"/>
      <c r="Q35" s="115"/>
      <c r="R35" s="115"/>
      <c r="S35" s="115"/>
      <c r="T35" s="115"/>
      <c r="U35" s="115"/>
    </row>
    <row r="36" spans="1:88" x14ac:dyDescent="0.25">
      <c r="D36" s="115"/>
      <c r="E36" s="115"/>
      <c r="F36" s="115"/>
      <c r="G36" s="115"/>
      <c r="H36" s="115"/>
      <c r="I36" s="115"/>
      <c r="J36" s="115"/>
      <c r="K36" s="115"/>
      <c r="L36" s="115"/>
      <c r="M36" s="115"/>
      <c r="N36" s="115"/>
      <c r="O36" s="115"/>
      <c r="P36" s="115"/>
      <c r="Q36" s="115"/>
      <c r="R36" s="115"/>
      <c r="S36" s="115"/>
      <c r="T36" s="115"/>
      <c r="U36" s="115"/>
    </row>
    <row r="37" spans="1:88" x14ac:dyDescent="0.25">
      <c r="A37" s="116">
        <v>6</v>
      </c>
      <c r="B37" s="117" t="s">
        <v>29</v>
      </c>
      <c r="C37" s="116"/>
      <c r="D37" s="4048" t="s">
        <v>168</v>
      </c>
      <c r="E37" s="4049"/>
      <c r="F37" s="4049"/>
      <c r="G37" s="4049"/>
      <c r="H37" s="4049"/>
      <c r="I37" s="4049"/>
      <c r="J37" s="4049"/>
      <c r="K37" s="4049"/>
      <c r="L37" s="4049"/>
      <c r="M37" s="4049"/>
      <c r="N37" s="4049"/>
      <c r="O37" s="4049"/>
      <c r="P37" s="4049"/>
      <c r="Q37" s="4049"/>
      <c r="R37" s="4049"/>
      <c r="S37" s="4049"/>
      <c r="T37" s="4049"/>
      <c r="U37" s="4049"/>
      <c r="V37" s="4049"/>
      <c r="W37" s="4049"/>
      <c r="X37" s="4049"/>
      <c r="Y37" s="4049"/>
      <c r="Z37" s="4049"/>
      <c r="AA37" s="4050"/>
      <c r="AB37" s="142"/>
      <c r="AC37" s="142"/>
    </row>
    <row r="38" spans="1:88" ht="12.75" customHeight="1" x14ac:dyDescent="0.25">
      <c r="A38" s="143">
        <v>7</v>
      </c>
      <c r="B38" s="144" t="s">
        <v>32</v>
      </c>
      <c r="C38" s="143"/>
      <c r="D38" s="4066" t="s">
        <v>169</v>
      </c>
      <c r="E38" s="4067"/>
      <c r="F38" s="4067"/>
      <c r="G38" s="4067"/>
      <c r="H38" s="4067"/>
      <c r="I38" s="4067"/>
      <c r="J38" s="4067"/>
      <c r="K38" s="4067"/>
      <c r="L38" s="4067"/>
      <c r="M38" s="4067"/>
      <c r="N38" s="4067"/>
      <c r="O38" s="4067"/>
      <c r="P38" s="4067"/>
      <c r="Q38" s="4067"/>
      <c r="R38" s="4067"/>
      <c r="S38" s="4067"/>
      <c r="T38" s="4067"/>
      <c r="U38" s="4067"/>
      <c r="V38" s="4067"/>
      <c r="W38" s="4067"/>
      <c r="X38" s="4067"/>
      <c r="Y38" s="4067"/>
      <c r="Z38" s="4067"/>
      <c r="AA38" s="4068"/>
      <c r="AB38" s="170"/>
      <c r="AC38" s="170"/>
    </row>
    <row r="39" spans="1:88" ht="12.75" customHeight="1" x14ac:dyDescent="0.25">
      <c r="A39" s="116">
        <v>8</v>
      </c>
      <c r="B39" s="117" t="s">
        <v>31</v>
      </c>
      <c r="C39" s="116"/>
      <c r="D39" s="4048" t="s">
        <v>170</v>
      </c>
      <c r="E39" s="4049"/>
      <c r="F39" s="4049"/>
      <c r="G39" s="4049"/>
      <c r="H39" s="4049"/>
      <c r="I39" s="4049"/>
      <c r="J39" s="4049"/>
      <c r="K39" s="4049"/>
      <c r="L39" s="4049"/>
      <c r="M39" s="4049"/>
      <c r="N39" s="4049"/>
      <c r="O39" s="4049"/>
      <c r="P39" s="4049"/>
      <c r="Q39" s="4049"/>
      <c r="R39" s="4049"/>
      <c r="S39" s="4049"/>
      <c r="T39" s="4049"/>
      <c r="U39" s="4049"/>
      <c r="V39" s="4049"/>
      <c r="W39" s="4049"/>
      <c r="X39" s="4049"/>
      <c r="Y39" s="4049"/>
      <c r="Z39" s="4049"/>
      <c r="AA39" s="4050"/>
      <c r="AB39" s="270"/>
      <c r="AC39" s="142"/>
    </row>
    <row r="40" spans="1:88" ht="28.5" customHeight="1" x14ac:dyDescent="0.25">
      <c r="A40" s="116">
        <v>9</v>
      </c>
      <c r="B40" s="117" t="s">
        <v>157</v>
      </c>
      <c r="C40" s="116"/>
      <c r="D40" s="4048" t="s">
        <v>171</v>
      </c>
      <c r="E40" s="4049"/>
      <c r="F40" s="4049"/>
      <c r="G40" s="4049"/>
      <c r="H40" s="4049"/>
      <c r="I40" s="4049"/>
      <c r="J40" s="4049"/>
      <c r="K40" s="4049"/>
      <c r="L40" s="4049"/>
      <c r="M40" s="4049"/>
      <c r="N40" s="4049"/>
      <c r="O40" s="4049"/>
      <c r="P40" s="4049"/>
      <c r="Q40" s="4049"/>
      <c r="R40" s="4049"/>
      <c r="S40" s="4049"/>
      <c r="T40" s="4049"/>
      <c r="U40" s="4049"/>
      <c r="V40" s="4049"/>
      <c r="W40" s="4049"/>
      <c r="X40" s="4049"/>
      <c r="Y40" s="4049"/>
      <c r="Z40" s="4049"/>
      <c r="AA40" s="4050"/>
      <c r="AB40" s="142"/>
      <c r="AC40" s="142"/>
    </row>
    <row r="42" spans="1:88" ht="14.25" customHeight="1" x14ac:dyDescent="0.25">
      <c r="BM42" s="44" t="e">
        <f>+AVERAGE(#REF!)</f>
        <v>#REF!</v>
      </c>
    </row>
    <row r="43" spans="1:88" x14ac:dyDescent="0.25">
      <c r="B43" s="132"/>
      <c r="C43" s="133"/>
      <c r="E43" s="74"/>
      <c r="AG43" s="97"/>
    </row>
    <row r="44" spans="1:88" s="272" customFormat="1" ht="13.15" customHeight="1" x14ac:dyDescent="0.2">
      <c r="A44" s="271"/>
      <c r="B44" s="3800"/>
      <c r="C44" s="3800"/>
      <c r="D44" s="3801">
        <v>1994</v>
      </c>
      <c r="E44" s="4087">
        <v>1995</v>
      </c>
      <c r="F44" s="4088"/>
      <c r="G44" s="4088"/>
      <c r="H44" s="4089"/>
      <c r="I44" s="4087">
        <v>1996</v>
      </c>
      <c r="J44" s="4088"/>
      <c r="K44" s="4088"/>
      <c r="L44" s="4089"/>
      <c r="M44" s="4087">
        <v>1997</v>
      </c>
      <c r="N44" s="4088"/>
      <c r="O44" s="4088"/>
      <c r="P44" s="4089"/>
      <c r="Q44" s="4087">
        <v>1998</v>
      </c>
      <c r="R44" s="4088"/>
      <c r="S44" s="4088"/>
      <c r="T44" s="4089"/>
      <c r="U44" s="4087">
        <v>1999</v>
      </c>
      <c r="V44" s="4088"/>
      <c r="W44" s="4088"/>
      <c r="X44" s="4089"/>
      <c r="Y44" s="4087">
        <v>2000</v>
      </c>
      <c r="Z44" s="4088"/>
      <c r="AA44" s="4088"/>
      <c r="AB44" s="4089"/>
      <c r="AC44" s="4087">
        <v>2001</v>
      </c>
      <c r="AD44" s="4088"/>
      <c r="AE44" s="4088"/>
      <c r="AF44" s="4089"/>
      <c r="AG44" s="4087">
        <v>2002</v>
      </c>
      <c r="AH44" s="4088"/>
      <c r="AI44" s="4088"/>
      <c r="AJ44" s="4089"/>
      <c r="AK44" s="4087">
        <v>2003</v>
      </c>
      <c r="AL44" s="4088"/>
      <c r="AM44" s="4088"/>
      <c r="AN44" s="4089"/>
      <c r="AO44" s="4087">
        <v>2004</v>
      </c>
      <c r="AP44" s="4088"/>
      <c r="AQ44" s="4088"/>
      <c r="AR44" s="4089"/>
      <c r="AS44" s="4087">
        <v>2005</v>
      </c>
      <c r="AT44" s="4088"/>
      <c r="AU44" s="4088"/>
      <c r="AV44" s="4089"/>
      <c r="AW44" s="4087">
        <v>2006</v>
      </c>
      <c r="AX44" s="4088"/>
      <c r="AY44" s="4088"/>
      <c r="AZ44" s="4089"/>
      <c r="BA44" s="4087">
        <v>2007</v>
      </c>
      <c r="BB44" s="4088"/>
      <c r="BC44" s="4088"/>
      <c r="BD44" s="4089"/>
      <c r="BE44" s="4087" t="s">
        <v>56</v>
      </c>
      <c r="BF44" s="4088"/>
      <c r="BG44" s="4088"/>
      <c r="BH44" s="4089"/>
      <c r="BI44" s="4087" t="s">
        <v>57</v>
      </c>
      <c r="BJ44" s="4088"/>
      <c r="BK44" s="4088"/>
      <c r="BL44" s="4089"/>
      <c r="BM44" s="4087">
        <v>2010</v>
      </c>
      <c r="BN44" s="4088"/>
      <c r="BO44" s="4088"/>
      <c r="BP44" s="4089"/>
      <c r="BQ44" s="4087" t="s">
        <v>59</v>
      </c>
      <c r="BR44" s="4088"/>
      <c r="BS44" s="4088"/>
      <c r="BT44" s="4089"/>
      <c r="BU44" s="4087">
        <v>2012</v>
      </c>
      <c r="BV44" s="4088"/>
      <c r="BW44" s="4088"/>
      <c r="BX44" s="4089"/>
      <c r="BY44" s="4087">
        <v>2013</v>
      </c>
      <c r="BZ44" s="4088"/>
      <c r="CA44" s="4088"/>
      <c r="CB44" s="4089"/>
      <c r="CC44" s="4087">
        <v>2014</v>
      </c>
      <c r="CD44" s="4088"/>
      <c r="CE44" s="4088"/>
      <c r="CF44" s="4089"/>
      <c r="CG44" s="4093">
        <v>2014</v>
      </c>
      <c r="CH44" s="4094"/>
      <c r="CI44" s="4094"/>
      <c r="CJ44" s="4095"/>
    </row>
    <row r="45" spans="1:88" s="272" customFormat="1" ht="14.25" customHeight="1" x14ac:dyDescent="0.2">
      <c r="A45" s="271"/>
      <c r="B45" s="3800"/>
      <c r="C45" s="3800"/>
      <c r="D45" s="3802" t="s">
        <v>99</v>
      </c>
      <c r="E45" s="3803" t="s">
        <v>96</v>
      </c>
      <c r="F45" s="3802" t="s">
        <v>97</v>
      </c>
      <c r="G45" s="3802" t="s">
        <v>98</v>
      </c>
      <c r="H45" s="3804" t="s">
        <v>99</v>
      </c>
      <c r="I45" s="3803" t="s">
        <v>96</v>
      </c>
      <c r="J45" s="3802" t="s">
        <v>97</v>
      </c>
      <c r="K45" s="3802" t="s">
        <v>98</v>
      </c>
      <c r="L45" s="3804" t="s">
        <v>99</v>
      </c>
      <c r="M45" s="3803" t="s">
        <v>96</v>
      </c>
      <c r="N45" s="3802" t="s">
        <v>97</v>
      </c>
      <c r="O45" s="3802" t="s">
        <v>98</v>
      </c>
      <c r="P45" s="3804" t="s">
        <v>99</v>
      </c>
      <c r="Q45" s="3803" t="s">
        <v>96</v>
      </c>
      <c r="R45" s="3802" t="s">
        <v>97</v>
      </c>
      <c r="S45" s="3802" t="s">
        <v>98</v>
      </c>
      <c r="T45" s="3804" t="s">
        <v>99</v>
      </c>
      <c r="U45" s="3803" t="s">
        <v>96</v>
      </c>
      <c r="V45" s="3802" t="s">
        <v>97</v>
      </c>
      <c r="W45" s="3802" t="s">
        <v>98</v>
      </c>
      <c r="X45" s="3804" t="s">
        <v>99</v>
      </c>
      <c r="Y45" s="3803" t="s">
        <v>96</v>
      </c>
      <c r="Z45" s="3802" t="s">
        <v>97</v>
      </c>
      <c r="AA45" s="3802" t="s">
        <v>98</v>
      </c>
      <c r="AB45" s="3804" t="s">
        <v>99</v>
      </c>
      <c r="AC45" s="3803" t="s">
        <v>96</v>
      </c>
      <c r="AD45" s="3802" t="s">
        <v>97</v>
      </c>
      <c r="AE45" s="3802" t="s">
        <v>98</v>
      </c>
      <c r="AF45" s="3804" t="s">
        <v>99</v>
      </c>
      <c r="AG45" s="3803" t="s">
        <v>96</v>
      </c>
      <c r="AH45" s="3802" t="s">
        <v>97</v>
      </c>
      <c r="AI45" s="3802" t="s">
        <v>98</v>
      </c>
      <c r="AJ45" s="3804" t="s">
        <v>99</v>
      </c>
      <c r="AK45" s="3803" t="s">
        <v>96</v>
      </c>
      <c r="AL45" s="3802" t="s">
        <v>97</v>
      </c>
      <c r="AM45" s="3802" t="s">
        <v>98</v>
      </c>
      <c r="AN45" s="3804" t="s">
        <v>99</v>
      </c>
      <c r="AO45" s="3803" t="s">
        <v>96</v>
      </c>
      <c r="AP45" s="3802" t="s">
        <v>97</v>
      </c>
      <c r="AQ45" s="3802" t="s">
        <v>98</v>
      </c>
      <c r="AR45" s="3804" t="s">
        <v>99</v>
      </c>
      <c r="AS45" s="3803" t="s">
        <v>96</v>
      </c>
      <c r="AT45" s="3802" t="s">
        <v>97</v>
      </c>
      <c r="AU45" s="3802" t="s">
        <v>98</v>
      </c>
      <c r="AV45" s="3804" t="s">
        <v>99</v>
      </c>
      <c r="AW45" s="3803" t="s">
        <v>96</v>
      </c>
      <c r="AX45" s="3802" t="s">
        <v>97</v>
      </c>
      <c r="AY45" s="3802" t="s">
        <v>98</v>
      </c>
      <c r="AZ45" s="3804" t="s">
        <v>99</v>
      </c>
      <c r="BA45" s="3803" t="s">
        <v>96</v>
      </c>
      <c r="BB45" s="3802" t="s">
        <v>97</v>
      </c>
      <c r="BC45" s="3802" t="s">
        <v>98</v>
      </c>
      <c r="BD45" s="3804" t="s">
        <v>99</v>
      </c>
      <c r="BE45" s="3803" t="s">
        <v>96</v>
      </c>
      <c r="BF45" s="3802" t="s">
        <v>97</v>
      </c>
      <c r="BG45" s="3802" t="s">
        <v>98</v>
      </c>
      <c r="BH45" s="3804" t="s">
        <v>99</v>
      </c>
      <c r="BI45" s="3803" t="s">
        <v>96</v>
      </c>
      <c r="BJ45" s="3802" t="s">
        <v>97</v>
      </c>
      <c r="BK45" s="3802" t="s">
        <v>98</v>
      </c>
      <c r="BL45" s="3804" t="s">
        <v>99</v>
      </c>
      <c r="BM45" s="3803" t="s">
        <v>96</v>
      </c>
      <c r="BN45" s="3802" t="s">
        <v>97</v>
      </c>
      <c r="BO45" s="3802" t="s">
        <v>98</v>
      </c>
      <c r="BP45" s="3804" t="s">
        <v>99</v>
      </c>
      <c r="BQ45" s="3803" t="s">
        <v>96</v>
      </c>
      <c r="BR45" s="3802" t="s">
        <v>97</v>
      </c>
      <c r="BS45" s="3802" t="s">
        <v>98</v>
      </c>
      <c r="BT45" s="3804" t="s">
        <v>99</v>
      </c>
      <c r="BU45" s="3803" t="s">
        <v>96</v>
      </c>
      <c r="BV45" s="3802" t="s">
        <v>97</v>
      </c>
      <c r="BW45" s="3802" t="s">
        <v>98</v>
      </c>
      <c r="BX45" s="3804" t="s">
        <v>99</v>
      </c>
      <c r="BY45" s="3803" t="s">
        <v>96</v>
      </c>
      <c r="BZ45" s="3802" t="s">
        <v>97</v>
      </c>
      <c r="CA45" s="3802" t="s">
        <v>98</v>
      </c>
      <c r="CB45" s="3804" t="s">
        <v>99</v>
      </c>
      <c r="CC45" s="3803" t="s">
        <v>96</v>
      </c>
      <c r="CD45" s="3802" t="s">
        <v>97</v>
      </c>
      <c r="CE45" s="3802" t="s">
        <v>98</v>
      </c>
      <c r="CF45" s="3804" t="s">
        <v>99</v>
      </c>
      <c r="CG45" s="3805" t="s">
        <v>96</v>
      </c>
      <c r="CH45" s="3806" t="s">
        <v>97</v>
      </c>
      <c r="CI45" s="3806" t="s">
        <v>98</v>
      </c>
      <c r="CJ45" s="3807" t="s">
        <v>99</v>
      </c>
    </row>
    <row r="46" spans="1:88" s="275" customFormat="1" ht="12" x14ac:dyDescent="0.2">
      <c r="A46" s="273"/>
      <c r="B46" s="3808"/>
      <c r="C46" s="3808" t="s">
        <v>172</v>
      </c>
      <c r="D46" s="3809">
        <f>+D47-'[3]Inflation '!$G$46</f>
        <v>6.4509850009276359</v>
      </c>
      <c r="E46" s="3809">
        <f>+E47-'[3]Inflation '!$G$46</f>
        <v>7.2843183342609361</v>
      </c>
      <c r="F46" s="3809">
        <f>+F47-'[3]Inflation '!$G$46</f>
        <v>7.7009850009276359</v>
      </c>
      <c r="G46" s="3809">
        <f>+G47-'[3]Inflation '!$G$46</f>
        <v>8.7009850009276359</v>
      </c>
      <c r="H46" s="3809">
        <f>+H47-'[3]Inflation '!$G$46</f>
        <v>8.7009850009276359</v>
      </c>
      <c r="I46" s="3809">
        <f>+I47-'[3]Inflation '!$G$46</f>
        <v>8.7009850009276359</v>
      </c>
      <c r="J46" s="3809">
        <f>+J47-'[3]Inflation '!$G$46</f>
        <v>10.367651667594336</v>
      </c>
      <c r="K46" s="3809">
        <f>+K47-'[3]Inflation '!$G$46</f>
        <v>9.7009850009276359</v>
      </c>
      <c r="L46" s="3809">
        <f>+L47-'[3]Inflation '!$G$46</f>
        <v>10.117651667594336</v>
      </c>
      <c r="M46" s="3809">
        <f>+M47-'[3]Inflation '!$G$46</f>
        <v>10.450985000927636</v>
      </c>
      <c r="N46" s="3809">
        <f>+N47-'[3]Inflation '!$G$46</f>
        <v>10.450985000927636</v>
      </c>
      <c r="O46" s="3809">
        <f>+O47-'[3]Inflation '!$G$46</f>
        <v>10.450985000927636</v>
      </c>
      <c r="P46" s="3809">
        <f>+P47-'[3]Inflation '!$G$46</f>
        <v>9.4509850009276359</v>
      </c>
      <c r="Q46" s="3809">
        <f>+Q47-'[3]Inflation '!$G$46</f>
        <v>9.1176516675943358</v>
      </c>
      <c r="R46" s="3809">
        <f>+R47-'[3]Inflation '!$G$46</f>
        <v>9.7843183342609361</v>
      </c>
      <c r="S46" s="3809">
        <f>+S47-'[3]Inflation '!$G$46</f>
        <v>15.200985000927636</v>
      </c>
      <c r="T46" s="3809">
        <f>+T47-'[3]Inflation '!$G$46</f>
        <v>13.867651667594336</v>
      </c>
      <c r="U46" s="3809">
        <f>+U47-'[3]Inflation '!$G$46</f>
        <v>11.200985000927636</v>
      </c>
      <c r="V46" s="3809">
        <f>+V47-'[3]Inflation '!$G$46</f>
        <v>8.8676516675943358</v>
      </c>
      <c r="W46" s="3809">
        <f>+W47-'[3]Inflation '!$G$46</f>
        <v>7.0343183342609361</v>
      </c>
      <c r="X46" s="3809">
        <f>+X47-'[3]Inflation '!$G$46</f>
        <v>5.7009850009276359</v>
      </c>
      <c r="Y46" s="3809">
        <f>+Y47-'[3]Inflation '!$G$46</f>
        <v>4.7009850009276359</v>
      </c>
      <c r="Z46" s="3809">
        <f>+Z47-'[3]Inflation '!$G$46</f>
        <v>4.7009850009276359</v>
      </c>
      <c r="AA46" s="3809">
        <f>+AA47-'[3]Inflation '!$G$46</f>
        <v>4.7009850009276359</v>
      </c>
      <c r="AB46" s="3809">
        <f>+AB47-'[3]Inflation '!$G$46</f>
        <v>4.7009850009276359</v>
      </c>
      <c r="AC46" s="3809">
        <f>+AC47-'[3]Inflation '!$G$46</f>
        <v>4.7009850009276359</v>
      </c>
      <c r="AD46" s="3809">
        <f>+AD47-'[3]Inflation '!$G$46</f>
        <v>4.4509850009276359</v>
      </c>
      <c r="AE46" s="3809">
        <f>+AE47-'[3]Inflation '!$G$46</f>
        <v>3.5343183342609361</v>
      </c>
      <c r="AF46" s="3809">
        <f>+AF47-'[3]Inflation '!$G$46</f>
        <v>3.2009850009276359</v>
      </c>
      <c r="AG46" s="3809">
        <f>+AG47-'[3]Inflation '!$G$46</f>
        <v>4.5343183342609361</v>
      </c>
      <c r="AH46" s="3809">
        <f>+AH47-'[3]Inflation '!$G$46</f>
        <v>5.5343183342609361</v>
      </c>
      <c r="AI46" s="3809">
        <f>+AI47-'[3]Inflation '!$G$46</f>
        <v>6.5343183342609361</v>
      </c>
      <c r="AJ46" s="3809">
        <f>+AJ47-'[3]Inflation '!$G$46</f>
        <v>7.2009850009276359</v>
      </c>
      <c r="AK46" s="3809">
        <f>+AK47-'[3]Inflation '!$G$46</f>
        <v>7.2009850009276359</v>
      </c>
      <c r="AL46" s="3809">
        <f>+AL47-'[3]Inflation '!$G$46</f>
        <v>6.7009850009276359</v>
      </c>
      <c r="AM46" s="3809">
        <f>+AM47-'[3]Inflation '!$G$46</f>
        <v>4.7009850009276359</v>
      </c>
      <c r="AN46" s="3809">
        <f>+AN47-'[3]Inflation '!$G$46</f>
        <v>2.0343183342609361</v>
      </c>
      <c r="AO46" s="3809">
        <f>+AO47-'[3]Inflation '!$G$46</f>
        <v>1.7009850009276359</v>
      </c>
      <c r="AP46" s="3809">
        <f>+AP47-'[3]Inflation '!$G$46</f>
        <v>1.7009850009276359</v>
      </c>
      <c r="AQ46" s="3809">
        <f>+AQ47-'[3]Inflation '!$G$46</f>
        <v>1.3676516675943358</v>
      </c>
      <c r="AR46" s="3809">
        <f>+AR47-'[3]Inflation '!$G$46</f>
        <v>1.2009850009276359</v>
      </c>
      <c r="AS46" s="3809">
        <f>+AS47-'[3]Inflation '!$G$46</f>
        <v>1.2009850009276359</v>
      </c>
      <c r="AT46" s="3809">
        <f>+AT47-'[3]Inflation '!$G$46</f>
        <v>0.70098500092763594</v>
      </c>
      <c r="AU46" s="3809">
        <f>+AU47-'[3]Inflation '!$G$46</f>
        <v>0.70098500092763594</v>
      </c>
      <c r="AV46" s="3809">
        <f>+AV47-'[3]Inflation '!$G$46</f>
        <v>0.70098500092763594</v>
      </c>
      <c r="AW46" s="3809">
        <f>+AW47-'[3]Inflation '!$G$46</f>
        <v>0.70098500092763594</v>
      </c>
      <c r="AX46" s="3809">
        <f>+AX47-'[3]Inflation '!$G$46</f>
        <v>0.86765166759433576</v>
      </c>
      <c r="AY46" s="3809">
        <f>+AY47-'[3]Inflation '!$G$46</f>
        <v>1.5343183342609361</v>
      </c>
      <c r="AZ46" s="3809">
        <f>+AZ47-'[3]Inflation '!$G$46</f>
        <v>2.3676516675943358</v>
      </c>
      <c r="BA46" s="3809">
        <f>+BA47-'[3]Inflation '!$G$46</f>
        <v>2.7009850009276359</v>
      </c>
      <c r="BB46" s="3809">
        <f>+BB47-'[3]Inflation '!$G$46</f>
        <v>2.8676516675943358</v>
      </c>
      <c r="BC46" s="3809">
        <f>+BC47-'[3]Inflation '!$G$46</f>
        <v>3.5343183342609361</v>
      </c>
      <c r="BD46" s="3809">
        <f>+BD47-'[3]Inflation '!$G$46</f>
        <v>4.3676516675943358</v>
      </c>
      <c r="BE46" s="3809">
        <f>+BE47-'[3]Inflation '!$G$46</f>
        <v>4.7009850009276359</v>
      </c>
      <c r="BF46" s="3809">
        <f>+BF47-'[3]Inflation '!$G$46</f>
        <v>5.3676516675943358</v>
      </c>
      <c r="BG46" s="3809">
        <f>+BG47-'[3]Inflation '!$G$46</f>
        <v>5.7009850009276359</v>
      </c>
      <c r="BH46" s="3809">
        <f>+BH47-'[3]Inflation '!$G$46</f>
        <v>5.5343183342609361</v>
      </c>
      <c r="BI46" s="3809">
        <f>+BI47-'[3]Inflation '!$G$46</f>
        <v>4.2009850009276359</v>
      </c>
      <c r="BJ46" s="3809">
        <f>+BJ47-'[3]Inflation '!$G$46</f>
        <v>1.8676516675943358</v>
      </c>
      <c r="BK46" s="3809">
        <f>+BK47-'[3]Inflation '!$G$46</f>
        <v>0.86765166759433576</v>
      </c>
      <c r="BL46" s="3809">
        <f>+BL47-'[3]Inflation '!$G$46</f>
        <v>0.70098500092763594</v>
      </c>
      <c r="BM46" s="3809">
        <f>+BM47-'[3]Inflation '!$G$46</f>
        <v>0.53431833426093611</v>
      </c>
      <c r="BN46" s="3809">
        <f>+BN47-'[3]Inflation '!$G$46</f>
        <v>0.20098500092763594</v>
      </c>
      <c r="BO46" s="3809">
        <f>+BO47-'[3]Inflation '!$G$46</f>
        <v>3.431833426096631E-2</v>
      </c>
      <c r="BP46" s="3809">
        <f>+BP47-'[3]Inflation '!$G$46</f>
        <v>-0.63234833240569444</v>
      </c>
      <c r="BQ46" s="3809">
        <f>+BQ47-'[3]Inflation '!$G$46</f>
        <v>-0.79901499907236406</v>
      </c>
      <c r="BR46" s="3809">
        <f>+BR47-'[3]Inflation '!$G$46</f>
        <v>-0.79901499907236406</v>
      </c>
      <c r="BS46" s="3809">
        <f>+BS47-'[3]Inflation '!$G$46</f>
        <v>-0.79901499907236406</v>
      </c>
      <c r="BT46" s="3809">
        <f>+BT47-'[3]Inflation '!$G$46</f>
        <v>-0.79901499907236406</v>
      </c>
      <c r="BU46" s="3809">
        <f>+BU47-'[3]Inflation '!$G$46</f>
        <v>-0.79901499907236406</v>
      </c>
      <c r="BV46" s="3809">
        <f>+BV47-'[3]Inflation '!$G$46</f>
        <v>-0.79901499907236406</v>
      </c>
      <c r="BW46" s="3809">
        <f>+BW47-'[3]Inflation '!$G$46</f>
        <v>-1.2990149990723641</v>
      </c>
      <c r="BX46" s="3809">
        <f>+BX47-'[3]Inflation '!$G$46</f>
        <v>-1.2990149990723641</v>
      </c>
      <c r="BY46" s="3809">
        <f>+BY47-'[3]Inflation '!$G$46</f>
        <v>-1.2990149990723641</v>
      </c>
      <c r="BZ46" s="3809">
        <f>+BZ47-'[3]Inflation '!$G$46</f>
        <v>-1.2990149990723641</v>
      </c>
      <c r="CA46" s="3809">
        <f>+CA47-'[3]Inflation '!$G$46</f>
        <v>-1.2990149990723641</v>
      </c>
      <c r="CB46" s="3809">
        <f>+CB47-'[3]Inflation '!$G$46</f>
        <v>-1.2990149990723641</v>
      </c>
      <c r="CC46" s="3809">
        <f>+CC47-'[3]Inflation '!$G$46</f>
        <v>-0.79901499907236406</v>
      </c>
      <c r="CD46" s="3809">
        <f>+CD47-'[3]Inflation '!$G$46</f>
        <v>-0.79901499907236406</v>
      </c>
      <c r="CE46" s="3809">
        <f>+CE47-'[3]Inflation '!$G$46</f>
        <v>-0.54901499907236406</v>
      </c>
      <c r="CF46" s="3809">
        <f>+CF47-'[3]Inflation '!$G$46</f>
        <v>-0.54901499907236406</v>
      </c>
      <c r="CG46" s="3810"/>
      <c r="CH46" s="3810"/>
      <c r="CI46" s="3810"/>
      <c r="CJ46" s="3810"/>
    </row>
    <row r="47" spans="1:88" s="275" customFormat="1" x14ac:dyDescent="0.25">
      <c r="A47" s="273"/>
      <c r="B47" s="3808"/>
      <c r="C47" s="3808" t="s">
        <v>173</v>
      </c>
      <c r="D47" s="3811">
        <v>16.25</v>
      </c>
      <c r="E47" s="3811">
        <v>17.0833333333333</v>
      </c>
      <c r="F47" s="3811">
        <v>17.5</v>
      </c>
      <c r="G47" s="3811">
        <v>18.5</v>
      </c>
      <c r="H47" s="3811">
        <v>18.5</v>
      </c>
      <c r="I47" s="3811">
        <v>18.5</v>
      </c>
      <c r="J47" s="3811">
        <v>20.1666666666667</v>
      </c>
      <c r="K47" s="3811">
        <v>19.5</v>
      </c>
      <c r="L47" s="3811">
        <v>19.9166666666667</v>
      </c>
      <c r="M47" s="3811">
        <v>20.25</v>
      </c>
      <c r="N47" s="3811">
        <v>20.25</v>
      </c>
      <c r="O47" s="3811">
        <v>20.25</v>
      </c>
      <c r="P47" s="3811">
        <v>19.25</v>
      </c>
      <c r="Q47" s="3811">
        <v>18.9166666666667</v>
      </c>
      <c r="R47" s="3811">
        <v>19.5833333333333</v>
      </c>
      <c r="S47" s="3811">
        <v>25</v>
      </c>
      <c r="T47" s="3811">
        <v>23.6666666666667</v>
      </c>
      <c r="U47" s="3811">
        <v>21</v>
      </c>
      <c r="V47" s="3811">
        <v>18.6666666666667</v>
      </c>
      <c r="W47" s="3811">
        <v>16.8333333333333</v>
      </c>
      <c r="X47" s="3811">
        <v>15.5</v>
      </c>
      <c r="Y47" s="3811">
        <v>14.5</v>
      </c>
      <c r="Z47" s="3811">
        <v>14.5</v>
      </c>
      <c r="AA47" s="3811">
        <v>14.5</v>
      </c>
      <c r="AB47" s="3811">
        <v>14.5</v>
      </c>
      <c r="AC47" s="3811">
        <v>14.5</v>
      </c>
      <c r="AD47" s="3811">
        <v>14.25</v>
      </c>
      <c r="AE47" s="3811">
        <v>13.3333333333333</v>
      </c>
      <c r="AF47" s="3811">
        <v>13</v>
      </c>
      <c r="AG47" s="3811">
        <v>14.3333333333333</v>
      </c>
      <c r="AH47" s="3811">
        <v>15.3333333333333</v>
      </c>
      <c r="AI47" s="3811">
        <v>16.3333333333333</v>
      </c>
      <c r="AJ47" s="3811">
        <v>17</v>
      </c>
      <c r="AK47" s="3811">
        <v>17</v>
      </c>
      <c r="AL47" s="3811">
        <v>16.5</v>
      </c>
      <c r="AM47" s="3811">
        <v>14.5</v>
      </c>
      <c r="AN47" s="3811">
        <v>11.8333333333333</v>
      </c>
      <c r="AO47" s="3811">
        <v>11.5</v>
      </c>
      <c r="AP47" s="3811">
        <v>11.5</v>
      </c>
      <c r="AQ47" s="3811">
        <v>11.1666666666667</v>
      </c>
      <c r="AR47" s="3811">
        <v>11</v>
      </c>
      <c r="AS47" s="3811">
        <v>11</v>
      </c>
      <c r="AT47" s="3811">
        <v>10.5</v>
      </c>
      <c r="AU47" s="3811">
        <v>10.5</v>
      </c>
      <c r="AV47" s="3811">
        <v>10.5</v>
      </c>
      <c r="AW47" s="3811">
        <v>10.5</v>
      </c>
      <c r="AX47" s="3811">
        <v>10.6666666666667</v>
      </c>
      <c r="AY47" s="3811">
        <v>11.3333333333333</v>
      </c>
      <c r="AZ47" s="3811">
        <v>12.1666666666667</v>
      </c>
      <c r="BA47" s="3811">
        <v>12.5</v>
      </c>
      <c r="BB47" s="3811">
        <v>12.6666666666667</v>
      </c>
      <c r="BC47" s="3811">
        <v>13.3333333333333</v>
      </c>
      <c r="BD47" s="3811">
        <v>14.1666666666667</v>
      </c>
      <c r="BE47" s="3811">
        <v>14.5</v>
      </c>
      <c r="BF47" s="3811">
        <v>15.1666666666667</v>
      </c>
      <c r="BG47" s="3811">
        <v>15.5</v>
      </c>
      <c r="BH47" s="3811">
        <v>15.3333333333333</v>
      </c>
      <c r="BI47" s="3811">
        <v>14</v>
      </c>
      <c r="BJ47" s="3811">
        <v>11.6666666666667</v>
      </c>
      <c r="BK47" s="3811">
        <v>10.6666666666667</v>
      </c>
      <c r="BL47" s="3811">
        <v>10.5</v>
      </c>
      <c r="BM47" s="3811">
        <v>10.3333333333333</v>
      </c>
      <c r="BN47" s="3811">
        <v>10</v>
      </c>
      <c r="BO47" s="3811">
        <v>9.8333333333333304</v>
      </c>
      <c r="BP47" s="3811">
        <v>9.1666666666666696</v>
      </c>
      <c r="BQ47" s="3811">
        <v>9</v>
      </c>
      <c r="BR47" s="3811">
        <v>9</v>
      </c>
      <c r="BS47" s="3811">
        <v>9</v>
      </c>
      <c r="BT47" s="3811">
        <v>9</v>
      </c>
      <c r="BU47" s="3811">
        <v>9</v>
      </c>
      <c r="BV47" s="3811">
        <v>9</v>
      </c>
      <c r="BW47" s="3811">
        <v>8.5</v>
      </c>
      <c r="BX47" s="3811">
        <v>8.5</v>
      </c>
      <c r="BY47" s="3811">
        <v>8.5</v>
      </c>
      <c r="BZ47" s="3811">
        <v>8.5</v>
      </c>
      <c r="CA47" s="3811">
        <v>8.5</v>
      </c>
      <c r="CB47" s="3811">
        <v>8.5</v>
      </c>
      <c r="CC47" s="3811">
        <v>9</v>
      </c>
      <c r="CD47" s="3811">
        <v>9</v>
      </c>
      <c r="CE47" s="3811">
        <v>9.25</v>
      </c>
      <c r="CF47" s="3811">
        <v>9.25</v>
      </c>
      <c r="CG47" s="3812"/>
      <c r="CH47" s="3812"/>
      <c r="CI47" s="3812"/>
      <c r="CJ47" s="3812"/>
    </row>
    <row r="48" spans="1:88" s="275" customFormat="1" ht="12" x14ac:dyDescent="0.2">
      <c r="A48" s="273"/>
      <c r="B48" s="3808" t="s">
        <v>174</v>
      </c>
      <c r="C48" s="3808"/>
      <c r="D48" s="3809"/>
      <c r="E48" s="3813">
        <f>+AVERAGE(E46:H46)</f>
        <v>8.096818334260961</v>
      </c>
      <c r="F48" s="3814"/>
      <c r="G48" s="3814"/>
      <c r="H48" s="3815"/>
      <c r="I48" s="3813">
        <f>+AVERAGE(I46:L46)</f>
        <v>9.7218183342609858</v>
      </c>
      <c r="J48" s="3814"/>
      <c r="K48" s="3814"/>
      <c r="L48" s="3815"/>
      <c r="M48" s="3813">
        <f>+AVERAGE(M46:P46)</f>
        <v>10.200985000927636</v>
      </c>
      <c r="N48" s="3814"/>
      <c r="O48" s="3814"/>
      <c r="P48" s="3815"/>
      <c r="Q48" s="3813">
        <f>+AVERAGE(Q46:T46)</f>
        <v>11.992651667594311</v>
      </c>
      <c r="R48" s="3814"/>
      <c r="S48" s="3814"/>
      <c r="T48" s="3815"/>
      <c r="U48" s="3813">
        <f>+AVERAGE(U46:X46)</f>
        <v>8.2009850009276359</v>
      </c>
      <c r="V48" s="3814"/>
      <c r="W48" s="3814"/>
      <c r="X48" s="3815"/>
      <c r="Y48" s="3813">
        <f>+AVERAGE(Y46:AB46)</f>
        <v>4.7009850009276359</v>
      </c>
      <c r="Z48" s="3814"/>
      <c r="AA48" s="3814"/>
      <c r="AB48" s="3815"/>
      <c r="AC48" s="3813">
        <f>+AVERAGE(AC46:AF46)</f>
        <v>3.971818334260961</v>
      </c>
      <c r="AD48" s="3814"/>
      <c r="AE48" s="3814"/>
      <c r="AF48" s="3815"/>
      <c r="AG48" s="3813">
        <f>+AVERAGE(AG46:AJ46)</f>
        <v>5.9509850009276111</v>
      </c>
      <c r="AH48" s="3814"/>
      <c r="AI48" s="3814"/>
      <c r="AJ48" s="3815"/>
      <c r="AK48" s="3813">
        <f>+AVERAGE(AK46:AN46)</f>
        <v>5.159318334260961</v>
      </c>
      <c r="AL48" s="3814"/>
      <c r="AM48" s="3814"/>
      <c r="AN48" s="3815"/>
      <c r="AO48" s="3813">
        <f>+AVERAGE(AO46:AR46)</f>
        <v>1.4926516675943109</v>
      </c>
      <c r="AP48" s="3814"/>
      <c r="AQ48" s="3814"/>
      <c r="AR48" s="3815"/>
      <c r="AS48" s="3813">
        <f>+AVERAGE(AS46:AV46)</f>
        <v>0.82598500092763594</v>
      </c>
      <c r="AT48" s="3814"/>
      <c r="AU48" s="3814"/>
      <c r="AV48" s="3815"/>
      <c r="AW48" s="3813">
        <f>+AVERAGE(AW46:AZ46)</f>
        <v>1.3676516675943109</v>
      </c>
      <c r="AX48" s="3814"/>
      <c r="AY48" s="3814"/>
      <c r="AZ48" s="3815"/>
      <c r="BA48" s="3813">
        <f>+AVERAGE(BA46:BD46)</f>
        <v>3.3676516675943109</v>
      </c>
      <c r="BB48" s="3814"/>
      <c r="BC48" s="3814"/>
      <c r="BD48" s="3815"/>
      <c r="BE48" s="3813">
        <f>+AVERAGE(BE46:BH46)</f>
        <v>5.3259850009276359</v>
      </c>
      <c r="BF48" s="3814"/>
      <c r="BG48" s="3814"/>
      <c r="BH48" s="3815"/>
      <c r="BI48" s="3813">
        <f>+AVERAGE(BI46:BL46)</f>
        <v>1.9093183342609858</v>
      </c>
      <c r="BJ48" s="3814"/>
      <c r="BK48" s="3814"/>
      <c r="BL48" s="3815"/>
      <c r="BM48" s="3813">
        <f>+AVERAGE(BM46:BP46)</f>
        <v>3.4318334260960981E-2</v>
      </c>
      <c r="BN48" s="3814"/>
      <c r="BO48" s="3814"/>
      <c r="BP48" s="3815"/>
      <c r="BQ48" s="3813">
        <f>+AVERAGE(BQ46:BT46)</f>
        <v>-0.79901499907236406</v>
      </c>
      <c r="BR48" s="3814"/>
      <c r="BS48" s="3814"/>
      <c r="BT48" s="3815"/>
      <c r="BU48" s="3813">
        <f>+AVERAGE(BU46:BX46)</f>
        <v>-1.0490149990723641</v>
      </c>
      <c r="BV48" s="3814"/>
      <c r="BW48" s="3814"/>
      <c r="BX48" s="3815"/>
      <c r="BY48" s="3813">
        <f>+AVERAGE(BY46:CG46)</f>
        <v>-0.98651499907236406</v>
      </c>
      <c r="BZ48" s="3814"/>
      <c r="CA48" s="3814"/>
      <c r="CB48" s="3815"/>
      <c r="CC48" s="3813"/>
      <c r="CD48" s="3814"/>
      <c r="CE48" s="3814"/>
      <c r="CF48" s="3816"/>
      <c r="CG48" s="3817"/>
      <c r="CH48" s="3818"/>
      <c r="CI48" s="3818"/>
      <c r="CJ48" s="3819"/>
    </row>
    <row r="49" spans="1:88" s="275" customFormat="1" ht="12" x14ac:dyDescent="0.2">
      <c r="A49" s="273"/>
      <c r="B49" s="3808" t="s">
        <v>175</v>
      </c>
      <c r="C49" s="3808"/>
      <c r="D49" s="3820"/>
      <c r="E49" s="3821">
        <f>AVERAGE(E47:H47)</f>
        <v>17.895833333333325</v>
      </c>
      <c r="F49" s="3822"/>
      <c r="G49" s="3822"/>
      <c r="H49" s="3823"/>
      <c r="I49" s="3821">
        <f>AVERAGE(I47:L47)</f>
        <v>19.52083333333335</v>
      </c>
      <c r="J49" s="3822"/>
      <c r="K49" s="3822"/>
      <c r="L49" s="3823"/>
      <c r="M49" s="3821">
        <f>AVERAGE(M47:P47)</f>
        <v>20</v>
      </c>
      <c r="N49" s="3822"/>
      <c r="O49" s="3822"/>
      <c r="P49" s="3823"/>
      <c r="Q49" s="3821">
        <f>AVERAGE(Q47:T47)</f>
        <v>21.791666666666675</v>
      </c>
      <c r="R49" s="3822"/>
      <c r="S49" s="3822"/>
      <c r="T49" s="3823"/>
      <c r="U49" s="3821">
        <f>AVERAGE(U47:X47)</f>
        <v>18</v>
      </c>
      <c r="V49" s="3822"/>
      <c r="W49" s="3822"/>
      <c r="X49" s="3823"/>
      <c r="Y49" s="3821">
        <f>AVERAGE(Y47:AB47)</f>
        <v>14.5</v>
      </c>
      <c r="Z49" s="3822"/>
      <c r="AA49" s="3822"/>
      <c r="AB49" s="3823"/>
      <c r="AC49" s="3821">
        <f>AVERAGE(AC47:AF47)</f>
        <v>13.770833333333325</v>
      </c>
      <c r="AD49" s="3822"/>
      <c r="AE49" s="3822"/>
      <c r="AF49" s="3823"/>
      <c r="AG49" s="3821">
        <f>AVERAGE(AG47:AJ47)</f>
        <v>15.749999999999975</v>
      </c>
      <c r="AH49" s="3822"/>
      <c r="AI49" s="3822"/>
      <c r="AJ49" s="3823"/>
      <c r="AK49" s="3821">
        <f>AVERAGE(AK47:AN47)</f>
        <v>14.958333333333325</v>
      </c>
      <c r="AL49" s="3822"/>
      <c r="AM49" s="3822"/>
      <c r="AN49" s="3823"/>
      <c r="AO49" s="3821">
        <f>AVERAGE(AO47:AR47)</f>
        <v>11.291666666666675</v>
      </c>
      <c r="AP49" s="3822"/>
      <c r="AQ49" s="3822"/>
      <c r="AR49" s="3823"/>
      <c r="AS49" s="3821">
        <f>AVERAGE(AS47:AV47)</f>
        <v>10.625</v>
      </c>
      <c r="AT49" s="3822"/>
      <c r="AU49" s="3822"/>
      <c r="AV49" s="3823"/>
      <c r="AW49" s="3821">
        <f>AVERAGE(AW47:AZ47)</f>
        <v>11.166666666666675</v>
      </c>
      <c r="AX49" s="3822"/>
      <c r="AY49" s="3822"/>
      <c r="AZ49" s="3823"/>
      <c r="BA49" s="3821">
        <f>AVERAGE(BA47:BD47)</f>
        <v>13.166666666666675</v>
      </c>
      <c r="BB49" s="3822"/>
      <c r="BC49" s="3822"/>
      <c r="BD49" s="3823"/>
      <c r="BE49" s="3821">
        <f>AVERAGE(BE47:BH47)</f>
        <v>15.125</v>
      </c>
      <c r="BF49" s="3822"/>
      <c r="BG49" s="3822"/>
      <c r="BH49" s="3823"/>
      <c r="BI49" s="3821">
        <f>AVERAGE(BI47:BL47)</f>
        <v>11.70833333333335</v>
      </c>
      <c r="BJ49" s="3822"/>
      <c r="BK49" s="3822"/>
      <c r="BL49" s="3823"/>
      <c r="BM49" s="3821">
        <f>AVERAGE(BM47:BP47)</f>
        <v>9.833333333333325</v>
      </c>
      <c r="BN49" s="3822"/>
      <c r="BO49" s="3822"/>
      <c r="BP49" s="3823"/>
      <c r="BQ49" s="3821">
        <f>AVERAGE(BQ47:BT47)</f>
        <v>9</v>
      </c>
      <c r="BR49" s="3822"/>
      <c r="BS49" s="3822"/>
      <c r="BT49" s="3823"/>
      <c r="BU49" s="3821">
        <f>AVERAGE(BU47:BX47)</f>
        <v>8.75</v>
      </c>
      <c r="BV49" s="3822"/>
      <c r="BW49" s="3822"/>
      <c r="BX49" s="3823"/>
      <c r="BY49" s="3821">
        <f>AVERAGE(BY47:CG47)</f>
        <v>8.8125</v>
      </c>
      <c r="BZ49" s="3822"/>
      <c r="CA49" s="3822"/>
      <c r="CB49" s="3823"/>
      <c r="CC49" s="3821"/>
      <c r="CD49" s="3822"/>
      <c r="CE49" s="3822"/>
      <c r="CF49" s="3824"/>
      <c r="CG49" s="3825"/>
      <c r="CH49" s="3826"/>
      <c r="CI49" s="3826"/>
      <c r="CJ49" s="3827"/>
    </row>
    <row r="50" spans="1:88" hidden="1" x14ac:dyDescent="0.25">
      <c r="E50" s="97"/>
      <c r="AJ50" s="97"/>
    </row>
    <row r="51" spans="1:88" hidden="1" x14ac:dyDescent="0.25">
      <c r="C51" s="114" t="s">
        <v>176</v>
      </c>
      <c r="D51" s="97">
        <f>+D52-D53</f>
        <v>6.4509850009276359</v>
      </c>
      <c r="E51" s="140">
        <f>+E52-E53</f>
        <v>7.1239891080250146</v>
      </c>
      <c r="F51" s="140">
        <f t="shared" ref="F51:BQ51" si="0">+F52-F53</f>
        <v>6.8478391161142795</v>
      </c>
      <c r="G51" s="140">
        <f t="shared" si="0"/>
        <v>10.773450474306951</v>
      </c>
      <c r="H51" s="140">
        <f t="shared" si="0"/>
        <v>11.938263767023022</v>
      </c>
      <c r="I51" s="140">
        <f t="shared" si="0"/>
        <v>11.991432032616251</v>
      </c>
      <c r="J51" s="140">
        <f t="shared" si="0"/>
        <v>14.086189240980008</v>
      </c>
      <c r="K51" s="140">
        <f t="shared" si="0"/>
        <v>11.870877161233466</v>
      </c>
      <c r="L51" s="140">
        <f t="shared" si="0"/>
        <v>10.771544737102118</v>
      </c>
      <c r="M51" s="140">
        <f t="shared" si="0"/>
        <v>10.63922593732801</v>
      </c>
      <c r="N51" s="140">
        <f t="shared" si="0"/>
        <v>10.871091374793394</v>
      </c>
      <c r="O51" s="140">
        <f t="shared" si="0"/>
        <v>11.633676573669126</v>
      </c>
      <c r="P51" s="140">
        <f t="shared" si="0"/>
        <v>12.368337988683052</v>
      </c>
      <c r="Q51" s="140">
        <f t="shared" si="0"/>
        <v>13.422184531978372</v>
      </c>
      <c r="R51" s="140">
        <f t="shared" si="0"/>
        <v>14.462249574469169</v>
      </c>
      <c r="S51" s="140">
        <f t="shared" si="0"/>
        <v>17.262676476109128</v>
      </c>
      <c r="T51" s="140">
        <f t="shared" si="0"/>
        <v>14.586242071162033</v>
      </c>
      <c r="U51" s="140">
        <f t="shared" si="0"/>
        <v>12.537047448994201</v>
      </c>
      <c r="V51" s="140">
        <f t="shared" si="0"/>
        <v>11.377854220174811</v>
      </c>
      <c r="W51" s="140">
        <f t="shared" si="0"/>
        <v>13.496167572359585</v>
      </c>
      <c r="X51" s="140">
        <f t="shared" si="0"/>
        <v>13.542160928992828</v>
      </c>
      <c r="Y51" s="140">
        <f t="shared" si="0"/>
        <v>11.709663540347568</v>
      </c>
      <c r="Z51" s="140">
        <f t="shared" si="0"/>
        <v>9.5723202503422016</v>
      </c>
      <c r="AA51" s="140">
        <f t="shared" si="0"/>
        <v>7.9014035758369943</v>
      </c>
      <c r="AB51" s="140">
        <f t="shared" si="0"/>
        <v>7.4868263967846831</v>
      </c>
      <c r="AC51" s="140">
        <f t="shared" si="0"/>
        <v>7.07940079878344</v>
      </c>
      <c r="AD51" s="140">
        <f t="shared" si="0"/>
        <v>7.8427974211818725</v>
      </c>
      <c r="AE51" s="140">
        <f t="shared" si="0"/>
        <v>8.5587604814998084</v>
      </c>
      <c r="AF51" s="140">
        <f t="shared" si="0"/>
        <v>8.6947899265363269</v>
      </c>
      <c r="AG51" s="140">
        <f t="shared" si="0"/>
        <v>8.6393523511654102</v>
      </c>
      <c r="AH51" s="140">
        <f t="shared" si="0"/>
        <v>7.6095325214104017</v>
      </c>
      <c r="AI51" s="140">
        <f t="shared" si="0"/>
        <v>5.9311525360954302</v>
      </c>
      <c r="AJ51" s="140">
        <f t="shared" si="0"/>
        <v>4.2473872512382833</v>
      </c>
      <c r="AK51" s="140">
        <f t="shared" si="0"/>
        <v>5.7018447345683025</v>
      </c>
      <c r="AL51" s="140">
        <f t="shared" si="0"/>
        <v>8.2118421589336652</v>
      </c>
      <c r="AM51" s="140">
        <f t="shared" si="0"/>
        <v>10.134487299026372</v>
      </c>
      <c r="AN51" s="140">
        <f t="shared" si="0"/>
        <v>12.781046047660965</v>
      </c>
      <c r="AO51" s="140">
        <f t="shared" si="0"/>
        <v>13.555378051604428</v>
      </c>
      <c r="AP51" s="140">
        <f t="shared" si="0"/>
        <v>13.524888820132409</v>
      </c>
      <c r="AQ51" s="140">
        <f t="shared" si="0"/>
        <v>12.174726293294299</v>
      </c>
      <c r="AR51" s="140">
        <f t="shared" si="0"/>
        <v>9.3740097745964945</v>
      </c>
      <c r="AS51" s="140">
        <f t="shared" si="0"/>
        <v>9.024961214313965</v>
      </c>
      <c r="AT51" s="140">
        <f t="shared" si="0"/>
        <v>8.5398884018697458</v>
      </c>
      <c r="AU51" s="140">
        <f t="shared" si="0"/>
        <v>8.0859342450643865</v>
      </c>
      <c r="AV51" s="140">
        <f t="shared" si="0"/>
        <v>8.396148095025449</v>
      </c>
      <c r="AW51" s="140">
        <f t="shared" si="0"/>
        <v>8.4624867597630455</v>
      </c>
      <c r="AX51" s="140">
        <f t="shared" si="0"/>
        <v>8.192506472381087</v>
      </c>
      <c r="AY51" s="140">
        <f t="shared" si="0"/>
        <v>7.6218254933868295</v>
      </c>
      <c r="AZ51" s="140">
        <f t="shared" si="0"/>
        <v>7.6545758129783668</v>
      </c>
      <c r="BA51" s="140">
        <f t="shared" si="0"/>
        <v>7.4116115587464337</v>
      </c>
      <c r="BB51" s="140">
        <f t="shared" si="0"/>
        <v>6.7279602613528349</v>
      </c>
      <c r="BC51" s="140">
        <f t="shared" si="0"/>
        <v>7.1582525732056066</v>
      </c>
      <c r="BD51" s="140">
        <f t="shared" si="0"/>
        <v>7.0501091978256882</v>
      </c>
      <c r="BE51" s="140">
        <f t="shared" si="0"/>
        <v>6.1087140639024078</v>
      </c>
      <c r="BF51" s="140">
        <f t="shared" si="0"/>
        <v>5.2145769480943684</v>
      </c>
      <c r="BG51" s="140">
        <f t="shared" si="0"/>
        <v>4.0391896082696981</v>
      </c>
      <c r="BH51" s="140">
        <f t="shared" si="0"/>
        <v>5.4777893035133367</v>
      </c>
      <c r="BI51" s="140">
        <f t="shared" si="0"/>
        <v>5.622807017543817</v>
      </c>
      <c r="BJ51" s="140">
        <f t="shared" si="0"/>
        <v>3.8955308852833683</v>
      </c>
      <c r="BK51" s="140">
        <f t="shared" si="0"/>
        <v>4.2484472049689392</v>
      </c>
      <c r="BL51" s="140">
        <f t="shared" si="0"/>
        <v>4.4194741166802682</v>
      </c>
      <c r="BM51" s="140">
        <f t="shared" si="0"/>
        <v>4.6676109537298673</v>
      </c>
      <c r="BN51" s="140">
        <f t="shared" si="0"/>
        <v>5.4833597464342265</v>
      </c>
      <c r="BO51" s="140">
        <f t="shared" si="0"/>
        <v>6.3702983138781564</v>
      </c>
      <c r="BP51" s="140">
        <f t="shared" si="0"/>
        <v>5.7197263103537033</v>
      </c>
      <c r="BQ51" s="140">
        <f t="shared" si="0"/>
        <v>5.1700497893527739</v>
      </c>
      <c r="BR51" s="140">
        <f t="shared" ref="BR51:CC51" si="1">+BR52-BR53</f>
        <v>4.375284306292607</v>
      </c>
      <c r="BS51" s="140">
        <f t="shared" si="1"/>
        <v>3.5468221135765674</v>
      </c>
      <c r="BT51" s="140">
        <f t="shared" si="1"/>
        <v>2.9348558592288718</v>
      </c>
      <c r="BU51" s="140">
        <f t="shared" si="1"/>
        <v>2.8767982294356651</v>
      </c>
      <c r="BV51" s="140">
        <f t="shared" si="1"/>
        <v>3.2391304347826031</v>
      </c>
      <c r="BW51" s="140">
        <f t="shared" si="1"/>
        <v>3.4001426533523151</v>
      </c>
      <c r="BX51" s="140">
        <f t="shared" si="1"/>
        <v>2.8522767384397332</v>
      </c>
      <c r="BY51" s="140">
        <f>+BY52-BY53</f>
        <v>2.7996176572815425</v>
      </c>
      <c r="BZ51" s="140">
        <f>+BZ52-BZ53</f>
        <v>2.8473792394655675</v>
      </c>
      <c r="CA51" s="140">
        <f>+CA52-CA53</f>
        <v>2.2563624024427833</v>
      </c>
      <c r="CB51" s="140">
        <f>+CB52-CB53</f>
        <v>3.0873705312392454</v>
      </c>
      <c r="CC51" s="140">
        <f t="shared" si="1"/>
        <v>3.0808944426175797</v>
      </c>
    </row>
    <row r="52" spans="1:88" s="275" customFormat="1" ht="12" hidden="1" x14ac:dyDescent="0.2">
      <c r="A52" s="273"/>
      <c r="B52" s="274"/>
      <c r="C52" s="274" t="s">
        <v>177</v>
      </c>
      <c r="D52" s="276">
        <v>16.25</v>
      </c>
      <c r="E52" s="277">
        <v>17.0833333333333</v>
      </c>
      <c r="F52" s="276">
        <v>17.5</v>
      </c>
      <c r="G52" s="276">
        <v>18.5</v>
      </c>
      <c r="H52" s="278">
        <v>18.5</v>
      </c>
      <c r="I52" s="277">
        <v>18.5</v>
      </c>
      <c r="J52" s="276">
        <v>20.1666666666667</v>
      </c>
      <c r="K52" s="276">
        <v>19.5</v>
      </c>
      <c r="L52" s="278">
        <v>19.9166666666667</v>
      </c>
      <c r="M52" s="277">
        <v>20.25</v>
      </c>
      <c r="N52" s="276">
        <v>20.25</v>
      </c>
      <c r="O52" s="276">
        <v>20.25</v>
      </c>
      <c r="P52" s="278">
        <v>19.25</v>
      </c>
      <c r="Q52" s="277">
        <v>18.9166666666667</v>
      </c>
      <c r="R52" s="276">
        <v>19.5833333333333</v>
      </c>
      <c r="S52" s="276">
        <v>25</v>
      </c>
      <c r="T52" s="278">
        <v>23.6666666666667</v>
      </c>
      <c r="U52" s="277">
        <v>21</v>
      </c>
      <c r="V52" s="276">
        <v>18.6666666666667</v>
      </c>
      <c r="W52" s="276">
        <v>16.8333333333333</v>
      </c>
      <c r="X52" s="278">
        <v>15.5</v>
      </c>
      <c r="Y52" s="277">
        <v>14.5</v>
      </c>
      <c r="Z52" s="276">
        <v>14.5</v>
      </c>
      <c r="AA52" s="276">
        <v>14.5</v>
      </c>
      <c r="AB52" s="278">
        <v>14.5</v>
      </c>
      <c r="AC52" s="277">
        <v>14.5</v>
      </c>
      <c r="AD52" s="276">
        <v>14.25</v>
      </c>
      <c r="AE52" s="276">
        <v>13.3333333333333</v>
      </c>
      <c r="AF52" s="278">
        <v>13</v>
      </c>
      <c r="AG52" s="277">
        <v>14.3333333333333</v>
      </c>
      <c r="AH52" s="276">
        <v>15.3333333333333</v>
      </c>
      <c r="AI52" s="276">
        <v>16.3333333333333</v>
      </c>
      <c r="AJ52" s="278">
        <v>17</v>
      </c>
      <c r="AK52" s="277">
        <v>17</v>
      </c>
      <c r="AL52" s="276">
        <v>16.5</v>
      </c>
      <c r="AM52" s="276">
        <v>14.5</v>
      </c>
      <c r="AN52" s="278">
        <v>11.8333333333333</v>
      </c>
      <c r="AO52" s="277">
        <v>11.5</v>
      </c>
      <c r="AP52" s="276">
        <v>11.5</v>
      </c>
      <c r="AQ52" s="276">
        <v>11.1666666666667</v>
      </c>
      <c r="AR52" s="278">
        <v>11</v>
      </c>
      <c r="AS52" s="277">
        <v>11</v>
      </c>
      <c r="AT52" s="276">
        <v>10.5</v>
      </c>
      <c r="AU52" s="276">
        <v>10.5</v>
      </c>
      <c r="AV52" s="278">
        <v>10.5</v>
      </c>
      <c r="AW52" s="277">
        <v>10.5</v>
      </c>
      <c r="AX52" s="276">
        <v>10.6666666666667</v>
      </c>
      <c r="AY52" s="276">
        <v>11.3333333333333</v>
      </c>
      <c r="AZ52" s="278">
        <v>12.1666666666667</v>
      </c>
      <c r="BA52" s="277">
        <v>12.5</v>
      </c>
      <c r="BB52" s="276">
        <v>12.6666666666667</v>
      </c>
      <c r="BC52" s="276">
        <v>13.3333333333333</v>
      </c>
      <c r="BD52" s="278">
        <v>14.1666666666667</v>
      </c>
      <c r="BE52" s="277">
        <v>14.5</v>
      </c>
      <c r="BF52" s="276">
        <v>15.1666666666667</v>
      </c>
      <c r="BG52" s="276">
        <v>15.5</v>
      </c>
      <c r="BH52" s="278">
        <v>15.3333333333333</v>
      </c>
      <c r="BI52" s="277">
        <v>14</v>
      </c>
      <c r="BJ52" s="276">
        <v>11.6666666666667</v>
      </c>
      <c r="BK52" s="276">
        <v>10.6666666666667</v>
      </c>
      <c r="BL52" s="278">
        <v>10.5</v>
      </c>
      <c r="BM52" s="277">
        <v>10.3333333333333</v>
      </c>
      <c r="BN52" s="276">
        <v>10</v>
      </c>
      <c r="BO52" s="276">
        <v>9.8333333333333304</v>
      </c>
      <c r="BP52" s="278">
        <v>9.1666666666666696</v>
      </c>
      <c r="BQ52" s="277">
        <v>9</v>
      </c>
      <c r="BR52" s="276">
        <v>9</v>
      </c>
      <c r="BS52" s="276">
        <v>9</v>
      </c>
      <c r="BT52" s="278">
        <v>9</v>
      </c>
      <c r="BU52" s="277">
        <v>9</v>
      </c>
      <c r="BV52" s="276">
        <v>9</v>
      </c>
      <c r="BW52" s="276">
        <v>8.5</v>
      </c>
      <c r="BX52" s="278">
        <v>8.5</v>
      </c>
      <c r="BY52" s="275">
        <v>8.5</v>
      </c>
      <c r="BZ52" s="275">
        <v>8.5</v>
      </c>
      <c r="CA52" s="275">
        <v>8.5</v>
      </c>
      <c r="CB52" s="275">
        <v>8.5</v>
      </c>
      <c r="CC52" s="275">
        <v>9</v>
      </c>
    </row>
    <row r="53" spans="1:88" hidden="1" x14ac:dyDescent="0.25">
      <c r="C53" s="114" t="s">
        <v>178</v>
      </c>
      <c r="D53" s="279">
        <v>9.7990149990723641</v>
      </c>
      <c r="E53" s="280">
        <v>9.9593442253082856</v>
      </c>
      <c r="F53" s="281">
        <v>10.65216088388572</v>
      </c>
      <c r="G53" s="281">
        <v>7.7265495256930494</v>
      </c>
      <c r="H53" s="279">
        <v>6.5617362329769779</v>
      </c>
      <c r="I53" s="280">
        <v>6.5085679673837493</v>
      </c>
      <c r="J53" s="281">
        <v>6.0804774256866922</v>
      </c>
      <c r="K53" s="281">
        <v>7.6291228387665333</v>
      </c>
      <c r="L53" s="279">
        <v>9.1451219295645814</v>
      </c>
      <c r="M53" s="280">
        <v>9.6107740626719895</v>
      </c>
      <c r="N53" s="281">
        <v>9.3789086252066056</v>
      </c>
      <c r="O53" s="281">
        <v>8.6163234263308741</v>
      </c>
      <c r="P53" s="279">
        <v>6.8816620113169469</v>
      </c>
      <c r="Q53" s="280">
        <v>5.4944821346883277</v>
      </c>
      <c r="R53" s="281">
        <v>5.1210837588641311</v>
      </c>
      <c r="S53" s="281">
        <v>7.7373235238908711</v>
      </c>
      <c r="T53" s="279">
        <v>9.0804245955046667</v>
      </c>
      <c r="U53" s="280">
        <v>8.4629525510057988</v>
      </c>
      <c r="V53" s="281">
        <v>7.288812446491888</v>
      </c>
      <c r="W53" s="281">
        <v>3.3371657609737149</v>
      </c>
      <c r="X53" s="279">
        <v>1.9578390710071725</v>
      </c>
      <c r="Y53" s="280">
        <v>2.7903364596524316</v>
      </c>
      <c r="Z53" s="281">
        <v>4.9276797496577984</v>
      </c>
      <c r="AA53" s="281">
        <v>6.5985964241630057</v>
      </c>
      <c r="AB53" s="279">
        <v>7.0131736032153169</v>
      </c>
      <c r="AC53" s="280">
        <v>7.42059920121656</v>
      </c>
      <c r="AD53" s="281">
        <v>6.4072025788181275</v>
      </c>
      <c r="AE53" s="281">
        <v>4.7745728518334918</v>
      </c>
      <c r="AF53" s="279">
        <v>4.3052100734636722</v>
      </c>
      <c r="AG53" s="280">
        <v>5.6939809821678899</v>
      </c>
      <c r="AH53" s="281">
        <v>7.7238008119228985</v>
      </c>
      <c r="AI53" s="281">
        <v>10.40218079723787</v>
      </c>
      <c r="AJ53" s="279">
        <v>12.752612748761717</v>
      </c>
      <c r="AK53" s="280">
        <v>11.298155265431697</v>
      </c>
      <c r="AL53" s="281">
        <v>8.2881578410663348</v>
      </c>
      <c r="AM53" s="281">
        <v>4.3655127009736283</v>
      </c>
      <c r="AN53" s="279">
        <v>-0.94771271432766424</v>
      </c>
      <c r="AO53" s="280">
        <v>-2.0553780516044284</v>
      </c>
      <c r="AP53" s="281">
        <v>-2.0248888201324089</v>
      </c>
      <c r="AQ53" s="281">
        <v>-1.0080596266275998</v>
      </c>
      <c r="AR53" s="279">
        <v>1.6259902254035064</v>
      </c>
      <c r="AS53" s="280">
        <v>1.9750387856860341</v>
      </c>
      <c r="AT53" s="281">
        <v>1.9601115981302542</v>
      </c>
      <c r="AU53" s="281">
        <v>2.4140657549356126</v>
      </c>
      <c r="AV53" s="279">
        <v>2.1038519049745519</v>
      </c>
      <c r="AW53" s="280">
        <v>2.0375132402369545</v>
      </c>
      <c r="AX53" s="281">
        <v>2.4741601942856128</v>
      </c>
      <c r="AY53" s="281">
        <v>3.7115078399464707</v>
      </c>
      <c r="AZ53" s="279">
        <v>4.5120908536883331</v>
      </c>
      <c r="BA53" s="280">
        <v>5.0883884412535663</v>
      </c>
      <c r="BB53" s="281">
        <v>5.938706405313865</v>
      </c>
      <c r="BC53" s="281">
        <v>6.1750807601276936</v>
      </c>
      <c r="BD53" s="279">
        <v>7.1165574688410116</v>
      </c>
      <c r="BE53" s="280">
        <v>8.3912859360975922</v>
      </c>
      <c r="BF53" s="281">
        <v>9.9520897185723314</v>
      </c>
      <c r="BG53" s="281">
        <v>11.460810391730302</v>
      </c>
      <c r="BH53" s="279">
        <v>9.8555440298199635</v>
      </c>
      <c r="BI53" s="280">
        <v>8.377192982456183</v>
      </c>
      <c r="BJ53" s="281">
        <v>7.7711357813833315</v>
      </c>
      <c r="BK53" s="281">
        <v>6.4182194616977606</v>
      </c>
      <c r="BL53" s="279">
        <v>6.0805258833197318</v>
      </c>
      <c r="BM53" s="280">
        <v>5.6657223796034328</v>
      </c>
      <c r="BN53" s="281">
        <v>4.5166402535657735</v>
      </c>
      <c r="BO53" s="281">
        <v>3.463035019455174</v>
      </c>
      <c r="BP53" s="279">
        <v>3.4469403563129664</v>
      </c>
      <c r="BQ53" s="282">
        <v>3.8299502106472261</v>
      </c>
      <c r="BR53" s="283">
        <v>4.624715693707393</v>
      </c>
      <c r="BS53" s="284">
        <v>5.4531778864234326</v>
      </c>
      <c r="BT53" s="285">
        <v>6.0651441407711282</v>
      </c>
      <c r="BU53" s="283">
        <v>6.1232017705643349</v>
      </c>
      <c r="BV53" s="283">
        <v>5.7608695652173969</v>
      </c>
      <c r="BW53" s="284">
        <v>5.0998573466476849</v>
      </c>
      <c r="BX53" s="285">
        <v>5.6477232615602668</v>
      </c>
      <c r="BY53" s="284">
        <v>5.7003823427184575</v>
      </c>
      <c r="BZ53" s="284">
        <v>5.6526207605344325</v>
      </c>
      <c r="CA53" s="284">
        <v>6.2436375975572167</v>
      </c>
      <c r="CB53" s="284">
        <v>5.4126294687607546</v>
      </c>
      <c r="CC53" s="284">
        <v>5.9191055573824203</v>
      </c>
    </row>
    <row r="54" spans="1:88" hidden="1" x14ac:dyDescent="0.25">
      <c r="E54" s="140"/>
      <c r="AI54" s="246"/>
    </row>
    <row r="55" spans="1:88" hidden="1" x14ac:dyDescent="0.25">
      <c r="E55" s="74"/>
      <c r="AI55" s="246"/>
    </row>
    <row r="56" spans="1:88" hidden="1" x14ac:dyDescent="0.25">
      <c r="E56" s="74"/>
      <c r="AI56" s="246"/>
    </row>
    <row r="57" spans="1:88" hidden="1" x14ac:dyDescent="0.25">
      <c r="E57" s="74"/>
      <c r="AI57" s="246"/>
    </row>
    <row r="58" spans="1:88" hidden="1" x14ac:dyDescent="0.25">
      <c r="E58" s="74"/>
      <c r="AI58" s="246"/>
    </row>
    <row r="59" spans="1:88" hidden="1" x14ac:dyDescent="0.25">
      <c r="E59" s="74"/>
      <c r="AI59" s="246"/>
    </row>
    <row r="60" spans="1:88" hidden="1" x14ac:dyDescent="0.25">
      <c r="E60" s="74"/>
      <c r="AI60" s="246"/>
    </row>
    <row r="61" spans="1:88" hidden="1" x14ac:dyDescent="0.25">
      <c r="E61" s="74"/>
      <c r="AI61" s="246"/>
    </row>
    <row r="62" spans="1:88" hidden="1" x14ac:dyDescent="0.25">
      <c r="E62" s="74"/>
      <c r="AI62" s="165"/>
    </row>
    <row r="63" spans="1:88" hidden="1" x14ac:dyDescent="0.25">
      <c r="E63" s="74"/>
    </row>
    <row r="64" spans="1:88" hidden="1" x14ac:dyDescent="0.25">
      <c r="E64" s="74"/>
    </row>
    <row r="65" spans="2:82" hidden="1" x14ac:dyDescent="0.25">
      <c r="E65" s="74"/>
      <c r="AC65" s="44" t="s">
        <v>97</v>
      </c>
    </row>
    <row r="66" spans="2:82" hidden="1" x14ac:dyDescent="0.25">
      <c r="E66" s="74"/>
    </row>
    <row r="67" spans="2:82" hidden="1" x14ac:dyDescent="0.25">
      <c r="E67" s="74"/>
    </row>
    <row r="68" spans="2:82" hidden="1" x14ac:dyDescent="0.25">
      <c r="E68" s="74"/>
    </row>
    <row r="69" spans="2:82" hidden="1" x14ac:dyDescent="0.25">
      <c r="B69" s="4090">
        <v>1994</v>
      </c>
      <c r="C69" s="4091"/>
      <c r="D69" s="4091"/>
      <c r="E69" s="4092"/>
      <c r="F69" s="4090">
        <v>1995</v>
      </c>
      <c r="G69" s="4091"/>
      <c r="H69" s="4091"/>
      <c r="I69" s="4092"/>
      <c r="J69" s="4090">
        <v>1996</v>
      </c>
      <c r="K69" s="4091"/>
      <c r="L69" s="4091"/>
      <c r="M69" s="4092"/>
      <c r="N69" s="4090">
        <v>1997</v>
      </c>
      <c r="O69" s="4091"/>
      <c r="P69" s="4091"/>
      <c r="Q69" s="4092"/>
      <c r="R69" s="4090">
        <v>1998</v>
      </c>
      <c r="S69" s="4091"/>
      <c r="T69" s="4091"/>
      <c r="U69" s="4092"/>
      <c r="V69" s="4090">
        <v>1999</v>
      </c>
      <c r="W69" s="4091"/>
      <c r="X69" s="4091"/>
      <c r="Y69" s="4092"/>
      <c r="Z69" s="4090">
        <v>2000</v>
      </c>
      <c r="AA69" s="4091"/>
      <c r="AB69" s="4091"/>
      <c r="AC69" s="4092"/>
      <c r="AD69" s="4090">
        <v>2001</v>
      </c>
      <c r="AE69" s="4091"/>
      <c r="AF69" s="4091"/>
      <c r="AG69" s="4092"/>
      <c r="AH69" s="4090">
        <v>2002</v>
      </c>
      <c r="AI69" s="4091"/>
      <c r="AJ69" s="4091"/>
      <c r="AK69" s="4092"/>
      <c r="AL69" s="4090">
        <v>2003</v>
      </c>
      <c r="AM69" s="4091"/>
      <c r="AN69" s="4091"/>
      <c r="AO69" s="4092"/>
      <c r="AP69" s="4090">
        <v>2004</v>
      </c>
      <c r="AQ69" s="4091"/>
      <c r="AR69" s="4091"/>
      <c r="AS69" s="4092"/>
      <c r="AT69" s="4090">
        <v>2005</v>
      </c>
      <c r="AU69" s="4091"/>
      <c r="AV69" s="4091"/>
      <c r="AW69" s="4092"/>
      <c r="AX69" s="4090">
        <v>2006</v>
      </c>
      <c r="AY69" s="4091"/>
      <c r="AZ69" s="4091"/>
      <c r="BA69" s="4092"/>
      <c r="BB69" s="4090">
        <v>2007</v>
      </c>
      <c r="BC69" s="4091"/>
      <c r="BD69" s="4091"/>
      <c r="BE69" s="4092"/>
      <c r="BF69" s="4090">
        <v>2008</v>
      </c>
      <c r="BG69" s="4091"/>
      <c r="BH69" s="4091"/>
      <c r="BI69" s="4092"/>
      <c r="BJ69" s="4090">
        <v>2009</v>
      </c>
      <c r="BK69" s="4091"/>
      <c r="BL69" s="4091"/>
      <c r="BM69" s="4092"/>
      <c r="BN69" s="4090">
        <v>2010</v>
      </c>
      <c r="BO69" s="4091"/>
      <c r="BP69" s="4091"/>
      <c r="BQ69" s="4092"/>
      <c r="BR69" s="4090">
        <v>2011</v>
      </c>
      <c r="BS69" s="4091"/>
      <c r="BT69" s="4091"/>
      <c r="BU69" s="4091"/>
      <c r="BV69" s="4091"/>
      <c r="BW69" s="4091"/>
      <c r="BX69" s="4091"/>
      <c r="BY69" s="4091"/>
      <c r="BZ69" s="4091"/>
      <c r="CA69" s="4091"/>
      <c r="CB69" s="4091"/>
      <c r="CC69" s="4091"/>
      <c r="CD69" s="286"/>
    </row>
    <row r="70" spans="2:82" hidden="1" x14ac:dyDescent="0.25">
      <c r="B70" s="287" t="s">
        <v>99</v>
      </c>
      <c r="C70" s="288" t="s">
        <v>96</v>
      </c>
      <c r="D70" s="251" t="s">
        <v>97</v>
      </c>
      <c r="E70" s="53" t="s">
        <v>98</v>
      </c>
      <c r="F70" s="287" t="s">
        <v>99</v>
      </c>
      <c r="G70" s="288" t="s">
        <v>96</v>
      </c>
      <c r="H70" s="251" t="s">
        <v>97</v>
      </c>
      <c r="I70" s="53" t="s">
        <v>98</v>
      </c>
      <c r="J70" s="287" t="s">
        <v>99</v>
      </c>
      <c r="K70" s="288" t="s">
        <v>96</v>
      </c>
      <c r="L70" s="251" t="s">
        <v>97</v>
      </c>
      <c r="M70" s="53" t="s">
        <v>98</v>
      </c>
      <c r="N70" s="287" t="s">
        <v>99</v>
      </c>
      <c r="O70" s="288" t="s">
        <v>96</v>
      </c>
      <c r="P70" s="251" t="s">
        <v>97</v>
      </c>
      <c r="Q70" s="53" t="s">
        <v>98</v>
      </c>
      <c r="R70" s="287" t="s">
        <v>99</v>
      </c>
      <c r="S70" s="288" t="s">
        <v>96</v>
      </c>
      <c r="T70" s="251" t="s">
        <v>97</v>
      </c>
      <c r="U70" s="53" t="s">
        <v>98</v>
      </c>
      <c r="V70" s="287" t="s">
        <v>99</v>
      </c>
      <c r="W70" s="288" t="s">
        <v>96</v>
      </c>
      <c r="X70" s="251" t="s">
        <v>97</v>
      </c>
      <c r="Y70" s="53" t="s">
        <v>98</v>
      </c>
      <c r="Z70" s="287" t="s">
        <v>99</v>
      </c>
      <c r="AA70" s="288" t="s">
        <v>96</v>
      </c>
      <c r="AB70" s="251" t="s">
        <v>97</v>
      </c>
      <c r="AC70" s="53" t="s">
        <v>98</v>
      </c>
      <c r="AD70" s="287" t="s">
        <v>99</v>
      </c>
      <c r="AE70" s="288" t="s">
        <v>96</v>
      </c>
      <c r="AF70" s="251" t="s">
        <v>97</v>
      </c>
      <c r="AG70" s="53" t="s">
        <v>98</v>
      </c>
      <c r="AH70" s="287" t="s">
        <v>99</v>
      </c>
      <c r="AI70" s="288" t="s">
        <v>96</v>
      </c>
      <c r="AJ70" s="251" t="s">
        <v>97</v>
      </c>
      <c r="AK70" s="53" t="s">
        <v>98</v>
      </c>
      <c r="AL70" s="287" t="s">
        <v>99</v>
      </c>
      <c r="AM70" s="288" t="s">
        <v>96</v>
      </c>
      <c r="AN70" s="251" t="s">
        <v>97</v>
      </c>
      <c r="AO70" s="53" t="s">
        <v>98</v>
      </c>
      <c r="AP70" s="287" t="s">
        <v>99</v>
      </c>
      <c r="AQ70" s="288" t="s">
        <v>96</v>
      </c>
      <c r="AR70" s="251" t="s">
        <v>97</v>
      </c>
      <c r="AS70" s="53" t="s">
        <v>98</v>
      </c>
      <c r="AT70" s="287" t="s">
        <v>99</v>
      </c>
      <c r="AU70" s="288" t="s">
        <v>96</v>
      </c>
      <c r="AV70" s="251" t="s">
        <v>97</v>
      </c>
      <c r="AW70" s="53" t="s">
        <v>98</v>
      </c>
      <c r="AX70" s="287" t="s">
        <v>99</v>
      </c>
      <c r="AY70" s="288" t="s">
        <v>96</v>
      </c>
      <c r="AZ70" s="251" t="s">
        <v>97</v>
      </c>
      <c r="BA70" s="53" t="s">
        <v>98</v>
      </c>
      <c r="BB70" s="287" t="s">
        <v>99</v>
      </c>
      <c r="BC70" s="288" t="s">
        <v>96</v>
      </c>
      <c r="BD70" s="251" t="s">
        <v>97</v>
      </c>
      <c r="BE70" s="53" t="s">
        <v>98</v>
      </c>
      <c r="BF70" s="287" t="s">
        <v>99</v>
      </c>
      <c r="BG70" s="288" t="s">
        <v>96</v>
      </c>
      <c r="BH70" s="251" t="s">
        <v>97</v>
      </c>
      <c r="BI70" s="53" t="s">
        <v>98</v>
      </c>
      <c r="BJ70" s="287" t="s">
        <v>99</v>
      </c>
      <c r="BK70" s="288" t="s">
        <v>96</v>
      </c>
      <c r="BL70" s="251" t="s">
        <v>97</v>
      </c>
      <c r="BM70" s="53" t="s">
        <v>98</v>
      </c>
      <c r="BN70" s="287" t="s">
        <v>99</v>
      </c>
      <c r="BO70" s="288" t="s">
        <v>96</v>
      </c>
      <c r="BP70" s="251" t="s">
        <v>97</v>
      </c>
      <c r="BQ70" s="53" t="s">
        <v>98</v>
      </c>
      <c r="BR70" s="287" t="s">
        <v>99</v>
      </c>
      <c r="BS70" s="253" t="s">
        <v>96</v>
      </c>
      <c r="BT70" s="251" t="s">
        <v>97</v>
      </c>
      <c r="BU70" s="53" t="s">
        <v>98</v>
      </c>
      <c r="BV70" s="287" t="s">
        <v>99</v>
      </c>
      <c r="BY70" s="53" t="s">
        <v>98</v>
      </c>
      <c r="BZ70" s="287" t="s">
        <v>99</v>
      </c>
      <c r="CC70" s="53" t="s">
        <v>98</v>
      </c>
    </row>
    <row r="71" spans="2:82" hidden="1" x14ac:dyDescent="0.25">
      <c r="B71" s="289">
        <v>16.25</v>
      </c>
      <c r="C71" s="290">
        <v>17.0833333333333</v>
      </c>
      <c r="D71" s="291">
        <v>17.5</v>
      </c>
      <c r="E71" s="291">
        <v>18.5</v>
      </c>
      <c r="F71" s="289">
        <v>18.5</v>
      </c>
      <c r="G71" s="290">
        <v>18.5</v>
      </c>
      <c r="H71" s="291">
        <v>20.1666666666667</v>
      </c>
      <c r="I71" s="291">
        <v>19.5</v>
      </c>
      <c r="J71" s="289">
        <v>19.9166666666667</v>
      </c>
      <c r="K71" s="290">
        <v>20.25</v>
      </c>
      <c r="L71" s="291">
        <v>20.25</v>
      </c>
      <c r="M71" s="291">
        <v>20.25</v>
      </c>
      <c r="N71" s="289">
        <v>19.25</v>
      </c>
      <c r="O71" s="290">
        <v>18.9166666666667</v>
      </c>
      <c r="P71" s="291">
        <v>19.5833333333333</v>
      </c>
      <c r="Q71" s="291">
        <v>25</v>
      </c>
      <c r="R71" s="289">
        <v>23.6666666666667</v>
      </c>
      <c r="S71" s="290">
        <v>21</v>
      </c>
      <c r="T71" s="291">
        <v>18.6666666666667</v>
      </c>
      <c r="U71" s="291">
        <v>16.8333333333333</v>
      </c>
      <c r="V71" s="289">
        <v>15.5</v>
      </c>
      <c r="W71" s="290">
        <v>14.5</v>
      </c>
      <c r="X71" s="291">
        <v>14.5</v>
      </c>
      <c r="Y71" s="291">
        <v>14.5</v>
      </c>
      <c r="Z71" s="289">
        <v>14.5</v>
      </c>
      <c r="AA71" s="290">
        <v>14.5</v>
      </c>
      <c r="AB71" s="291">
        <v>14.25</v>
      </c>
      <c r="AC71" s="291">
        <v>13.3333333333333</v>
      </c>
      <c r="AD71" s="289">
        <v>13</v>
      </c>
      <c r="AE71" s="290">
        <v>14.3333333333333</v>
      </c>
      <c r="AF71" s="291">
        <v>15.3333333333333</v>
      </c>
      <c r="AG71" s="291">
        <v>16.3333333333333</v>
      </c>
      <c r="AH71" s="289">
        <v>17</v>
      </c>
      <c r="AI71" s="290">
        <v>17</v>
      </c>
      <c r="AJ71" s="291">
        <v>16.5</v>
      </c>
      <c r="AK71" s="291">
        <v>14.5</v>
      </c>
      <c r="AL71" s="289">
        <v>11.8333333333333</v>
      </c>
      <c r="AM71" s="290">
        <v>11.5</v>
      </c>
      <c r="AN71" s="291">
        <v>11.5</v>
      </c>
      <c r="AO71" s="291">
        <v>11.1666666666667</v>
      </c>
      <c r="AP71" s="289">
        <v>11</v>
      </c>
      <c r="AQ71" s="290">
        <v>11</v>
      </c>
      <c r="AR71" s="291">
        <v>10.5</v>
      </c>
      <c r="AS71" s="291">
        <v>10.5</v>
      </c>
      <c r="AT71" s="289">
        <v>10.5</v>
      </c>
      <c r="AU71" s="290">
        <v>10.5</v>
      </c>
      <c r="AV71" s="291">
        <v>10.6666666666667</v>
      </c>
      <c r="AW71" s="291">
        <v>11.3333333333333</v>
      </c>
      <c r="AX71" s="289">
        <v>12.1666666666667</v>
      </c>
      <c r="AY71" s="290">
        <v>12.5</v>
      </c>
      <c r="AZ71" s="291">
        <v>12.6666666666667</v>
      </c>
      <c r="BA71" s="291">
        <v>13.3333333333333</v>
      </c>
      <c r="BB71" s="289">
        <v>14.1666666666667</v>
      </c>
      <c r="BC71" s="290">
        <v>14.5</v>
      </c>
      <c r="BD71" s="291">
        <v>15.1666666666667</v>
      </c>
      <c r="BE71" s="291">
        <v>15.5</v>
      </c>
      <c r="BF71" s="289">
        <v>15.3333333333333</v>
      </c>
      <c r="BG71" s="290">
        <v>14</v>
      </c>
      <c r="BH71" s="291">
        <v>11.6666666666667</v>
      </c>
      <c r="BI71" s="291">
        <v>10.6666666666667</v>
      </c>
      <c r="BJ71" s="289">
        <v>10.5</v>
      </c>
      <c r="BK71" s="290">
        <v>10.3333333333333</v>
      </c>
      <c r="BL71" s="291">
        <v>10</v>
      </c>
      <c r="BM71" s="291">
        <v>9.8333333333333304</v>
      </c>
      <c r="BN71" s="289">
        <v>9.1666666666666696</v>
      </c>
      <c r="BO71" s="290">
        <v>9</v>
      </c>
      <c r="BP71" s="291">
        <v>9</v>
      </c>
      <c r="BQ71" s="291">
        <v>9</v>
      </c>
      <c r="BR71" s="292">
        <v>9</v>
      </c>
      <c r="BS71" s="293">
        <v>9</v>
      </c>
      <c r="BT71" s="293">
        <v>9</v>
      </c>
      <c r="BU71" s="293">
        <v>8.5</v>
      </c>
      <c r="BV71" s="292">
        <v>8.5</v>
      </c>
      <c r="BY71" s="293">
        <v>8.5</v>
      </c>
      <c r="BZ71" s="292">
        <v>8.5</v>
      </c>
      <c r="CC71" s="293">
        <v>8.5</v>
      </c>
    </row>
    <row r="72" spans="2:82" hidden="1" x14ac:dyDescent="0.25">
      <c r="E72" s="74"/>
    </row>
    <row r="73" spans="2:82" hidden="1" x14ac:dyDescent="0.25">
      <c r="E73" s="74"/>
    </row>
    <row r="74" spans="2:82" hidden="1" x14ac:dyDescent="0.25">
      <c r="E74" s="74"/>
    </row>
    <row r="75" spans="2:82" hidden="1" x14ac:dyDescent="0.25">
      <c r="E75" s="74"/>
    </row>
    <row r="76" spans="2:82" hidden="1" x14ac:dyDescent="0.25">
      <c r="E76" s="74"/>
    </row>
    <row r="77" spans="2:82" hidden="1" x14ac:dyDescent="0.25">
      <c r="E77" s="74"/>
    </row>
    <row r="78" spans="2:82" hidden="1" x14ac:dyDescent="0.25">
      <c r="E78" s="74"/>
    </row>
    <row r="79" spans="2:82" hidden="1" x14ac:dyDescent="0.25">
      <c r="E79" s="74"/>
    </row>
    <row r="80" spans="2:82" hidden="1" x14ac:dyDescent="0.25">
      <c r="E80" s="74"/>
    </row>
    <row r="81" spans="5:5" hidden="1" x14ac:dyDescent="0.25">
      <c r="E81" s="74"/>
    </row>
    <row r="82" spans="5:5" hidden="1" x14ac:dyDescent="0.25">
      <c r="E82" s="74"/>
    </row>
    <row r="83" spans="5:5" x14ac:dyDescent="0.25">
      <c r="E83" s="74"/>
    </row>
    <row r="84" spans="5:5" x14ac:dyDescent="0.25">
      <c r="E84" s="74"/>
    </row>
    <row r="85" spans="5:5" x14ac:dyDescent="0.25">
      <c r="E85" s="74"/>
    </row>
    <row r="86" spans="5:5" x14ac:dyDescent="0.25">
      <c r="E86" s="74"/>
    </row>
    <row r="87" spans="5:5" x14ac:dyDescent="0.25">
      <c r="E87" s="74"/>
    </row>
    <row r="88" spans="5:5" x14ac:dyDescent="0.25">
      <c r="E88" s="74"/>
    </row>
    <row r="89" spans="5:5" x14ac:dyDescent="0.25">
      <c r="E89" s="74"/>
    </row>
    <row r="90" spans="5:5" x14ac:dyDescent="0.25">
      <c r="E90" s="74"/>
    </row>
    <row r="91" spans="5:5" x14ac:dyDescent="0.25">
      <c r="E91" s="74"/>
    </row>
    <row r="92" spans="5:5" x14ac:dyDescent="0.25">
      <c r="E92" s="74"/>
    </row>
    <row r="93" spans="5:5" x14ac:dyDescent="0.25">
      <c r="E93" s="74"/>
    </row>
    <row r="94" spans="5:5" x14ac:dyDescent="0.25">
      <c r="E94" s="74"/>
    </row>
    <row r="95" spans="5:5" x14ac:dyDescent="0.25">
      <c r="E95" s="74"/>
    </row>
    <row r="96" spans="5:5" x14ac:dyDescent="0.25">
      <c r="E96" s="74"/>
    </row>
    <row r="97" spans="5:5" x14ac:dyDescent="0.25">
      <c r="E97" s="74"/>
    </row>
    <row r="98" spans="5:5" x14ac:dyDescent="0.25">
      <c r="E98" s="74"/>
    </row>
    <row r="99" spans="5:5" x14ac:dyDescent="0.25">
      <c r="E99" s="74"/>
    </row>
    <row r="100" spans="5:5" x14ac:dyDescent="0.25">
      <c r="E100" s="74"/>
    </row>
    <row r="101" spans="5:5" x14ac:dyDescent="0.25">
      <c r="E101" s="74"/>
    </row>
    <row r="102" spans="5:5" x14ac:dyDescent="0.25">
      <c r="E102" s="74"/>
    </row>
    <row r="103" spans="5:5" x14ac:dyDescent="0.25">
      <c r="E103" s="74"/>
    </row>
    <row r="104" spans="5:5" x14ac:dyDescent="0.25">
      <c r="E104" s="74"/>
    </row>
    <row r="105" spans="5:5" x14ac:dyDescent="0.25">
      <c r="E105" s="74"/>
    </row>
    <row r="106" spans="5:5" x14ac:dyDescent="0.25">
      <c r="E106" s="74"/>
    </row>
    <row r="107" spans="5:5" x14ac:dyDescent="0.25">
      <c r="E107" s="74"/>
    </row>
    <row r="108" spans="5:5" x14ac:dyDescent="0.25">
      <c r="E108" s="74"/>
    </row>
    <row r="109" spans="5:5" x14ac:dyDescent="0.25">
      <c r="E109" s="74"/>
    </row>
    <row r="110" spans="5:5" x14ac:dyDescent="0.25">
      <c r="E110" s="74"/>
    </row>
    <row r="111" spans="5:5" x14ac:dyDescent="0.25">
      <c r="E111" s="74"/>
    </row>
    <row r="112" spans="5:5" x14ac:dyDescent="0.25">
      <c r="E112" s="74"/>
    </row>
    <row r="113" spans="5:5" x14ac:dyDescent="0.25">
      <c r="E113" s="74"/>
    </row>
    <row r="114" spans="5:5" x14ac:dyDescent="0.25">
      <c r="E114" s="74"/>
    </row>
    <row r="115" spans="5:5" x14ac:dyDescent="0.25">
      <c r="E115" s="74"/>
    </row>
    <row r="116" spans="5:5" x14ac:dyDescent="0.25">
      <c r="E116" s="74"/>
    </row>
    <row r="117" spans="5:5" x14ac:dyDescent="0.25">
      <c r="E117" s="74"/>
    </row>
    <row r="118" spans="5:5" x14ac:dyDescent="0.25">
      <c r="E118" s="74"/>
    </row>
    <row r="119" spans="5:5" x14ac:dyDescent="0.25">
      <c r="E119" s="74"/>
    </row>
    <row r="120" spans="5:5" x14ac:dyDescent="0.25">
      <c r="E120" s="74"/>
    </row>
    <row r="121" spans="5:5" x14ac:dyDescent="0.25">
      <c r="E121" s="74"/>
    </row>
    <row r="122" spans="5:5" x14ac:dyDescent="0.25">
      <c r="E122" s="74"/>
    </row>
    <row r="123" spans="5:5" x14ac:dyDescent="0.25">
      <c r="E123" s="74"/>
    </row>
    <row r="124" spans="5:5" x14ac:dyDescent="0.25">
      <c r="E124" s="74"/>
    </row>
    <row r="125" spans="5:5" x14ac:dyDescent="0.25">
      <c r="E125" s="74"/>
    </row>
    <row r="126" spans="5:5" x14ac:dyDescent="0.25">
      <c r="E126" s="74"/>
    </row>
    <row r="127" spans="5:5" x14ac:dyDescent="0.25">
      <c r="E127" s="74"/>
    </row>
    <row r="128" spans="5:5" x14ac:dyDescent="0.25">
      <c r="E128" s="74"/>
    </row>
    <row r="129" spans="5:5" x14ac:dyDescent="0.25">
      <c r="E129" s="74"/>
    </row>
    <row r="130" spans="5:5" x14ac:dyDescent="0.25">
      <c r="E130" s="74"/>
    </row>
    <row r="131" spans="5:5" x14ac:dyDescent="0.25">
      <c r="E131" s="74"/>
    </row>
    <row r="132" spans="5:5" x14ac:dyDescent="0.25">
      <c r="E132" s="74"/>
    </row>
    <row r="133" spans="5:5" x14ac:dyDescent="0.25">
      <c r="E133" s="74"/>
    </row>
    <row r="134" spans="5:5" x14ac:dyDescent="0.25">
      <c r="E134" s="74"/>
    </row>
    <row r="135" spans="5:5" x14ac:dyDescent="0.25">
      <c r="E135" s="74"/>
    </row>
    <row r="136" spans="5:5" x14ac:dyDescent="0.25">
      <c r="E136" s="74"/>
    </row>
    <row r="137" spans="5:5" x14ac:dyDescent="0.25">
      <c r="E137" s="74"/>
    </row>
    <row r="138" spans="5:5" x14ac:dyDescent="0.25">
      <c r="E138" s="74"/>
    </row>
    <row r="139" spans="5:5" x14ac:dyDescent="0.25">
      <c r="E139" s="74"/>
    </row>
    <row r="140" spans="5:5" x14ac:dyDescent="0.25">
      <c r="E140" s="74"/>
    </row>
    <row r="141" spans="5:5" x14ac:dyDescent="0.25">
      <c r="E141" s="74"/>
    </row>
    <row r="142" spans="5:5" x14ac:dyDescent="0.25">
      <c r="E142" s="74"/>
    </row>
    <row r="143" spans="5:5" x14ac:dyDescent="0.25">
      <c r="E143" s="74"/>
    </row>
    <row r="144" spans="5:5" x14ac:dyDescent="0.25">
      <c r="E144" s="74"/>
    </row>
    <row r="145" spans="5:5" x14ac:dyDescent="0.25">
      <c r="E145" s="74"/>
    </row>
    <row r="146" spans="5:5" x14ac:dyDescent="0.25">
      <c r="E146" s="74"/>
    </row>
    <row r="147" spans="5:5" x14ac:dyDescent="0.25">
      <c r="E147" s="74"/>
    </row>
    <row r="148" spans="5:5" x14ac:dyDescent="0.25">
      <c r="E148" s="74"/>
    </row>
    <row r="149" spans="5:5" x14ac:dyDescent="0.25">
      <c r="E149" s="74"/>
    </row>
    <row r="150" spans="5:5" x14ac:dyDescent="0.25">
      <c r="E150" s="74"/>
    </row>
    <row r="151" spans="5:5" x14ac:dyDescent="0.25">
      <c r="E151" s="74"/>
    </row>
    <row r="152" spans="5:5" x14ac:dyDescent="0.25">
      <c r="E152" s="74"/>
    </row>
    <row r="153" spans="5:5" x14ac:dyDescent="0.25">
      <c r="E153" s="74"/>
    </row>
    <row r="154" spans="5:5" x14ac:dyDescent="0.25">
      <c r="E154" s="74"/>
    </row>
    <row r="155" spans="5:5" x14ac:dyDescent="0.25">
      <c r="E155" s="74"/>
    </row>
    <row r="156" spans="5:5" x14ac:dyDescent="0.25">
      <c r="E156" s="74"/>
    </row>
    <row r="157" spans="5:5" x14ac:dyDescent="0.25">
      <c r="E157" s="74"/>
    </row>
    <row r="158" spans="5:5" x14ac:dyDescent="0.25">
      <c r="E158" s="74"/>
    </row>
    <row r="159" spans="5:5" x14ac:dyDescent="0.25">
      <c r="E159" s="74"/>
    </row>
    <row r="160" spans="5:5" x14ac:dyDescent="0.25">
      <c r="E160" s="74"/>
    </row>
    <row r="161" spans="2:5" x14ac:dyDescent="0.25">
      <c r="E161" s="74"/>
    </row>
    <row r="162" spans="2:5" x14ac:dyDescent="0.25">
      <c r="E162" s="74"/>
    </row>
    <row r="163" spans="2:5" x14ac:dyDescent="0.25">
      <c r="E163" s="74"/>
    </row>
    <row r="164" spans="2:5" x14ac:dyDescent="0.25">
      <c r="E164" s="74"/>
    </row>
    <row r="165" spans="2:5" x14ac:dyDescent="0.25">
      <c r="E165" s="74"/>
    </row>
    <row r="166" spans="2:5" x14ac:dyDescent="0.25">
      <c r="E166" s="74"/>
    </row>
    <row r="167" spans="2:5" x14ac:dyDescent="0.25">
      <c r="E167" s="74"/>
    </row>
    <row r="168" spans="2:5" x14ac:dyDescent="0.25">
      <c r="E168" s="74"/>
    </row>
    <row r="169" spans="2:5" x14ac:dyDescent="0.25">
      <c r="E169" s="74"/>
    </row>
    <row r="170" spans="2:5" x14ac:dyDescent="0.25">
      <c r="E170" s="74"/>
    </row>
    <row r="171" spans="2:5" x14ac:dyDescent="0.25">
      <c r="E171" s="74"/>
    </row>
    <row r="172" spans="2:5" x14ac:dyDescent="0.25">
      <c r="E172" s="74"/>
    </row>
    <row r="173" spans="2:5" x14ac:dyDescent="0.25">
      <c r="E173" s="74"/>
    </row>
    <row r="174" spans="2:5" x14ac:dyDescent="0.25">
      <c r="B174" s="132"/>
      <c r="C174" s="133"/>
      <c r="D174" s="74"/>
      <c r="E174" s="74"/>
    </row>
    <row r="175" spans="2:5" x14ac:dyDescent="0.25">
      <c r="B175" s="294"/>
      <c r="C175" s="295"/>
      <c r="D175" s="196"/>
      <c r="E175" s="196"/>
    </row>
    <row r="176" spans="2:5" x14ac:dyDescent="0.25">
      <c r="B176" s="132"/>
      <c r="C176" s="133"/>
      <c r="D176" s="74"/>
    </row>
    <row r="177" spans="2:4" x14ac:dyDescent="0.25">
      <c r="B177" s="132"/>
      <c r="C177" s="133"/>
      <c r="D177" s="74"/>
    </row>
    <row r="178" spans="2:4" x14ac:dyDescent="0.25">
      <c r="B178" s="132"/>
      <c r="C178" s="133"/>
      <c r="D178" s="74"/>
    </row>
    <row r="179" spans="2:4" x14ac:dyDescent="0.25">
      <c r="B179" s="132"/>
      <c r="C179" s="133"/>
      <c r="D179" s="74"/>
    </row>
    <row r="180" spans="2:4" x14ac:dyDescent="0.25">
      <c r="B180" s="132"/>
      <c r="C180" s="133"/>
      <c r="D180" s="74"/>
    </row>
  </sheetData>
  <mergeCells count="47">
    <mergeCell ref="BB69:BE69"/>
    <mergeCell ref="BF69:BI69"/>
    <mergeCell ref="BJ69:BM69"/>
    <mergeCell ref="BN69:BQ69"/>
    <mergeCell ref="BR69:CC69"/>
    <mergeCell ref="AD69:AG69"/>
    <mergeCell ref="AH69:AK69"/>
    <mergeCell ref="AL69:AO69"/>
    <mergeCell ref="AP69:AS69"/>
    <mergeCell ref="AT69:AW69"/>
    <mergeCell ref="AX69:BA69"/>
    <mergeCell ref="BY44:CB44"/>
    <mergeCell ref="CC44:CF44"/>
    <mergeCell ref="CG44:CJ44"/>
    <mergeCell ref="B69:E69"/>
    <mergeCell ref="F69:I69"/>
    <mergeCell ref="J69:M69"/>
    <mergeCell ref="N69:Q69"/>
    <mergeCell ref="R69:U69"/>
    <mergeCell ref="V69:Y69"/>
    <mergeCell ref="Z69:AC69"/>
    <mergeCell ref="BA44:BD44"/>
    <mergeCell ref="BE44:BH44"/>
    <mergeCell ref="BI44:BL44"/>
    <mergeCell ref="BM44:BP44"/>
    <mergeCell ref="BQ44:BT44"/>
    <mergeCell ref="BU44:BX44"/>
    <mergeCell ref="AC44:AF44"/>
    <mergeCell ref="AG44:AJ44"/>
    <mergeCell ref="AK44:AN44"/>
    <mergeCell ref="AO44:AR44"/>
    <mergeCell ref="AS44:AV44"/>
    <mergeCell ref="AW44:AZ44"/>
    <mergeCell ref="D39:AA39"/>
    <mergeCell ref="D40:AA40"/>
    <mergeCell ref="E44:H44"/>
    <mergeCell ref="I44:L44"/>
    <mergeCell ref="M44:P44"/>
    <mergeCell ref="Q44:T44"/>
    <mergeCell ref="U44:X44"/>
    <mergeCell ref="Y44:AB44"/>
    <mergeCell ref="D38:AA38"/>
    <mergeCell ref="D2:AB2"/>
    <mergeCell ref="D3:AB3"/>
    <mergeCell ref="D4:AB4"/>
    <mergeCell ref="D5:AB5"/>
    <mergeCell ref="D37:AA37"/>
  </mergeCells>
  <pageMargins left="0.74803149606299202" right="0.74803149606299202" top="0.98425196850393704" bottom="0.98425196850393704" header="0.511811023622047" footer="0.511811023622047"/>
  <pageSetup paperSize="9" scale="7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47"/>
  <sheetViews>
    <sheetView showGridLines="0" view="pageBreakPreview" zoomScaleSheetLayoutView="100" workbookViewId="0">
      <selection activeCell="P31" sqref="P31"/>
    </sheetView>
  </sheetViews>
  <sheetFormatPr defaultColWidth="9.140625" defaultRowHeight="12" x14ac:dyDescent="0.2"/>
  <cols>
    <col min="1" max="1" width="3.7109375" style="3024" customWidth="1"/>
    <col min="2" max="2" width="14.42578125" style="3025" customWidth="1"/>
    <col min="3" max="3" width="3.7109375" style="3025" customWidth="1"/>
    <col min="4" max="4" width="50.85546875" style="733" customWidth="1"/>
    <col min="5" max="18" width="8.7109375" style="733" customWidth="1"/>
    <col min="19" max="16384" width="9.140625" style="733"/>
  </cols>
  <sheetData>
    <row r="1" spans="1:18" s="943" customFormat="1" ht="15" x14ac:dyDescent="0.2">
      <c r="A1" s="2035"/>
      <c r="B1" s="2036"/>
      <c r="C1" s="2036"/>
    </row>
    <row r="2" spans="1:18" s="943" customFormat="1" ht="14.25" customHeight="1" x14ac:dyDescent="0.2">
      <c r="A2" s="1">
        <v>1</v>
      </c>
      <c r="B2" s="1" t="s">
        <v>0</v>
      </c>
      <c r="C2" s="1">
        <v>83</v>
      </c>
      <c r="D2" s="4140" t="s">
        <v>1775</v>
      </c>
      <c r="E2" s="4141"/>
      <c r="F2" s="4141"/>
      <c r="G2" s="4141"/>
      <c r="H2" s="4141"/>
      <c r="I2" s="4141"/>
      <c r="J2" s="4141"/>
      <c r="K2" s="4141"/>
      <c r="L2" s="4141"/>
      <c r="M2" s="4141"/>
      <c r="N2" s="4141"/>
      <c r="O2" s="4141"/>
      <c r="P2" s="4141"/>
      <c r="Q2" s="4141"/>
      <c r="R2" s="4142"/>
    </row>
    <row r="3" spans="1:18" s="943" customFormat="1" ht="14.25" customHeight="1" x14ac:dyDescent="0.2">
      <c r="A3" s="1">
        <v>2</v>
      </c>
      <c r="B3" s="1" t="s">
        <v>2</v>
      </c>
      <c r="C3" s="1"/>
      <c r="D3" s="4140" t="s">
        <v>1776</v>
      </c>
      <c r="E3" s="4141"/>
      <c r="F3" s="4141"/>
      <c r="G3" s="4141"/>
      <c r="H3" s="4141"/>
      <c r="I3" s="4141"/>
      <c r="J3" s="4141"/>
      <c r="K3" s="4141"/>
      <c r="L3" s="4141"/>
      <c r="M3" s="4141"/>
      <c r="N3" s="4141"/>
      <c r="O3" s="4141"/>
      <c r="P3" s="4141"/>
      <c r="Q3" s="4141"/>
      <c r="R3" s="4142"/>
    </row>
    <row r="4" spans="1:18" s="943" customFormat="1" ht="14.25" customHeight="1" x14ac:dyDescent="0.2">
      <c r="A4" s="1">
        <v>3</v>
      </c>
      <c r="B4" s="1" t="s">
        <v>4</v>
      </c>
      <c r="C4" s="1"/>
      <c r="D4" s="4140" t="s">
        <v>1777</v>
      </c>
      <c r="E4" s="4141"/>
      <c r="F4" s="4141"/>
      <c r="G4" s="4141"/>
      <c r="H4" s="4141"/>
      <c r="I4" s="4141"/>
      <c r="J4" s="4141"/>
      <c r="K4" s="4141"/>
      <c r="L4" s="4141"/>
      <c r="M4" s="4141"/>
      <c r="N4" s="4141"/>
      <c r="O4" s="4141"/>
      <c r="P4" s="4141"/>
      <c r="Q4" s="4141"/>
      <c r="R4" s="4142"/>
    </row>
    <row r="5" spans="1:18" ht="12.75" x14ac:dyDescent="0.2">
      <c r="C5" s="12"/>
    </row>
    <row r="6" spans="1:18" s="11" customFormat="1" ht="12.75" x14ac:dyDescent="0.2">
      <c r="A6" s="1">
        <v>4</v>
      </c>
      <c r="B6" s="12" t="s">
        <v>5</v>
      </c>
      <c r="C6" s="6"/>
      <c r="D6" s="1381" t="s">
        <v>6</v>
      </c>
      <c r="E6" s="1381" t="s">
        <v>1778</v>
      </c>
      <c r="F6" s="1381"/>
      <c r="G6" s="1381"/>
      <c r="H6" s="1381"/>
      <c r="I6" s="1381"/>
      <c r="J6" s="1381"/>
      <c r="K6" s="1381"/>
      <c r="L6" s="1405"/>
      <c r="M6" s="1405"/>
    </row>
    <row r="7" spans="1:18" s="11" customFormat="1" ht="11.25" x14ac:dyDescent="0.2">
      <c r="A7" s="5"/>
      <c r="B7" s="6"/>
      <c r="C7" s="1778"/>
      <c r="D7" s="3760" t="s">
        <v>1729</v>
      </c>
      <c r="E7" s="3741">
        <v>2004</v>
      </c>
      <c r="F7" s="3741">
        <v>2005</v>
      </c>
      <c r="G7" s="3741">
        <v>2006</v>
      </c>
      <c r="H7" s="3741">
        <v>2007</v>
      </c>
      <c r="I7" s="3741">
        <v>2008</v>
      </c>
      <c r="J7" s="3741">
        <v>2009</v>
      </c>
      <c r="K7" s="3741">
        <v>2010</v>
      </c>
      <c r="L7" s="3741">
        <v>2011</v>
      </c>
      <c r="M7" s="3742">
        <v>2012</v>
      </c>
      <c r="N7" s="3742">
        <v>2013</v>
      </c>
      <c r="O7" s="3742">
        <v>2014</v>
      </c>
      <c r="P7" s="3742">
        <v>2015</v>
      </c>
      <c r="Q7" s="3742">
        <v>2016</v>
      </c>
      <c r="R7" s="3742">
        <v>2017</v>
      </c>
    </row>
    <row r="8" spans="1:18" s="11" customFormat="1" ht="11.25" customHeight="1" x14ac:dyDescent="0.2">
      <c r="A8" s="5"/>
      <c r="B8" s="6"/>
      <c r="C8" s="3743"/>
      <c r="D8" s="3767" t="s">
        <v>1779</v>
      </c>
      <c r="E8" s="3768">
        <v>0.81743181818181809</v>
      </c>
      <c r="F8" s="3768">
        <v>0.88807692307692299</v>
      </c>
      <c r="G8" s="3768">
        <v>0.84668750000000004</v>
      </c>
      <c r="H8" s="3768">
        <v>0.9216399999999999</v>
      </c>
      <c r="I8" s="3768">
        <v>0.95001538461538448</v>
      </c>
      <c r="J8" s="3768">
        <v>1.0187225806451614</v>
      </c>
      <c r="K8" s="3768">
        <v>0.97776842105263173</v>
      </c>
      <c r="L8" s="3768">
        <v>0.82246000000000008</v>
      </c>
      <c r="M8" s="3769">
        <v>0.86304999999999976</v>
      </c>
      <c r="N8" s="3769">
        <v>0.84252000000000005</v>
      </c>
      <c r="O8" s="3769">
        <v>0.78006382978723399</v>
      </c>
      <c r="P8" s="3769">
        <v>1.0399112903225807</v>
      </c>
      <c r="Q8" s="3769">
        <v>1.0354827586206894</v>
      </c>
      <c r="R8" s="3770">
        <v>0.97449807805253263</v>
      </c>
    </row>
    <row r="9" spans="1:18" s="11" customFormat="1" ht="11.25" customHeight="1" x14ac:dyDescent="0.2">
      <c r="A9" s="5"/>
      <c r="B9" s="6"/>
      <c r="C9" s="3743"/>
      <c r="D9" s="3767" t="s">
        <v>1780</v>
      </c>
      <c r="E9" s="3768"/>
      <c r="F9" s="3768"/>
      <c r="G9" s="3768"/>
      <c r="H9" s="3768">
        <v>1.3542666666666665</v>
      </c>
      <c r="I9" s="3768">
        <v>1.2295333333333334</v>
      </c>
      <c r="J9" s="3768">
        <v>1.1886000000000001</v>
      </c>
      <c r="K9" s="3768">
        <v>1.2203999999999999</v>
      </c>
      <c r="L9" s="3768">
        <v>1.2079</v>
      </c>
      <c r="M9" s="3768">
        <v>1.2477666666666669</v>
      </c>
      <c r="N9" s="3768">
        <v>1.2061999999999999</v>
      </c>
      <c r="O9" s="3768">
        <v>1.0216000000000001</v>
      </c>
      <c r="P9" s="3768">
        <v>1.3297500000000002</v>
      </c>
      <c r="Q9" s="3768">
        <v>1.5543333333333336</v>
      </c>
      <c r="R9" s="3771">
        <v>1.1005568675024389</v>
      </c>
    </row>
    <row r="10" spans="1:18" s="11" customFormat="1" ht="11.25" x14ac:dyDescent="0.2">
      <c r="A10" s="5"/>
      <c r="B10" s="6"/>
      <c r="C10" s="3743"/>
      <c r="D10" s="1355" t="s">
        <v>1781</v>
      </c>
      <c r="E10" s="3768"/>
      <c r="F10" s="3768"/>
      <c r="G10" s="3768"/>
      <c r="H10" s="3768"/>
      <c r="I10" s="3768">
        <v>1.196</v>
      </c>
      <c r="J10" s="3768">
        <v>0.99328000000000005</v>
      </c>
      <c r="K10" s="3768">
        <v>1.1179999999999999</v>
      </c>
      <c r="L10" s="3768">
        <v>1.2331199999999998</v>
      </c>
      <c r="M10" s="3768">
        <v>1.0312399999999999</v>
      </c>
      <c r="N10" s="3768">
        <v>1.02532</v>
      </c>
      <c r="O10" s="3768">
        <v>0.66252</v>
      </c>
      <c r="P10" s="3768">
        <v>1.2053749999999999</v>
      </c>
      <c r="Q10" s="3768">
        <v>1.05965</v>
      </c>
      <c r="R10" s="3771">
        <v>1.476912412330778</v>
      </c>
    </row>
    <row r="11" spans="1:18" s="11" customFormat="1" ht="11.25" x14ac:dyDescent="0.2">
      <c r="A11" s="5"/>
      <c r="B11" s="6"/>
      <c r="C11" s="1778"/>
      <c r="D11" s="3772" t="s">
        <v>1782</v>
      </c>
      <c r="E11" s="3773">
        <v>1</v>
      </c>
      <c r="F11" s="3773">
        <v>1</v>
      </c>
      <c r="G11" s="3773">
        <v>1</v>
      </c>
      <c r="H11" s="3773">
        <v>1</v>
      </c>
      <c r="I11" s="3773">
        <v>1</v>
      </c>
      <c r="J11" s="3773">
        <v>1</v>
      </c>
      <c r="K11" s="3773">
        <v>1</v>
      </c>
      <c r="L11" s="3773">
        <v>1</v>
      </c>
      <c r="M11" s="3773">
        <v>1</v>
      </c>
      <c r="N11" s="3773">
        <v>1</v>
      </c>
      <c r="O11" s="3773">
        <v>1</v>
      </c>
      <c r="P11" s="3773">
        <v>1</v>
      </c>
      <c r="Q11" s="3773">
        <v>1</v>
      </c>
      <c r="R11" s="3773">
        <v>1</v>
      </c>
    </row>
    <row r="12" spans="1:18" s="11" customFormat="1" ht="20.25" customHeight="1" x14ac:dyDescent="0.2">
      <c r="A12" s="5"/>
      <c r="B12" s="6"/>
      <c r="C12" s="6"/>
      <c r="D12" s="2085"/>
      <c r="E12" s="1336"/>
      <c r="F12" s="3745"/>
      <c r="G12" s="17"/>
      <c r="H12" s="17"/>
      <c r="I12" s="17"/>
      <c r="J12" s="17"/>
      <c r="K12" s="17"/>
      <c r="L12" s="17"/>
      <c r="M12" s="17"/>
    </row>
    <row r="13" spans="1:18" ht="12.75" x14ac:dyDescent="0.2">
      <c r="A13" s="1">
        <v>5</v>
      </c>
      <c r="B13" s="1" t="s">
        <v>90</v>
      </c>
      <c r="D13" s="1355"/>
      <c r="E13" s="1886"/>
      <c r="F13" s="1886"/>
      <c r="G13" s="1355"/>
      <c r="H13" s="1355"/>
      <c r="I13" s="1355"/>
      <c r="J13" s="1355"/>
      <c r="K13" s="1355"/>
      <c r="L13" s="1355"/>
      <c r="M13" s="1355"/>
    </row>
    <row r="19" s="733" customFormat="1" x14ac:dyDescent="0.2"/>
    <row r="20" s="733" customFormat="1" x14ac:dyDescent="0.2"/>
    <row r="21" s="733" customFormat="1" x14ac:dyDescent="0.2"/>
    <row r="22" s="733" customFormat="1" x14ac:dyDescent="0.2"/>
    <row r="23" s="733" customFormat="1" x14ac:dyDescent="0.2"/>
    <row r="24" s="733" customFormat="1" x14ac:dyDescent="0.2"/>
    <row r="25" s="733" customFormat="1" x14ac:dyDescent="0.2"/>
    <row r="26" s="733" customFormat="1" x14ac:dyDescent="0.2"/>
    <row r="27" s="733" customFormat="1" x14ac:dyDescent="0.2"/>
    <row r="28" s="733" customFormat="1" x14ac:dyDescent="0.2"/>
    <row r="29" s="733" customFormat="1" x14ac:dyDescent="0.2"/>
    <row r="30" s="733" customFormat="1" x14ac:dyDescent="0.2"/>
    <row r="44" spans="1:18" s="943" customFormat="1" ht="14.25" customHeight="1" x14ac:dyDescent="0.2">
      <c r="A44" s="1">
        <v>6</v>
      </c>
      <c r="B44" s="1" t="s">
        <v>29</v>
      </c>
      <c r="C44" s="1"/>
      <c r="D44" s="4140" t="s">
        <v>1783</v>
      </c>
      <c r="E44" s="4141"/>
      <c r="F44" s="4141"/>
      <c r="G44" s="4141"/>
      <c r="H44" s="4141"/>
      <c r="I44" s="4141"/>
      <c r="J44" s="4141"/>
      <c r="K44" s="4141"/>
      <c r="L44" s="4141"/>
      <c r="M44" s="4141"/>
      <c r="N44" s="4141"/>
      <c r="O44" s="4141"/>
      <c r="P44" s="4141"/>
      <c r="Q44" s="4141"/>
      <c r="R44" s="4142"/>
    </row>
    <row r="45" spans="1:18" s="943" customFormat="1" ht="38.25" customHeight="1" x14ac:dyDescent="0.2">
      <c r="A45" s="40">
        <v>7</v>
      </c>
      <c r="B45" s="40" t="s">
        <v>32</v>
      </c>
      <c r="C45" s="40"/>
      <c r="D45" s="4140" t="s">
        <v>1784</v>
      </c>
      <c r="E45" s="4141"/>
      <c r="F45" s="4141"/>
      <c r="G45" s="4141"/>
      <c r="H45" s="4141"/>
      <c r="I45" s="4141"/>
      <c r="J45" s="4141"/>
      <c r="K45" s="4141"/>
      <c r="L45" s="4141"/>
      <c r="M45" s="4141"/>
      <c r="N45" s="4141"/>
      <c r="O45" s="4141"/>
      <c r="P45" s="4141"/>
      <c r="Q45" s="4141"/>
      <c r="R45" s="4142"/>
    </row>
    <row r="46" spans="1:18" s="943" customFormat="1" ht="65.25" customHeight="1" x14ac:dyDescent="0.2">
      <c r="A46" s="1">
        <v>8</v>
      </c>
      <c r="B46" s="1" t="s">
        <v>34</v>
      </c>
      <c r="C46" s="40"/>
      <c r="D46" s="4140" t="s">
        <v>1785</v>
      </c>
      <c r="E46" s="4141"/>
      <c r="F46" s="4141"/>
      <c r="G46" s="4141"/>
      <c r="H46" s="4141"/>
      <c r="I46" s="4141"/>
      <c r="J46" s="4141"/>
      <c r="K46" s="4141"/>
      <c r="L46" s="4141"/>
      <c r="M46" s="4141"/>
      <c r="N46" s="4141"/>
      <c r="O46" s="4141"/>
      <c r="P46" s="4141"/>
      <c r="Q46" s="4141"/>
      <c r="R46" s="4142"/>
    </row>
    <row r="47" spans="1:18" s="943" customFormat="1" ht="12.75" customHeight="1" x14ac:dyDescent="0.2">
      <c r="A47" s="1">
        <v>9</v>
      </c>
      <c r="B47" s="1" t="s">
        <v>31</v>
      </c>
      <c r="C47" s="1"/>
      <c r="D47" s="4140" t="s">
        <v>1786</v>
      </c>
      <c r="E47" s="4141"/>
      <c r="F47" s="4141"/>
      <c r="G47" s="4141"/>
      <c r="H47" s="4141"/>
      <c r="I47" s="4141"/>
      <c r="J47" s="4141"/>
      <c r="K47" s="4141"/>
      <c r="L47" s="4141"/>
      <c r="M47" s="4141"/>
      <c r="N47" s="4141"/>
      <c r="O47" s="4141"/>
      <c r="P47" s="4141"/>
      <c r="Q47" s="4141"/>
      <c r="R47" s="4142"/>
    </row>
  </sheetData>
  <mergeCells count="7">
    <mergeCell ref="D47:R47"/>
    <mergeCell ref="D2:R2"/>
    <mergeCell ref="D3:R3"/>
    <mergeCell ref="D4:R4"/>
    <mergeCell ref="D44:R44"/>
    <mergeCell ref="D45:R45"/>
    <mergeCell ref="D46:R46"/>
  </mergeCells>
  <pageMargins left="0.74803149606299213" right="0.74803149606299213" top="0.98425196850393704" bottom="0.98425196850393704" header="0.51181102362204722" footer="0.51181102362204722"/>
  <pageSetup paperSize="9" scale="63" orientation="landscape" r:id="rId1"/>
  <headerFooter alignWithMargins="0">
    <oddFooter>&amp;LDRAFT&amp;CPage &amp;P of &amp;N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7"/>
  <sheetViews>
    <sheetView showGridLines="0" view="pageBreakPreview" zoomScaleSheetLayoutView="100" workbookViewId="0">
      <selection activeCell="D4" sqref="D4:O4"/>
    </sheetView>
  </sheetViews>
  <sheetFormatPr defaultColWidth="9.140625" defaultRowHeight="12" x14ac:dyDescent="0.2"/>
  <cols>
    <col min="1" max="1" width="3.7109375" style="3024" customWidth="1"/>
    <col min="2" max="2" width="14.42578125" style="3025" customWidth="1"/>
    <col min="3" max="3" width="3.7109375" style="3025" customWidth="1"/>
    <col min="4" max="4" width="36.5703125" style="733" bestFit="1" customWidth="1"/>
    <col min="5" max="14" width="10.5703125" style="733" customWidth="1"/>
    <col min="15" max="15" width="7.42578125" style="733" customWidth="1"/>
    <col min="16" max="16" width="4.7109375" style="733" customWidth="1"/>
    <col min="17" max="16384" width="9.140625" style="733"/>
  </cols>
  <sheetData>
    <row r="1" spans="1:15" s="943" customFormat="1" ht="15" x14ac:dyDescent="0.2">
      <c r="A1" s="2035"/>
      <c r="B1" s="2036"/>
      <c r="C1" s="2036"/>
      <c r="N1" s="11"/>
    </row>
    <row r="2" spans="1:15" s="943" customFormat="1" ht="14.25" customHeight="1" x14ac:dyDescent="0.2">
      <c r="A2" s="1">
        <v>1</v>
      </c>
      <c r="B2" s="1" t="s">
        <v>0</v>
      </c>
      <c r="C2" s="1">
        <v>84</v>
      </c>
      <c r="D2" s="4140" t="s">
        <v>1766</v>
      </c>
      <c r="E2" s="4141"/>
      <c r="F2" s="4141"/>
      <c r="G2" s="4141"/>
      <c r="H2" s="4141"/>
      <c r="I2" s="4141"/>
      <c r="J2" s="4141"/>
      <c r="K2" s="4141"/>
      <c r="L2" s="4141"/>
      <c r="M2" s="4141"/>
      <c r="N2" s="4141"/>
      <c r="O2" s="4142"/>
    </row>
    <row r="3" spans="1:15" s="943" customFormat="1" ht="14.25" customHeight="1" x14ac:dyDescent="0.2">
      <c r="A3" s="1">
        <v>2</v>
      </c>
      <c r="B3" s="1" t="s">
        <v>2</v>
      </c>
      <c r="C3" s="1"/>
      <c r="D3" s="4140" t="s">
        <v>1756</v>
      </c>
      <c r="E3" s="4141"/>
      <c r="F3" s="4141"/>
      <c r="G3" s="4141"/>
      <c r="H3" s="4141"/>
      <c r="I3" s="4141"/>
      <c r="J3" s="4141"/>
      <c r="K3" s="4141"/>
      <c r="L3" s="4141"/>
      <c r="M3" s="4141"/>
      <c r="N3" s="4141"/>
      <c r="O3" s="4142"/>
    </row>
    <row r="4" spans="1:15" s="943" customFormat="1" ht="27.75" customHeight="1" x14ac:dyDescent="0.2">
      <c r="A4" s="1">
        <v>3</v>
      </c>
      <c r="B4" s="1" t="s">
        <v>4</v>
      </c>
      <c r="C4" s="1"/>
      <c r="D4" s="4140" t="s">
        <v>1767</v>
      </c>
      <c r="E4" s="4141"/>
      <c r="F4" s="4141"/>
      <c r="G4" s="4141"/>
      <c r="H4" s="4141"/>
      <c r="I4" s="4141"/>
      <c r="J4" s="4141"/>
      <c r="K4" s="4141"/>
      <c r="L4" s="4141"/>
      <c r="M4" s="4141"/>
      <c r="N4" s="4141"/>
      <c r="O4" s="4142"/>
    </row>
    <row r="5" spans="1:15" ht="12.75" x14ac:dyDescent="0.2">
      <c r="C5" s="12"/>
      <c r="N5" s="11"/>
    </row>
    <row r="6" spans="1:15" s="11" customFormat="1" ht="12.75" x14ac:dyDescent="0.2">
      <c r="A6" s="1">
        <v>4</v>
      </c>
      <c r="B6" s="12" t="s">
        <v>5</v>
      </c>
      <c r="C6" s="6"/>
      <c r="D6" s="1381" t="s">
        <v>6</v>
      </c>
      <c r="E6" s="1381" t="s">
        <v>1768</v>
      </c>
      <c r="F6" s="1381"/>
      <c r="G6" s="1381"/>
      <c r="H6" s="1381"/>
      <c r="I6" s="1381"/>
      <c r="J6" s="1381"/>
      <c r="K6" s="1381"/>
      <c r="L6" s="1405"/>
      <c r="M6" s="1405"/>
    </row>
    <row r="7" spans="1:15" s="11" customFormat="1" ht="11.25" x14ac:dyDescent="0.2">
      <c r="A7" s="5"/>
      <c r="B7" s="6"/>
      <c r="C7" s="6"/>
      <c r="D7" s="3760" t="s">
        <v>1769</v>
      </c>
      <c r="E7" s="3741">
        <v>1960</v>
      </c>
      <c r="F7" s="3741">
        <v>1980</v>
      </c>
      <c r="G7" s="3741">
        <v>1985</v>
      </c>
      <c r="H7" s="3741">
        <v>1990</v>
      </c>
      <c r="I7" s="3741">
        <v>1995</v>
      </c>
      <c r="J7" s="3741">
        <v>2000</v>
      </c>
      <c r="K7" s="3741">
        <v>2005</v>
      </c>
      <c r="L7" s="3741">
        <v>2010</v>
      </c>
      <c r="M7" s="3741">
        <v>2015</v>
      </c>
      <c r="N7" s="2043">
        <v>2016</v>
      </c>
      <c r="O7" s="2020">
        <v>2017</v>
      </c>
    </row>
    <row r="8" spans="1:15" s="11" customFormat="1" ht="11.25" customHeight="1" x14ac:dyDescent="0.2">
      <c r="A8" s="5"/>
      <c r="B8" s="6"/>
      <c r="C8" s="3761"/>
      <c r="D8" s="3762" t="s">
        <v>1770</v>
      </c>
      <c r="E8" s="3763">
        <v>3.1E-2</v>
      </c>
      <c r="F8" s="3763">
        <v>4.9000000000000002E-2</v>
      </c>
      <c r="G8" s="3763">
        <v>5.3999999999999999E-2</v>
      </c>
      <c r="H8" s="3763">
        <v>5.7000000000000002E-2</v>
      </c>
      <c r="I8" s="3763">
        <v>6.2E-2</v>
      </c>
      <c r="J8" s="3763">
        <v>6.5000000000000002E-2</v>
      </c>
      <c r="K8" s="3763">
        <v>6.7000000000000004E-2</v>
      </c>
      <c r="L8" s="3763">
        <v>7.8E-2</v>
      </c>
      <c r="M8" s="3763">
        <v>8.3000000000000004E-2</v>
      </c>
      <c r="N8" s="3764">
        <v>8.5000000000000006E-2</v>
      </c>
      <c r="O8" s="3765">
        <v>8.5636634952421603E-2</v>
      </c>
    </row>
    <row r="9" spans="1:15" s="11" customFormat="1" ht="11.25" customHeight="1" x14ac:dyDescent="0.2">
      <c r="A9" s="5"/>
      <c r="B9" s="6"/>
      <c r="C9" s="3761"/>
      <c r="D9" s="3762" t="s">
        <v>1771</v>
      </c>
      <c r="E9" s="3763"/>
      <c r="F9" s="3763"/>
      <c r="G9" s="3763"/>
      <c r="H9" s="3763"/>
      <c r="I9" s="3763">
        <v>6.2E-2</v>
      </c>
      <c r="J9" s="3763">
        <v>6.8086956521739128E-2</v>
      </c>
      <c r="K9" s="3763">
        <v>7.4173913043478257E-2</v>
      </c>
      <c r="L9" s="3763">
        <v>8.0260869565217385E-2</v>
      </c>
      <c r="M9" s="3763">
        <v>8.6347826086956514E-2</v>
      </c>
      <c r="N9" s="3764">
        <v>9.5250000000000001E-2</v>
      </c>
      <c r="O9" s="3765">
        <v>0.1075</v>
      </c>
    </row>
    <row r="10" spans="1:15" s="11" customFormat="1" ht="11.25" x14ac:dyDescent="0.2">
      <c r="A10" s="5"/>
      <c r="B10" s="6"/>
      <c r="C10" s="3761"/>
      <c r="D10" s="3205" t="s">
        <v>1766</v>
      </c>
      <c r="E10" s="3763">
        <v>1.9E-2</v>
      </c>
      <c r="F10" s="3763">
        <v>3.3000000000000002E-2</v>
      </c>
      <c r="G10" s="3763">
        <v>3.5999999999999997E-2</v>
      </c>
      <c r="H10" s="3763">
        <v>3.9E-2</v>
      </c>
      <c r="I10" s="3763">
        <v>4.2999999999999997E-2</v>
      </c>
      <c r="J10" s="3763">
        <v>4.5999999999999999E-2</v>
      </c>
      <c r="K10" s="3763">
        <v>4.8000000000000001E-2</v>
      </c>
      <c r="L10" s="3763">
        <v>5.1999999999999998E-2</v>
      </c>
      <c r="M10" s="3763">
        <v>5.6000000000000001E-2</v>
      </c>
      <c r="N10" s="3764">
        <v>5.819452634397243E-2</v>
      </c>
      <c r="O10" s="3765">
        <v>6.3105424758183662E-2</v>
      </c>
    </row>
    <row r="11" spans="1:15" s="11" customFormat="1" ht="11.25" x14ac:dyDescent="0.2">
      <c r="A11" s="5"/>
      <c r="B11" s="6"/>
      <c r="C11" s="6"/>
      <c r="D11" s="1866" t="s">
        <v>1772</v>
      </c>
      <c r="E11" s="3753"/>
      <c r="F11" s="3753"/>
      <c r="G11" s="3753"/>
      <c r="H11" s="3753"/>
      <c r="I11" s="3753"/>
      <c r="J11" s="3753"/>
      <c r="K11" s="3753"/>
      <c r="L11" s="3753">
        <v>5.1999999999999998E-2</v>
      </c>
      <c r="M11" s="3753">
        <v>8.5999999999999993E-2</v>
      </c>
      <c r="N11" s="3754">
        <v>9.2799999999999994E-2</v>
      </c>
      <c r="O11" s="3766">
        <v>9.9599999999999994E-2</v>
      </c>
    </row>
    <row r="12" spans="1:15" s="11" customFormat="1" ht="20.25" customHeight="1" x14ac:dyDescent="0.2">
      <c r="A12" s="5"/>
      <c r="B12" s="6"/>
      <c r="C12" s="6"/>
      <c r="D12" s="2085"/>
      <c r="E12" s="1336"/>
      <c r="F12" s="3745"/>
      <c r="G12" s="17"/>
      <c r="H12" s="17"/>
      <c r="I12" s="17"/>
      <c r="J12" s="17"/>
      <c r="K12" s="17"/>
      <c r="L12" s="17"/>
      <c r="M12" s="17"/>
    </row>
    <row r="13" spans="1:15" ht="12.75" x14ac:dyDescent="0.2">
      <c r="A13" s="1">
        <v>5</v>
      </c>
      <c r="B13" s="1" t="s">
        <v>90</v>
      </c>
      <c r="D13" s="1355"/>
      <c r="E13" s="1886"/>
      <c r="F13" s="1886"/>
      <c r="G13" s="1355"/>
      <c r="H13" s="1355"/>
      <c r="I13" s="1355"/>
      <c r="J13" s="1355"/>
      <c r="K13" s="1355"/>
      <c r="L13" s="1355"/>
      <c r="M13" s="1355"/>
    </row>
    <row r="19" s="733" customFormat="1" x14ac:dyDescent="0.2"/>
    <row r="20" s="733" customFormat="1" x14ac:dyDescent="0.2"/>
    <row r="21" s="733" customFormat="1" x14ac:dyDescent="0.2"/>
    <row r="22" s="733" customFormat="1" x14ac:dyDescent="0.2"/>
    <row r="23" s="733" customFormat="1" x14ac:dyDescent="0.2"/>
    <row r="24" s="733" customFormat="1" x14ac:dyDescent="0.2"/>
    <row r="25" s="733" customFormat="1" x14ac:dyDescent="0.2"/>
    <row r="26" s="733" customFormat="1" x14ac:dyDescent="0.2"/>
    <row r="27" s="733" customFormat="1" x14ac:dyDescent="0.2"/>
    <row r="28" s="733" customFormat="1" x14ac:dyDescent="0.2"/>
    <row r="29" s="733" customFormat="1" x14ac:dyDescent="0.2"/>
    <row r="30" s="733" customFormat="1" x14ac:dyDescent="0.2"/>
    <row r="44" spans="1:14" s="943" customFormat="1" ht="14.25" customHeight="1" x14ac:dyDescent="0.2">
      <c r="A44" s="1">
        <v>6</v>
      </c>
      <c r="B44" s="1" t="s">
        <v>29</v>
      </c>
      <c r="C44" s="1"/>
      <c r="D44" s="4140" t="s">
        <v>456</v>
      </c>
      <c r="E44" s="4141"/>
      <c r="F44" s="4141"/>
      <c r="G44" s="4141"/>
      <c r="H44" s="4141"/>
      <c r="I44" s="4141"/>
      <c r="J44" s="4141"/>
      <c r="K44" s="4141"/>
      <c r="L44" s="4141"/>
      <c r="M44" s="4141"/>
      <c r="N44" s="4142"/>
    </row>
    <row r="45" spans="1:14" s="943" customFormat="1" ht="29.25" customHeight="1" x14ac:dyDescent="0.2">
      <c r="A45" s="40">
        <v>7</v>
      </c>
      <c r="B45" s="40" t="s">
        <v>32</v>
      </c>
      <c r="C45" s="40"/>
      <c r="D45" s="4140" t="s">
        <v>645</v>
      </c>
      <c r="E45" s="4141"/>
      <c r="F45" s="4141"/>
      <c r="G45" s="4141"/>
      <c r="H45" s="4141"/>
      <c r="I45" s="4141"/>
      <c r="J45" s="4141"/>
      <c r="K45" s="4141"/>
      <c r="L45" s="4141"/>
      <c r="M45" s="4141"/>
      <c r="N45" s="4142"/>
    </row>
    <row r="46" spans="1:14" s="943" customFormat="1" ht="40.5" customHeight="1" x14ac:dyDescent="0.2">
      <c r="A46" s="1">
        <v>8</v>
      </c>
      <c r="B46" s="1" t="s">
        <v>34</v>
      </c>
      <c r="C46" s="40"/>
      <c r="D46" s="4140" t="s">
        <v>1773</v>
      </c>
      <c r="E46" s="4141"/>
      <c r="F46" s="4141"/>
      <c r="G46" s="4141"/>
      <c r="H46" s="4141"/>
      <c r="I46" s="4141"/>
      <c r="J46" s="4141"/>
      <c r="K46" s="4141"/>
      <c r="L46" s="4141"/>
      <c r="M46" s="4141"/>
      <c r="N46" s="4142"/>
    </row>
    <row r="47" spans="1:14" s="943" customFormat="1" ht="23.25" customHeight="1" x14ac:dyDescent="0.2">
      <c r="A47" s="1">
        <v>9</v>
      </c>
      <c r="B47" s="1" t="s">
        <v>31</v>
      </c>
      <c r="C47" s="1"/>
      <c r="D47" s="4140" t="s">
        <v>1774</v>
      </c>
      <c r="E47" s="4141"/>
      <c r="F47" s="4141"/>
      <c r="G47" s="4141"/>
      <c r="H47" s="4141"/>
      <c r="I47" s="4141"/>
      <c r="J47" s="4141"/>
      <c r="K47" s="4141"/>
      <c r="L47" s="4141"/>
      <c r="M47" s="4141"/>
      <c r="N47" s="4142"/>
    </row>
  </sheetData>
  <mergeCells count="7">
    <mergeCell ref="D47:N47"/>
    <mergeCell ref="D2:O2"/>
    <mergeCell ref="D3:O3"/>
    <mergeCell ref="D4:O4"/>
    <mergeCell ref="D44:N44"/>
    <mergeCell ref="D45:N45"/>
    <mergeCell ref="D46:N46"/>
  </mergeCells>
  <pageMargins left="0.74803149606299213" right="0.74803149606299213" top="0.98425196850393704" bottom="0.98425196850393704" header="0.51181102362204722" footer="0.51181102362204722"/>
  <pageSetup paperSize="9" scale="70" orientation="landscape" r:id="rId1"/>
  <headerFooter alignWithMargins="0">
    <oddFooter>&amp;LDRAFT&amp;CPage &amp;P of &amp;N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showGridLines="0" view="pageBreakPreview" zoomScaleSheetLayoutView="100" workbookViewId="0">
      <selection activeCell="D4" sqref="D4:N4"/>
    </sheetView>
  </sheetViews>
  <sheetFormatPr defaultColWidth="9.140625" defaultRowHeight="12" x14ac:dyDescent="0.2"/>
  <cols>
    <col min="1" max="1" width="3.7109375" style="3024" customWidth="1"/>
    <col min="2" max="2" width="14.42578125" style="3025" customWidth="1"/>
    <col min="3" max="3" width="3.7109375" style="3025" customWidth="1"/>
    <col min="4" max="4" width="36.5703125" style="733" bestFit="1" customWidth="1"/>
    <col min="5" max="13" width="10.5703125" style="733" customWidth="1"/>
    <col min="14" max="14" width="8.85546875" style="733" customWidth="1"/>
    <col min="15" max="16" width="4.7109375" style="733" customWidth="1"/>
    <col min="17" max="16384" width="9.140625" style="733"/>
  </cols>
  <sheetData>
    <row r="1" spans="1:15" s="943" customFormat="1" ht="15" x14ac:dyDescent="0.2">
      <c r="A1" s="2035"/>
      <c r="B1" s="2036"/>
      <c r="C1" s="2036"/>
      <c r="N1" s="11"/>
    </row>
    <row r="2" spans="1:15" s="943" customFormat="1" ht="14.25" customHeight="1" x14ac:dyDescent="0.2">
      <c r="A2" s="1">
        <v>1</v>
      </c>
      <c r="B2" s="1" t="s">
        <v>0</v>
      </c>
      <c r="C2" s="1">
        <v>85</v>
      </c>
      <c r="D2" s="4471" t="s">
        <v>1755</v>
      </c>
      <c r="E2" s="4472"/>
      <c r="F2" s="4472"/>
      <c r="G2" s="4472"/>
      <c r="H2" s="4472"/>
      <c r="I2" s="4472"/>
      <c r="J2" s="4472"/>
      <c r="K2" s="4472"/>
      <c r="L2" s="4472"/>
      <c r="M2" s="4472"/>
      <c r="N2" s="4473"/>
    </row>
    <row r="3" spans="1:15" s="943" customFormat="1" ht="14.25" customHeight="1" x14ac:dyDescent="0.2">
      <c r="A3" s="1">
        <v>2</v>
      </c>
      <c r="B3" s="1" t="s">
        <v>2</v>
      </c>
      <c r="C3" s="1"/>
      <c r="D3" s="4471" t="s">
        <v>1756</v>
      </c>
      <c r="E3" s="4472"/>
      <c r="F3" s="4472"/>
      <c r="G3" s="4472"/>
      <c r="H3" s="4472"/>
      <c r="I3" s="4472"/>
      <c r="J3" s="4472"/>
      <c r="K3" s="4472"/>
      <c r="L3" s="4472"/>
      <c r="M3" s="4472"/>
      <c r="N3" s="4473"/>
    </row>
    <row r="4" spans="1:15" s="943" customFormat="1" ht="39" customHeight="1" x14ac:dyDescent="0.2">
      <c r="A4" s="1">
        <v>3</v>
      </c>
      <c r="B4" s="1" t="s">
        <v>4</v>
      </c>
      <c r="C4" s="1"/>
      <c r="D4" s="4471" t="s">
        <v>1757</v>
      </c>
      <c r="E4" s="4472"/>
      <c r="F4" s="4472"/>
      <c r="G4" s="4472"/>
      <c r="H4" s="4472"/>
      <c r="I4" s="4472"/>
      <c r="J4" s="4472"/>
      <c r="K4" s="4472"/>
      <c r="L4" s="4472"/>
      <c r="M4" s="4472"/>
      <c r="N4" s="4473"/>
    </row>
    <row r="5" spans="1:15" ht="12.75" x14ac:dyDescent="0.2">
      <c r="C5" s="12"/>
    </row>
    <row r="6" spans="1:15" s="11" customFormat="1" ht="12.75" x14ac:dyDescent="0.2">
      <c r="A6" s="1">
        <v>4</v>
      </c>
      <c r="B6" s="12" t="s">
        <v>5</v>
      </c>
      <c r="C6" s="6"/>
      <c r="D6" s="1381" t="s">
        <v>6</v>
      </c>
      <c r="E6" s="1381" t="s">
        <v>1758</v>
      </c>
      <c r="F6" s="1381"/>
      <c r="G6" s="1381"/>
      <c r="H6" s="1381"/>
      <c r="I6" s="1381"/>
      <c r="J6" s="1381"/>
      <c r="K6" s="1381"/>
      <c r="L6" s="1405"/>
      <c r="M6" s="1405"/>
      <c r="O6" s="733"/>
    </row>
    <row r="7" spans="1:15" s="11" customFormat="1" x14ac:dyDescent="0.2">
      <c r="A7" s="5"/>
      <c r="B7" s="6"/>
      <c r="C7" s="1778"/>
      <c r="D7" s="3746"/>
      <c r="E7" s="3741">
        <v>1964</v>
      </c>
      <c r="F7" s="3741">
        <v>1971</v>
      </c>
      <c r="G7" s="3741">
        <v>1978</v>
      </c>
      <c r="H7" s="3741">
        <v>1978</v>
      </c>
      <c r="I7" s="3741">
        <v>1992</v>
      </c>
      <c r="J7" s="3741">
        <v>1999</v>
      </c>
      <c r="K7" s="3741">
        <v>2006</v>
      </c>
      <c r="L7" s="3741">
        <v>2013</v>
      </c>
      <c r="M7" s="3742">
        <v>2015</v>
      </c>
      <c r="N7" s="3742">
        <f>+'[32]Data(Marine)'!$B$160</f>
        <v>2017</v>
      </c>
      <c r="O7" s="733"/>
    </row>
    <row r="8" spans="1:15" s="11" customFormat="1" ht="11.25" customHeight="1" x14ac:dyDescent="0.2">
      <c r="A8" s="5"/>
      <c r="B8" s="6"/>
      <c r="C8" s="3743"/>
      <c r="D8" s="3747" t="s">
        <v>641</v>
      </c>
      <c r="E8" s="3748">
        <v>2.4723714487034687E-4</v>
      </c>
      <c r="F8" s="3749">
        <v>1.7422405088994713E-3</v>
      </c>
      <c r="G8" s="3749">
        <v>2.4161059795500721E-3</v>
      </c>
      <c r="H8" s="3749">
        <v>3.6992095701248017E-3</v>
      </c>
      <c r="I8" s="3749">
        <v>3.8721260944791554E-3</v>
      </c>
      <c r="J8" s="3749">
        <v>3.9773860511163987E-3</v>
      </c>
      <c r="K8" s="3749">
        <v>4.1597543276199423E-3</v>
      </c>
      <c r="L8" s="3749">
        <v>4.4206273469834627E-3</v>
      </c>
      <c r="M8" s="3750">
        <v>4.4206273469834627E-3</v>
      </c>
      <c r="N8" s="3751">
        <f>+'[32]Data(Marine)'!$D$160</f>
        <v>4.4481852489896218E-3</v>
      </c>
      <c r="O8" s="733"/>
    </row>
    <row r="9" spans="1:15" s="11" customFormat="1" ht="11.25" customHeight="1" x14ac:dyDescent="0.2">
      <c r="A9" s="5"/>
      <c r="B9" s="6"/>
      <c r="C9" s="3743"/>
      <c r="D9" s="3747" t="s">
        <v>642</v>
      </c>
      <c r="E9" s="3749">
        <v>2.4723714487034687E-4</v>
      </c>
      <c r="F9" s="3749">
        <v>6.0453132046798836E-4</v>
      </c>
      <c r="G9" s="3749">
        <v>1.0060871218976306E-3</v>
      </c>
      <c r="H9" s="3749">
        <v>1.6097637839572773E-3</v>
      </c>
      <c r="I9" s="3749">
        <v>1.6807374060387834E-3</v>
      </c>
      <c r="J9" s="3749">
        <v>1.7859973626760269E-3</v>
      </c>
      <c r="K9" s="3749">
        <v>1.8870924646683367E-3</v>
      </c>
      <c r="L9" s="3749">
        <v>1.9050963611404574E-3</v>
      </c>
      <c r="M9" s="3750">
        <v>1.9050963611404574E-3</v>
      </c>
      <c r="N9" s="3752">
        <f>+'[32]Data(Marine)'!$E$160</f>
        <v>1.728939289520792E-3</v>
      </c>
      <c r="O9" s="733"/>
    </row>
    <row r="10" spans="1:15" s="11" customFormat="1" ht="11.25" customHeight="1" x14ac:dyDescent="0.2">
      <c r="A10" s="5"/>
      <c r="B10" s="6"/>
      <c r="C10" s="3743"/>
      <c r="D10" s="3747" t="s">
        <v>643</v>
      </c>
      <c r="E10" s="3749">
        <v>0</v>
      </c>
      <c r="F10" s="3749">
        <v>1.1377091884314829E-3</v>
      </c>
      <c r="G10" s="3749">
        <v>1.4100188576524411E-3</v>
      </c>
      <c r="H10" s="3749">
        <v>2.0894457861675244E-3</v>
      </c>
      <c r="I10" s="3749">
        <v>2.1913886884403727E-3</v>
      </c>
      <c r="J10" s="3749">
        <v>2.1913886884403727E-3</v>
      </c>
      <c r="K10" s="3749">
        <v>2.272661862951606E-3</v>
      </c>
      <c r="L10" s="3749">
        <v>2.5155309858430051E-3</v>
      </c>
      <c r="M10" s="3750">
        <v>2.5155309858430051E-3</v>
      </c>
      <c r="N10" s="3752">
        <f>+'[32]Data(Marine)'!$F$160</f>
        <v>2.7192459594688294E-3</v>
      </c>
      <c r="O10" s="733"/>
    </row>
    <row r="11" spans="1:15" s="11" customFormat="1" ht="11.25" x14ac:dyDescent="0.2">
      <c r="A11" s="5"/>
      <c r="B11" s="6"/>
      <c r="C11" s="1778"/>
      <c r="D11" s="2096"/>
      <c r="E11" s="3753"/>
      <c r="F11" s="3753"/>
      <c r="G11" s="3753"/>
      <c r="H11" s="3753"/>
      <c r="I11" s="3753"/>
      <c r="J11" s="3753"/>
      <c r="K11" s="3753"/>
      <c r="L11" s="3753"/>
      <c r="M11" s="3754"/>
      <c r="N11" s="3755"/>
    </row>
    <row r="12" spans="1:15" s="11" customFormat="1" ht="20.25" customHeight="1" x14ac:dyDescent="0.2">
      <c r="A12" s="5"/>
      <c r="B12" s="6"/>
      <c r="C12" s="6"/>
      <c r="D12" s="2085"/>
      <c r="E12" s="1336"/>
      <c r="F12" s="3745"/>
      <c r="G12" s="17"/>
      <c r="H12" s="17"/>
      <c r="I12" s="17"/>
      <c r="J12" s="17"/>
      <c r="K12" s="17"/>
      <c r="L12" s="17"/>
      <c r="M12" s="17"/>
    </row>
    <row r="13" spans="1:15" ht="12.75" x14ac:dyDescent="0.2">
      <c r="A13" s="1">
        <v>5</v>
      </c>
      <c r="B13" s="1" t="s">
        <v>90</v>
      </c>
      <c r="D13" s="1355"/>
      <c r="E13" s="1886"/>
      <c r="F13" s="1886"/>
      <c r="G13" s="1355"/>
      <c r="H13" s="1355"/>
      <c r="I13" s="1355"/>
      <c r="J13" s="1355"/>
      <c r="K13" s="1355"/>
      <c r="L13" s="1355"/>
      <c r="M13" s="1355"/>
    </row>
    <row r="19" spans="1:3" x14ac:dyDescent="0.2">
      <c r="A19" s="733"/>
      <c r="B19" s="733"/>
      <c r="C19" s="733"/>
    </row>
    <row r="20" spans="1:3" x14ac:dyDescent="0.2">
      <c r="A20" s="733"/>
      <c r="B20" s="733"/>
      <c r="C20" s="733"/>
    </row>
    <row r="21" spans="1:3" x14ac:dyDescent="0.2">
      <c r="A21" s="733"/>
      <c r="B21" s="733"/>
      <c r="C21" s="733"/>
    </row>
    <row r="22" spans="1:3" x14ac:dyDescent="0.2">
      <c r="A22" s="733"/>
      <c r="B22" s="733"/>
      <c r="C22" s="733"/>
    </row>
    <row r="23" spans="1:3" x14ac:dyDescent="0.2">
      <c r="A23" s="733"/>
      <c r="B23" s="733"/>
      <c r="C23" s="733"/>
    </row>
    <row r="24" spans="1:3" x14ac:dyDescent="0.2">
      <c r="A24" s="733"/>
      <c r="B24" s="733"/>
      <c r="C24" s="733"/>
    </row>
    <row r="25" spans="1:3" x14ac:dyDescent="0.2">
      <c r="A25" s="733"/>
      <c r="B25" s="733"/>
      <c r="C25" s="733"/>
    </row>
    <row r="26" spans="1:3" x14ac:dyDescent="0.2">
      <c r="A26" s="733"/>
      <c r="B26" s="733"/>
      <c r="C26" s="733"/>
    </row>
    <row r="27" spans="1:3" x14ac:dyDescent="0.2">
      <c r="A27" s="733"/>
      <c r="B27" s="733"/>
      <c r="C27" s="733"/>
    </row>
    <row r="28" spans="1:3" x14ac:dyDescent="0.2">
      <c r="A28" s="733"/>
      <c r="B28" s="733"/>
      <c r="C28" s="733"/>
    </row>
    <row r="29" spans="1:3" x14ac:dyDescent="0.2">
      <c r="A29" s="733"/>
      <c r="B29" s="733"/>
      <c r="C29" s="733"/>
    </row>
    <row r="30" spans="1:3" x14ac:dyDescent="0.2">
      <c r="A30" s="733"/>
      <c r="B30" s="733"/>
      <c r="C30" s="733"/>
    </row>
    <row r="44" spans="1:14" s="943" customFormat="1" ht="14.25" customHeight="1" x14ac:dyDescent="0.2">
      <c r="A44" s="1">
        <v>6</v>
      </c>
      <c r="B44" s="1" t="s">
        <v>29</v>
      </c>
      <c r="C44" s="1"/>
      <c r="D44" s="4140" t="s">
        <v>456</v>
      </c>
      <c r="E44" s="4141"/>
      <c r="F44" s="4141"/>
      <c r="G44" s="4141"/>
      <c r="H44" s="4141"/>
      <c r="I44" s="4141"/>
      <c r="J44" s="4141"/>
      <c r="K44" s="4141"/>
      <c r="L44" s="4141"/>
      <c r="M44" s="4142"/>
      <c r="N44" s="733"/>
    </row>
    <row r="45" spans="1:14" s="943" customFormat="1" ht="29.25" customHeight="1" x14ac:dyDescent="0.2">
      <c r="A45" s="40">
        <v>7</v>
      </c>
      <c r="B45" s="40" t="s">
        <v>32</v>
      </c>
      <c r="C45" s="40"/>
      <c r="D45" s="4140" t="s">
        <v>1759</v>
      </c>
      <c r="E45" s="4141"/>
      <c r="F45" s="4141"/>
      <c r="G45" s="4141"/>
      <c r="H45" s="4141"/>
      <c r="I45" s="4141"/>
      <c r="J45" s="4141"/>
      <c r="K45" s="4141"/>
      <c r="L45" s="4141"/>
      <c r="M45" s="4142"/>
      <c r="N45" s="733"/>
    </row>
    <row r="46" spans="1:14" s="943" customFormat="1" ht="29.25" customHeight="1" x14ac:dyDescent="0.2">
      <c r="A46" s="1">
        <v>8</v>
      </c>
      <c r="B46" s="1" t="s">
        <v>34</v>
      </c>
      <c r="C46" s="40"/>
      <c r="D46" s="4140" t="s">
        <v>1760</v>
      </c>
      <c r="E46" s="4141"/>
      <c r="F46" s="4141"/>
      <c r="G46" s="4141"/>
      <c r="H46" s="4141"/>
      <c r="I46" s="4141"/>
      <c r="J46" s="4141"/>
      <c r="K46" s="4141"/>
      <c r="L46" s="4141"/>
      <c r="M46" s="4142"/>
      <c r="N46" s="733"/>
    </row>
    <row r="47" spans="1:14" s="943" customFormat="1" ht="30" customHeight="1" x14ac:dyDescent="0.2">
      <c r="A47" s="1">
        <v>9</v>
      </c>
      <c r="B47" s="1" t="s">
        <v>31</v>
      </c>
      <c r="C47" s="1"/>
      <c r="D47" s="4140" t="s">
        <v>644</v>
      </c>
      <c r="E47" s="4141"/>
      <c r="F47" s="4141"/>
      <c r="G47" s="4141"/>
      <c r="H47" s="4141"/>
      <c r="I47" s="4141"/>
      <c r="J47" s="4141"/>
      <c r="K47" s="4141"/>
      <c r="L47" s="4141"/>
      <c r="M47" s="4142"/>
      <c r="N47" s="733"/>
    </row>
    <row r="50" spans="4:22" x14ac:dyDescent="0.2">
      <c r="D50" s="3756" t="s">
        <v>1761</v>
      </c>
      <c r="E50" s="3756">
        <v>1964</v>
      </c>
      <c r="F50" s="3756">
        <v>1975</v>
      </c>
      <c r="G50" s="3756">
        <v>1976</v>
      </c>
      <c r="H50" s="3756">
        <v>1977</v>
      </c>
      <c r="I50" s="3756">
        <v>1979</v>
      </c>
      <c r="J50" s="3756">
        <v>1985</v>
      </c>
      <c r="K50" s="3756">
        <v>1987</v>
      </c>
      <c r="L50" s="3756">
        <v>1990</v>
      </c>
      <c r="M50" s="3756">
        <v>1991</v>
      </c>
      <c r="N50" s="3756">
        <v>2000</v>
      </c>
      <c r="O50" s="3756">
        <v>2001</v>
      </c>
      <c r="P50" s="3756">
        <v>2004</v>
      </c>
      <c r="Q50" s="3756">
        <v>2008</v>
      </c>
      <c r="R50" s="3756">
        <v>2011</v>
      </c>
      <c r="S50" s="3756">
        <v>2013</v>
      </c>
      <c r="T50" s="3756">
        <v>2014</v>
      </c>
      <c r="U50" s="3756">
        <v>2015</v>
      </c>
      <c r="V50" s="3756">
        <v>2017</v>
      </c>
    </row>
    <row r="51" spans="4:22" x14ac:dyDescent="0.2">
      <c r="D51" s="3756"/>
      <c r="E51" s="3756"/>
      <c r="F51" s="3756"/>
      <c r="G51" s="3756"/>
      <c r="H51" s="3756"/>
      <c r="I51" s="3756"/>
      <c r="J51" s="3756"/>
      <c r="K51" s="3756"/>
      <c r="L51" s="3756"/>
      <c r="M51" s="3756"/>
      <c r="N51" s="3756"/>
      <c r="O51" s="3756"/>
      <c r="P51" s="3756"/>
      <c r="Q51" s="3756"/>
      <c r="R51" s="3756"/>
      <c r="S51" s="3756"/>
      <c r="T51" s="3756"/>
      <c r="U51" s="3756"/>
    </row>
    <row r="52" spans="4:22" x14ac:dyDescent="0.2">
      <c r="D52" s="733" t="s">
        <v>1762</v>
      </c>
      <c r="E52" s="3757">
        <v>2.4723714487034687E-4</v>
      </c>
      <c r="F52" s="3757">
        <v>4.2643368932465827E-4</v>
      </c>
      <c r="G52" s="3757">
        <v>8.4003503456200716E-4</v>
      </c>
      <c r="H52" s="3757">
        <v>1.7344817196130852E-3</v>
      </c>
      <c r="I52" s="3757">
        <v>1.7422405088994713E-3</v>
      </c>
      <c r="J52" s="3757">
        <v>2.0562752009761769E-3</v>
      </c>
      <c r="K52" s="3757">
        <v>2.4161059795500721E-3</v>
      </c>
      <c r="L52" s="3757">
        <v>2.5033154635856719E-3</v>
      </c>
      <c r="M52" s="3757">
        <v>3.6992095701248017E-3</v>
      </c>
      <c r="N52" s="3757">
        <v>3.8721260944791554E-3</v>
      </c>
      <c r="O52" s="3757">
        <v>3.9773860511163987E-3</v>
      </c>
      <c r="P52" s="3757">
        <v>4.1597543276199423E-3</v>
      </c>
      <c r="Q52" s="3757">
        <v>4.1887928703169116E-3</v>
      </c>
      <c r="R52" s="3757">
        <v>4.4206273469834627E-3</v>
      </c>
      <c r="S52" s="3757">
        <v>4.4206273469834627E-3</v>
      </c>
      <c r="T52" s="3757">
        <v>4.4206273469834627E-3</v>
      </c>
      <c r="U52" s="3757">
        <v>4.4206273469834627E-3</v>
      </c>
      <c r="V52" s="3751">
        <f>+'[32]Data(Marine)'!$D$160</f>
        <v>4.4481852489896218E-3</v>
      </c>
    </row>
    <row r="53" spans="4:22" x14ac:dyDescent="0.2">
      <c r="D53" s="733" t="s">
        <v>1763</v>
      </c>
      <c r="E53" s="3757">
        <v>2.4723714487034687E-4</v>
      </c>
      <c r="F53" s="3757">
        <v>4.2643368932465827E-4</v>
      </c>
      <c r="G53" s="3757">
        <v>5.5175489693157491E-4</v>
      </c>
      <c r="H53" s="3757">
        <v>6.0453132046798836E-4</v>
      </c>
      <c r="I53" s="3757">
        <v>6.0453132046798836E-4</v>
      </c>
      <c r="J53" s="3757">
        <v>8.8446431873965409E-4</v>
      </c>
      <c r="K53" s="3757">
        <v>1.0060871218976306E-3</v>
      </c>
      <c r="L53" s="3757">
        <v>1.018166840498232E-3</v>
      </c>
      <c r="M53" s="3757">
        <v>1.6097637839572773E-3</v>
      </c>
      <c r="N53" s="3757">
        <v>1.6807374060387834E-3</v>
      </c>
      <c r="O53" s="3757">
        <v>1.7859973626760269E-3</v>
      </c>
      <c r="P53" s="3757">
        <v>1.8870924646683367E-3</v>
      </c>
      <c r="Q53" s="3757">
        <v>1.9050963611404574E-3</v>
      </c>
      <c r="R53" s="3757">
        <v>1.9050963611404574E-3</v>
      </c>
      <c r="S53" s="3757">
        <v>1.9050963611404574E-3</v>
      </c>
      <c r="T53" s="3757">
        <v>1.9050963611404574E-3</v>
      </c>
      <c r="U53" s="3757">
        <v>1.9050963611404574E-3</v>
      </c>
      <c r="V53" s="3752">
        <f>+'[32]Data(Marine)'!$E$160</f>
        <v>1.728939289520792E-3</v>
      </c>
    </row>
    <row r="54" spans="4:22" x14ac:dyDescent="0.2">
      <c r="D54" s="733" t="s">
        <v>1764</v>
      </c>
      <c r="E54" s="3757">
        <v>0</v>
      </c>
      <c r="F54" s="3757">
        <v>0</v>
      </c>
      <c r="G54" s="3757">
        <v>2.8828013763043214E-4</v>
      </c>
      <c r="H54" s="3757">
        <v>1.1299503991450968E-3</v>
      </c>
      <c r="I54" s="3757">
        <v>1.1377091884314829E-3</v>
      </c>
      <c r="J54" s="3757">
        <v>1.1718108822365227E-3</v>
      </c>
      <c r="K54" s="3757">
        <v>1.4100188576524411E-3</v>
      </c>
      <c r="L54" s="3757">
        <v>1.4851486230874397E-3</v>
      </c>
      <c r="M54" s="3757">
        <v>2.0894457861675244E-3</v>
      </c>
      <c r="N54" s="3757">
        <v>2.1913886884403727E-3</v>
      </c>
      <c r="O54" s="3757">
        <v>2.1913886884403727E-3</v>
      </c>
      <c r="P54" s="3757">
        <v>2.272661862951606E-3</v>
      </c>
      <c r="Q54" s="3757">
        <v>2.283696509176454E-3</v>
      </c>
      <c r="R54" s="3757">
        <v>2.5155309858430051E-3</v>
      </c>
      <c r="S54" s="3757">
        <v>2.5155309858430051E-3</v>
      </c>
      <c r="T54" s="3757">
        <v>2.5155309858430051E-3</v>
      </c>
      <c r="U54" s="3757">
        <v>2.5155309858430051E-3</v>
      </c>
      <c r="V54" s="3752">
        <f>+'[32]Data(Marine)'!$F$160</f>
        <v>2.7192459594688294E-3</v>
      </c>
    </row>
    <row r="55" spans="4:22" x14ac:dyDescent="0.2">
      <c r="D55" s="733" t="s">
        <v>1765</v>
      </c>
      <c r="E55" s="3757"/>
      <c r="F55" s="3757"/>
      <c r="G55" s="3757"/>
      <c r="H55" s="3757"/>
      <c r="I55" s="3757"/>
      <c r="J55" s="3757"/>
      <c r="K55" s="3757"/>
      <c r="L55" s="3757"/>
      <c r="M55" s="3757"/>
      <c r="N55" s="3757"/>
      <c r="O55" s="3757"/>
      <c r="P55" s="3757"/>
      <c r="Q55" s="3757"/>
      <c r="R55" s="3757"/>
      <c r="S55" s="3757">
        <v>4.0120674602469077E-3</v>
      </c>
      <c r="T55" s="3757">
        <v>8.3584738755143918E-3</v>
      </c>
      <c r="U55" s="3757">
        <v>1.2704880290781876E-2</v>
      </c>
      <c r="V55" s="3755"/>
    </row>
    <row r="56" spans="4:22" x14ac:dyDescent="0.2">
      <c r="D56" s="3756"/>
      <c r="E56" s="3756"/>
      <c r="F56" s="3756"/>
      <c r="G56" s="3756"/>
      <c r="H56" s="3756"/>
      <c r="I56" s="3756"/>
      <c r="J56" s="3756"/>
      <c r="K56" s="3756"/>
      <c r="L56" s="3756"/>
      <c r="M56" s="3756"/>
      <c r="N56" s="3756"/>
      <c r="O56" s="3756"/>
      <c r="P56" s="3756"/>
      <c r="Q56" s="3756"/>
      <c r="R56" s="3756"/>
      <c r="S56" s="3756"/>
      <c r="T56" s="3756"/>
      <c r="U56" s="3756"/>
      <c r="V56" s="3756"/>
    </row>
    <row r="57" spans="4:22" x14ac:dyDescent="0.2">
      <c r="D57" s="3756"/>
      <c r="E57" s="3756"/>
      <c r="F57" s="3756"/>
      <c r="G57" s="3756"/>
      <c r="H57" s="3756"/>
      <c r="I57" s="3756"/>
      <c r="J57" s="3756"/>
      <c r="K57" s="3756"/>
      <c r="L57" s="3756"/>
      <c r="M57" s="3756"/>
      <c r="N57" s="3756"/>
      <c r="O57" s="3756"/>
      <c r="P57" s="3756"/>
      <c r="Q57" s="3756"/>
      <c r="R57" s="3756"/>
      <c r="S57" s="3756"/>
      <c r="T57" s="3756"/>
      <c r="U57" s="3756"/>
      <c r="V57" s="3756"/>
    </row>
    <row r="58" spans="4:22" x14ac:dyDescent="0.2">
      <c r="D58" s="3756"/>
      <c r="E58" s="3756"/>
      <c r="F58" s="3756"/>
      <c r="G58" s="3756"/>
      <c r="H58" s="3756"/>
      <c r="I58" s="3756"/>
      <c r="J58" s="3756"/>
      <c r="K58" s="3756"/>
      <c r="L58" s="3756"/>
      <c r="M58" s="3756"/>
      <c r="N58" s="3756"/>
      <c r="O58" s="3756"/>
      <c r="P58" s="3756"/>
      <c r="Q58" s="3756"/>
      <c r="R58" s="3756"/>
      <c r="S58" s="3756"/>
      <c r="T58" s="3756"/>
      <c r="U58" s="3756"/>
      <c r="V58" s="3756"/>
    </row>
    <row r="59" spans="4:22" x14ac:dyDescent="0.2">
      <c r="D59" s="3756"/>
      <c r="E59" s="3756"/>
      <c r="F59" s="3756"/>
      <c r="G59" s="3756"/>
      <c r="H59" s="3756"/>
      <c r="I59" s="3756"/>
      <c r="J59" s="3756"/>
      <c r="K59" s="3756"/>
      <c r="L59" s="3756"/>
      <c r="M59" s="3756"/>
      <c r="N59" s="3756"/>
      <c r="O59" s="3756"/>
      <c r="P59" s="3756"/>
      <c r="Q59" s="3756"/>
      <c r="R59" s="3756"/>
      <c r="S59" s="3756"/>
      <c r="T59" s="3756"/>
      <c r="U59" s="3756"/>
      <c r="V59" s="3756"/>
    </row>
    <row r="60" spans="4:22" x14ac:dyDescent="0.2">
      <c r="D60" s="3756"/>
      <c r="E60" s="3756"/>
      <c r="F60" s="3756"/>
      <c r="G60" s="3756"/>
      <c r="H60" s="3756"/>
      <c r="I60" s="3756"/>
      <c r="J60" s="3756"/>
      <c r="K60" s="3756"/>
      <c r="L60" s="3756"/>
      <c r="M60" s="3756"/>
      <c r="N60" s="3756"/>
      <c r="O60" s="3756"/>
      <c r="P60" s="3756"/>
      <c r="Q60" s="3756"/>
      <c r="R60" s="3756"/>
      <c r="S60" s="3756"/>
      <c r="T60" s="3756"/>
      <c r="U60" s="3756"/>
      <c r="V60" s="3756"/>
    </row>
    <row r="61" spans="4:22" x14ac:dyDescent="0.2">
      <c r="D61" s="3756"/>
      <c r="E61" s="3756"/>
      <c r="F61" s="3756"/>
      <c r="G61" s="3756"/>
      <c r="H61" s="3756"/>
      <c r="I61" s="3756"/>
      <c r="J61" s="3756"/>
      <c r="K61" s="3756"/>
      <c r="L61" s="3756"/>
      <c r="M61" s="3756"/>
      <c r="N61" s="3756"/>
      <c r="O61" s="3756"/>
      <c r="P61" s="3756"/>
      <c r="Q61" s="3756"/>
      <c r="R61" s="3756"/>
      <c r="S61" s="3756"/>
      <c r="T61" s="3756"/>
      <c r="U61" s="3756"/>
      <c r="V61" s="3756"/>
    </row>
    <row r="62" spans="4:22" x14ac:dyDescent="0.2">
      <c r="D62" s="3756"/>
      <c r="E62" s="3756"/>
      <c r="F62" s="3756"/>
      <c r="G62" s="3756"/>
      <c r="H62" s="3756"/>
      <c r="I62" s="3756"/>
      <c r="J62" s="3756"/>
      <c r="K62" s="3756"/>
      <c r="L62" s="3756"/>
      <c r="M62" s="3756"/>
      <c r="N62" s="3756"/>
      <c r="O62" s="3756"/>
      <c r="P62" s="3756"/>
      <c r="Q62" s="3756"/>
      <c r="R62" s="3756"/>
      <c r="S62" s="3756"/>
      <c r="T62" s="3756"/>
      <c r="U62" s="3756"/>
      <c r="V62" s="3756"/>
    </row>
    <row r="63" spans="4:22" x14ac:dyDescent="0.2">
      <c r="D63" s="3758"/>
      <c r="E63" s="3758"/>
      <c r="F63" s="3758"/>
      <c r="G63" s="3758"/>
      <c r="H63" s="3758"/>
      <c r="I63" s="3758"/>
      <c r="J63" s="3758"/>
      <c r="K63" s="3758"/>
      <c r="L63" s="3758"/>
      <c r="M63" s="3758"/>
      <c r="N63" s="3758"/>
      <c r="O63" s="3758"/>
      <c r="P63" s="3758"/>
      <c r="Q63" s="3758"/>
      <c r="R63" s="3758"/>
      <c r="S63" s="3758"/>
      <c r="T63" s="3758"/>
      <c r="U63" s="3758"/>
      <c r="V63" s="3758"/>
    </row>
    <row r="64" spans="4:22" x14ac:dyDescent="0.2">
      <c r="D64" s="3758"/>
      <c r="E64" s="3758"/>
      <c r="F64" s="3758"/>
      <c r="G64" s="3758"/>
      <c r="H64" s="3758"/>
      <c r="I64" s="3758"/>
      <c r="J64" s="3758"/>
      <c r="K64" s="3758"/>
      <c r="L64" s="3758"/>
      <c r="M64" s="3758"/>
      <c r="N64" s="3758"/>
      <c r="O64" s="3758"/>
      <c r="P64" s="3758"/>
      <c r="Q64" s="3758"/>
      <c r="R64" s="3758"/>
      <c r="S64" s="3758"/>
      <c r="T64" s="3758"/>
      <c r="U64" s="3758"/>
      <c r="V64" s="3758"/>
    </row>
    <row r="65" spans="4:22" x14ac:dyDescent="0.2">
      <c r="D65" s="3758"/>
      <c r="E65" s="3758"/>
      <c r="F65" s="3758"/>
      <c r="G65" s="3758"/>
      <c r="H65" s="3758"/>
      <c r="I65" s="3758"/>
      <c r="J65" s="3758"/>
      <c r="K65" s="3758"/>
      <c r="L65" s="3758"/>
      <c r="M65" s="3758"/>
      <c r="N65" s="3758"/>
      <c r="O65" s="3758"/>
      <c r="P65" s="3758"/>
      <c r="Q65" s="3758"/>
      <c r="R65" s="3758"/>
      <c r="S65" s="3758"/>
      <c r="T65" s="3758"/>
      <c r="U65" s="3758"/>
      <c r="V65" s="3758"/>
    </row>
    <row r="66" spans="4:22" x14ac:dyDescent="0.2">
      <c r="F66" s="3759"/>
    </row>
  </sheetData>
  <mergeCells count="7">
    <mergeCell ref="D47:M47"/>
    <mergeCell ref="D2:N2"/>
    <mergeCell ref="D3:N3"/>
    <mergeCell ref="D4:N4"/>
    <mergeCell ref="D44:M44"/>
    <mergeCell ref="D45:M45"/>
    <mergeCell ref="D46:M46"/>
  </mergeCells>
  <pageMargins left="0.74803149606299213" right="0.74803149606299213" top="0.98425196850393704" bottom="0.98425196850393704" header="0.51181102362204722" footer="0.51181102362204722"/>
  <pageSetup paperSize="9" scale="69" orientation="landscape" r:id="rId1"/>
  <headerFooter alignWithMargins="0">
    <oddFooter>&amp;LDRAFT&amp;CPage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Q71"/>
  <sheetViews>
    <sheetView showGridLines="0" view="pageBreakPreview" zoomScaleNormal="100" zoomScaleSheetLayoutView="100" workbookViewId="0">
      <selection activeCell="AD74" sqref="AD74"/>
    </sheetView>
  </sheetViews>
  <sheetFormatPr defaultColWidth="9.28515625" defaultRowHeight="15" x14ac:dyDescent="0.25"/>
  <cols>
    <col min="1" max="1" width="3.7109375" style="296" customWidth="1"/>
    <col min="2" max="2" width="14.42578125" style="297" customWidth="1"/>
    <col min="3" max="3" width="3.7109375" style="298" customWidth="1"/>
    <col min="4" max="4" width="18.28515625" style="300" customWidth="1"/>
    <col min="5" max="5" width="5.28515625" style="300" customWidth="1"/>
    <col min="6" max="25" width="5.42578125" style="300" customWidth="1"/>
    <col min="26" max="26" width="5.7109375" style="300" customWidth="1"/>
    <col min="27" max="96" width="4.7109375" style="300" customWidth="1"/>
    <col min="97" max="16384" width="9.28515625" style="300"/>
  </cols>
  <sheetData>
    <row r="1" spans="1:58" x14ac:dyDescent="0.25">
      <c r="D1" s="299"/>
      <c r="E1" s="299"/>
      <c r="F1" s="299"/>
      <c r="G1" s="299"/>
      <c r="H1" s="299"/>
      <c r="I1" s="299"/>
      <c r="J1" s="299"/>
      <c r="K1" s="299"/>
      <c r="L1" s="299"/>
      <c r="M1" s="299"/>
      <c r="N1" s="299"/>
      <c r="O1" s="299"/>
      <c r="P1" s="299"/>
      <c r="Q1" s="299"/>
      <c r="R1" s="299"/>
      <c r="S1" s="299"/>
      <c r="T1" s="299"/>
      <c r="U1" s="299"/>
    </row>
    <row r="2" spans="1:58" ht="15" customHeight="1" x14ac:dyDescent="0.25">
      <c r="A2" s="296">
        <v>1</v>
      </c>
      <c r="B2" s="301" t="s">
        <v>0</v>
      </c>
      <c r="C2" s="116">
        <f>1+[2]Interest!C2</f>
        <v>8</v>
      </c>
      <c r="D2" s="4054" t="s">
        <v>179</v>
      </c>
      <c r="E2" s="4055"/>
      <c r="F2" s="4055"/>
      <c r="G2" s="4055"/>
      <c r="H2" s="4055"/>
      <c r="I2" s="4055"/>
      <c r="J2" s="4055"/>
      <c r="K2" s="4055"/>
      <c r="L2" s="4055"/>
      <c r="M2" s="4055"/>
      <c r="N2" s="4055"/>
      <c r="O2" s="4055"/>
      <c r="P2" s="4055"/>
      <c r="Q2" s="4055"/>
      <c r="R2" s="4055"/>
      <c r="S2" s="4055"/>
      <c r="T2" s="4055"/>
      <c r="U2" s="4055"/>
      <c r="V2" s="4055"/>
      <c r="W2" s="4055"/>
      <c r="X2" s="4055"/>
      <c r="Y2" s="4055"/>
      <c r="Z2" s="4055"/>
      <c r="AA2" s="4056"/>
      <c r="AC2" s="302"/>
      <c r="AD2" s="303"/>
    </row>
    <row r="3" spans="1:58" ht="15" customHeight="1" x14ac:dyDescent="0.25">
      <c r="A3" s="296">
        <v>2</v>
      </c>
      <c r="B3" s="301" t="s">
        <v>2</v>
      </c>
      <c r="C3" s="296"/>
      <c r="D3" s="4057" t="s">
        <v>160</v>
      </c>
      <c r="E3" s="4058"/>
      <c r="F3" s="4058"/>
      <c r="G3" s="4058"/>
      <c r="H3" s="4058"/>
      <c r="I3" s="4058"/>
      <c r="J3" s="4058"/>
      <c r="K3" s="4058"/>
      <c r="L3" s="4058"/>
      <c r="M3" s="4058"/>
      <c r="N3" s="4058"/>
      <c r="O3" s="4058"/>
      <c r="P3" s="4058"/>
      <c r="Q3" s="4058"/>
      <c r="R3" s="4058"/>
      <c r="S3" s="4058"/>
      <c r="T3" s="4058"/>
      <c r="U3" s="4058"/>
      <c r="V3" s="4058"/>
      <c r="W3" s="4058"/>
      <c r="X3" s="4058"/>
      <c r="Y3" s="4058"/>
      <c r="Z3" s="4058"/>
      <c r="AA3" s="4059"/>
      <c r="AB3" s="175"/>
      <c r="AC3" s="175"/>
    </row>
    <row r="4" spans="1:58" ht="15" customHeight="1" x14ac:dyDescent="0.25">
      <c r="A4" s="296">
        <v>3</v>
      </c>
      <c r="B4" s="301" t="s">
        <v>4</v>
      </c>
      <c r="C4" s="296"/>
      <c r="D4" s="4057" t="s">
        <v>180</v>
      </c>
      <c r="E4" s="4058"/>
      <c r="F4" s="4058"/>
      <c r="G4" s="4058"/>
      <c r="H4" s="4058"/>
      <c r="I4" s="4058"/>
      <c r="J4" s="4058"/>
      <c r="K4" s="4058"/>
      <c r="L4" s="4058"/>
      <c r="M4" s="4058"/>
      <c r="N4" s="4058"/>
      <c r="O4" s="4058"/>
      <c r="P4" s="4058"/>
      <c r="Q4" s="4058"/>
      <c r="R4" s="4058"/>
      <c r="S4" s="4058"/>
      <c r="T4" s="4058"/>
      <c r="U4" s="4058"/>
      <c r="V4" s="4058"/>
      <c r="W4" s="4058"/>
      <c r="X4" s="4058"/>
      <c r="Y4" s="4058"/>
      <c r="Z4" s="4058"/>
      <c r="AA4" s="4059"/>
      <c r="AB4" s="302"/>
      <c r="AC4" s="175"/>
    </row>
    <row r="5" spans="1:58" s="44" customFormat="1" ht="14.25" customHeight="1" x14ac:dyDescent="0.25">
      <c r="A5" s="116"/>
      <c r="B5" s="117"/>
      <c r="C5" s="116"/>
      <c r="D5" s="4057"/>
      <c r="E5" s="4058"/>
      <c r="F5" s="4058"/>
      <c r="G5" s="4058"/>
      <c r="H5" s="4058"/>
      <c r="I5" s="4058"/>
      <c r="J5" s="4058"/>
      <c r="K5" s="4058"/>
      <c r="L5" s="4058"/>
      <c r="M5" s="4058"/>
      <c r="N5" s="4058"/>
      <c r="O5" s="4058"/>
      <c r="P5" s="4058"/>
      <c r="Q5" s="4058"/>
      <c r="R5" s="4058"/>
      <c r="S5" s="4058"/>
      <c r="T5" s="4058"/>
      <c r="U5" s="4058"/>
      <c r="V5" s="4058"/>
      <c r="W5" s="4058"/>
      <c r="X5" s="4058"/>
      <c r="Y5" s="4058"/>
      <c r="Z5" s="4058"/>
      <c r="AA5" s="4059"/>
      <c r="AB5" s="175"/>
      <c r="AC5" s="49"/>
      <c r="AD5" s="49"/>
      <c r="AE5" s="49"/>
      <c r="AF5" s="49"/>
      <c r="AG5" s="49"/>
      <c r="AH5" s="49"/>
      <c r="AI5" s="49"/>
      <c r="AJ5" s="49"/>
      <c r="AK5" s="49"/>
      <c r="AL5" s="49"/>
      <c r="AM5" s="49"/>
      <c r="AN5" s="49"/>
      <c r="AO5" s="49"/>
      <c r="AP5" s="49"/>
      <c r="AQ5" s="49"/>
      <c r="AR5" s="49"/>
      <c r="AS5" s="49"/>
      <c r="AT5" s="53"/>
      <c r="AU5" s="53"/>
      <c r="AV5" s="53"/>
      <c r="AW5" s="53"/>
      <c r="AX5" s="53"/>
      <c r="AY5" s="53"/>
      <c r="AZ5" s="53"/>
      <c r="BA5" s="53"/>
      <c r="BB5" s="53"/>
      <c r="BC5" s="53"/>
      <c r="BD5" s="53"/>
      <c r="BE5" s="53"/>
      <c r="BF5" s="53"/>
    </row>
    <row r="6" spans="1:58" x14ac:dyDescent="0.25">
      <c r="A6" s="296">
        <v>4</v>
      </c>
      <c r="B6" s="121" t="s">
        <v>5</v>
      </c>
      <c r="D6" s="304" t="s">
        <v>112</v>
      </c>
      <c r="E6" s="305"/>
      <c r="F6" s="305" t="s">
        <v>181</v>
      </c>
      <c r="G6" s="305"/>
      <c r="H6" s="305"/>
      <c r="I6" s="305"/>
      <c r="J6" s="305"/>
      <c r="K6" s="305"/>
      <c r="L6" s="305"/>
      <c r="M6" s="305"/>
      <c r="N6" s="306"/>
      <c r="O6" s="306"/>
      <c r="P6" s="306"/>
      <c r="Q6" s="306"/>
      <c r="R6" s="306"/>
      <c r="S6" s="299"/>
      <c r="T6" s="299"/>
      <c r="U6" s="299"/>
      <c r="V6" s="303"/>
      <c r="W6" s="303"/>
      <c r="X6" s="303"/>
      <c r="Y6" s="303"/>
      <c r="Z6" s="303"/>
      <c r="AA6" s="303"/>
      <c r="AB6" s="303"/>
      <c r="AC6" s="303"/>
      <c r="AD6" s="303"/>
    </row>
    <row r="7" spans="1:58" x14ac:dyDescent="0.25">
      <c r="D7" s="307" t="s">
        <v>182</v>
      </c>
      <c r="E7" s="308" t="s">
        <v>42</v>
      </c>
      <c r="F7" s="308" t="s">
        <v>43</v>
      </c>
      <c r="G7" s="308" t="s">
        <v>44</v>
      </c>
      <c r="H7" s="308" t="s">
        <v>45</v>
      </c>
      <c r="I7" s="308" t="s">
        <v>46</v>
      </c>
      <c r="J7" s="308" t="s">
        <v>47</v>
      </c>
      <c r="K7" s="308" t="s">
        <v>48</v>
      </c>
      <c r="L7" s="308" t="s">
        <v>49</v>
      </c>
      <c r="M7" s="308" t="s">
        <v>50</v>
      </c>
      <c r="N7" s="308" t="s">
        <v>51</v>
      </c>
      <c r="O7" s="308" t="s">
        <v>52</v>
      </c>
      <c r="P7" s="308" t="s">
        <v>53</v>
      </c>
      <c r="Q7" s="308" t="s">
        <v>54</v>
      </c>
      <c r="R7" s="308" t="s">
        <v>55</v>
      </c>
      <c r="S7" s="308" t="s">
        <v>56</v>
      </c>
      <c r="T7" s="308" t="s">
        <v>57</v>
      </c>
      <c r="U7" s="308" t="s">
        <v>58</v>
      </c>
      <c r="V7" s="308" t="s">
        <v>59</v>
      </c>
      <c r="W7" s="308" t="s">
        <v>60</v>
      </c>
      <c r="X7" s="308" t="s">
        <v>61</v>
      </c>
      <c r="Y7" s="308" t="s">
        <v>62</v>
      </c>
      <c r="Z7" s="308" t="s">
        <v>63</v>
      </c>
      <c r="AA7" s="308" t="s">
        <v>64</v>
      </c>
      <c r="AB7" s="826" t="s">
        <v>65</v>
      </c>
      <c r="AC7" s="309"/>
      <c r="AD7" s="309"/>
    </row>
    <row r="8" spans="1:58" s="316" customFormat="1" ht="12.75" customHeight="1" x14ac:dyDescent="0.2">
      <c r="A8" s="310"/>
      <c r="B8" s="311"/>
      <c r="C8" s="310"/>
      <c r="D8" s="312" t="s">
        <v>183</v>
      </c>
      <c r="E8" s="313">
        <v>9</v>
      </c>
      <c r="F8" s="313">
        <v>8.6999999999999993</v>
      </c>
      <c r="G8" s="314">
        <v>7.4</v>
      </c>
      <c r="H8" s="314">
        <v>8.6</v>
      </c>
      <c r="I8" s="314">
        <v>6.9</v>
      </c>
      <c r="J8" s="314">
        <v>5.0999999999999996</v>
      </c>
      <c r="K8" s="314">
        <v>5.3</v>
      </c>
      <c r="L8" s="314">
        <v>5.7</v>
      </c>
      <c r="M8" s="314">
        <v>9.1999999999999993</v>
      </c>
      <c r="N8" s="314">
        <v>5.8</v>
      </c>
      <c r="O8" s="314">
        <v>1.4</v>
      </c>
      <c r="P8" s="314">
        <v>3.4</v>
      </c>
      <c r="Q8" s="314">
        <v>4.7</v>
      </c>
      <c r="R8" s="314">
        <v>7.1</v>
      </c>
      <c r="S8" s="314">
        <v>11.5</v>
      </c>
      <c r="T8" s="314">
        <v>7.1</v>
      </c>
      <c r="U8" s="314">
        <v>4.3</v>
      </c>
      <c r="V8" s="314">
        <v>5</v>
      </c>
      <c r="W8" s="314">
        <v>5.6</v>
      </c>
      <c r="X8" s="314">
        <v>5.7</v>
      </c>
      <c r="Y8" s="314">
        <v>6.1</v>
      </c>
      <c r="Z8" s="314">
        <v>4.5999999999999996</v>
      </c>
      <c r="AA8" s="314">
        <v>6.4</v>
      </c>
      <c r="AB8" s="827">
        <v>5.3</v>
      </c>
      <c r="AC8" s="315"/>
      <c r="AD8" s="315"/>
    </row>
    <row r="9" spans="1:58" s="316" customFormat="1" ht="12.75" customHeight="1" x14ac:dyDescent="0.25">
      <c r="A9" s="310"/>
      <c r="B9" s="311"/>
      <c r="C9" s="310"/>
      <c r="D9" s="317"/>
      <c r="E9" s="317"/>
      <c r="F9" s="318"/>
      <c r="G9" s="318"/>
      <c r="H9" s="318"/>
      <c r="I9" s="318"/>
      <c r="J9" s="318"/>
      <c r="K9" s="318"/>
      <c r="L9" s="318"/>
      <c r="M9" s="318"/>
      <c r="N9" s="318"/>
      <c r="O9" s="318"/>
      <c r="P9" s="318"/>
      <c r="Q9" s="318"/>
      <c r="R9" s="318"/>
      <c r="S9" s="317"/>
      <c r="T9" s="246"/>
      <c r="U9" s="246"/>
      <c r="V9" s="246"/>
      <c r="W9" s="246"/>
      <c r="X9" s="165"/>
      <c r="Y9" s="246"/>
      <c r="Z9" s="319"/>
    </row>
    <row r="10" spans="1:58" s="316" customFormat="1" ht="12.75" customHeight="1" x14ac:dyDescent="0.25">
      <c r="A10" s="310"/>
      <c r="B10" s="311"/>
      <c r="C10" s="310"/>
      <c r="D10" s="317"/>
      <c r="E10" s="317"/>
      <c r="F10" s="318"/>
      <c r="G10" s="318"/>
      <c r="H10" s="318"/>
      <c r="I10" s="318"/>
      <c r="J10" s="318"/>
      <c r="K10" s="318"/>
      <c r="L10" s="318"/>
      <c r="M10" s="318"/>
      <c r="N10" s="318"/>
      <c r="O10" s="318"/>
      <c r="P10" s="318"/>
      <c r="Q10" s="318"/>
      <c r="R10" s="318"/>
      <c r="S10" s="317"/>
      <c r="T10" s="317"/>
      <c r="U10" s="318"/>
      <c r="V10" s="261"/>
      <c r="W10" s="261"/>
      <c r="X10" s="261"/>
      <c r="Z10" s="319"/>
    </row>
    <row r="11" spans="1:58" s="316" customFormat="1" ht="12.75" customHeight="1" x14ac:dyDescent="0.25">
      <c r="A11" s="310"/>
      <c r="B11" s="311"/>
      <c r="C11" s="310"/>
      <c r="D11" s="317"/>
      <c r="E11" s="317"/>
      <c r="F11" s="318"/>
      <c r="G11" s="318"/>
      <c r="H11" s="318"/>
      <c r="I11" s="318"/>
      <c r="J11" s="318"/>
      <c r="K11" s="318"/>
      <c r="L11" s="318"/>
      <c r="M11" s="318"/>
      <c r="N11" s="318"/>
      <c r="O11" s="318"/>
      <c r="P11" s="318"/>
      <c r="Q11" s="318"/>
      <c r="R11" s="318"/>
      <c r="S11" s="317"/>
      <c r="T11" s="317"/>
      <c r="U11" s="318"/>
      <c r="V11" s="261"/>
      <c r="W11" s="261"/>
      <c r="X11" s="261"/>
      <c r="Z11" s="319"/>
    </row>
    <row r="12" spans="1:58" x14ac:dyDescent="0.25">
      <c r="D12" s="299"/>
      <c r="E12" s="299"/>
      <c r="F12" s="320"/>
      <c r="G12" s="320"/>
      <c r="H12" s="320"/>
      <c r="I12" s="320"/>
      <c r="J12" s="320"/>
      <c r="K12" s="320"/>
      <c r="L12" s="320"/>
      <c r="M12" s="320"/>
      <c r="N12" s="320"/>
      <c r="O12" s="320"/>
      <c r="P12" s="320"/>
      <c r="Q12" s="320"/>
      <c r="R12" s="306"/>
      <c r="S12" s="299"/>
      <c r="T12" s="299"/>
      <c r="U12" s="299"/>
      <c r="Z12" s="321"/>
    </row>
    <row r="13" spans="1:58" x14ac:dyDescent="0.25">
      <c r="A13" s="296">
        <v>5</v>
      </c>
      <c r="B13" s="301" t="s">
        <v>90</v>
      </c>
      <c r="C13" s="296"/>
      <c r="D13" s="299"/>
      <c r="E13" s="299"/>
      <c r="F13" s="320"/>
      <c r="G13" s="320"/>
      <c r="H13" s="320"/>
      <c r="I13" s="320"/>
      <c r="J13" s="320"/>
      <c r="K13" s="320"/>
      <c r="L13" s="320"/>
      <c r="M13" s="320"/>
      <c r="N13" s="320"/>
      <c r="O13" s="320"/>
      <c r="P13" s="320"/>
      <c r="Q13" s="320"/>
      <c r="R13" s="299"/>
      <c r="S13" s="299"/>
      <c r="T13" s="299"/>
      <c r="U13" s="299"/>
      <c r="Z13" s="321"/>
    </row>
    <row r="14" spans="1:58" x14ac:dyDescent="0.25">
      <c r="D14" s="299"/>
      <c r="E14" s="299"/>
      <c r="F14" s="320"/>
      <c r="G14" s="320"/>
      <c r="H14" s="320"/>
      <c r="I14" s="320"/>
      <c r="J14" s="320"/>
      <c r="K14" s="320"/>
      <c r="L14" s="320"/>
      <c r="M14" s="320"/>
      <c r="N14" s="320"/>
      <c r="O14" s="320"/>
      <c r="P14" s="320"/>
      <c r="Q14" s="320"/>
      <c r="R14" s="299"/>
      <c r="S14" s="299"/>
      <c r="T14" s="299"/>
      <c r="U14" s="299"/>
    </row>
    <row r="15" spans="1:58" x14ac:dyDescent="0.25">
      <c r="D15" s="299"/>
      <c r="E15" s="299"/>
      <c r="F15" s="320"/>
      <c r="G15" s="320"/>
      <c r="H15" s="320"/>
      <c r="I15" s="320"/>
      <c r="J15" s="320"/>
      <c r="K15" s="320"/>
      <c r="L15" s="320"/>
      <c r="M15" s="320"/>
      <c r="N15" s="320"/>
      <c r="O15" s="320"/>
      <c r="P15" s="320"/>
      <c r="Q15" s="320"/>
      <c r="R15" s="299"/>
      <c r="S15" s="299"/>
      <c r="T15" s="299"/>
      <c r="U15" s="299"/>
    </row>
    <row r="16" spans="1:58" x14ac:dyDescent="0.25">
      <c r="D16" s="299"/>
      <c r="E16" s="299"/>
      <c r="F16" s="320"/>
      <c r="G16" s="320"/>
      <c r="H16" s="320"/>
      <c r="I16" s="320"/>
      <c r="J16" s="320"/>
      <c r="K16" s="320"/>
      <c r="L16" s="320"/>
      <c r="M16" s="320"/>
      <c r="N16" s="320"/>
      <c r="O16" s="320"/>
      <c r="P16" s="320"/>
      <c r="Q16" s="320"/>
      <c r="R16" s="299"/>
      <c r="S16" s="299"/>
      <c r="T16" s="299"/>
      <c r="U16" s="299"/>
    </row>
    <row r="17" spans="4:26" x14ac:dyDescent="0.25">
      <c r="D17" s="299"/>
      <c r="E17" s="299"/>
      <c r="F17" s="320"/>
      <c r="G17" s="320"/>
      <c r="H17" s="320"/>
      <c r="I17" s="320"/>
      <c r="J17" s="320"/>
      <c r="K17" s="320"/>
      <c r="L17" s="320"/>
      <c r="M17" s="320"/>
      <c r="N17" s="320"/>
      <c r="O17" s="320"/>
      <c r="P17" s="299"/>
      <c r="Q17" s="115"/>
      <c r="R17" s="299"/>
      <c r="S17" s="299"/>
      <c r="T17" s="299"/>
      <c r="U17" s="299"/>
    </row>
    <row r="18" spans="4:26" x14ac:dyDescent="0.25">
      <c r="D18" s="299"/>
      <c r="E18" s="299"/>
      <c r="F18" s="320"/>
      <c r="G18" s="320"/>
      <c r="H18" s="320"/>
      <c r="I18" s="320"/>
      <c r="J18" s="320"/>
      <c r="K18" s="320"/>
      <c r="L18" s="320"/>
      <c r="M18" s="320"/>
      <c r="N18" s="320"/>
      <c r="O18" s="320"/>
      <c r="P18" s="299"/>
      <c r="Q18" s="115"/>
      <c r="R18" s="299"/>
      <c r="S18" s="299"/>
      <c r="T18" s="299"/>
      <c r="U18" s="299"/>
      <c r="Z18" s="284"/>
    </row>
    <row r="19" spans="4:26" x14ac:dyDescent="0.25">
      <c r="D19" s="299"/>
      <c r="E19" s="299"/>
      <c r="F19" s="320"/>
      <c r="G19" s="320"/>
      <c r="H19" s="320"/>
      <c r="I19" s="320"/>
      <c r="J19" s="320"/>
      <c r="K19" s="320"/>
      <c r="L19" s="320"/>
      <c r="M19" s="320"/>
      <c r="N19" s="320"/>
      <c r="O19" s="320"/>
      <c r="P19" s="299"/>
      <c r="Q19" s="115"/>
      <c r="R19" s="299"/>
      <c r="S19" s="299"/>
      <c r="T19" s="299"/>
      <c r="U19" s="299"/>
      <c r="Z19" s="284"/>
    </row>
    <row r="20" spans="4:26" x14ac:dyDescent="0.25">
      <c r="D20" s="299"/>
      <c r="E20" s="299"/>
      <c r="F20" s="320"/>
      <c r="G20" s="320"/>
      <c r="H20" s="320"/>
      <c r="I20" s="320"/>
      <c r="J20" s="320"/>
      <c r="K20" s="320"/>
      <c r="L20" s="320"/>
      <c r="M20" s="320"/>
      <c r="N20" s="320"/>
      <c r="O20" s="320"/>
      <c r="P20" s="299"/>
      <c r="Q20" s="115"/>
      <c r="R20" s="299"/>
      <c r="S20" s="299"/>
      <c r="T20" s="299"/>
      <c r="U20" s="299"/>
      <c r="Z20" s="284"/>
    </row>
    <row r="21" spans="4:26" x14ac:dyDescent="0.25">
      <c r="D21" s="299"/>
      <c r="E21" s="299"/>
      <c r="F21" s="320"/>
      <c r="G21" s="320"/>
      <c r="H21" s="320"/>
      <c r="I21" s="320"/>
      <c r="J21" s="320"/>
      <c r="K21" s="320"/>
      <c r="L21" s="320"/>
      <c r="M21" s="320"/>
      <c r="N21" s="320"/>
      <c r="O21" s="320"/>
      <c r="P21" s="299"/>
      <c r="Q21" s="115"/>
      <c r="R21" s="299"/>
      <c r="S21" s="299"/>
      <c r="T21" s="299"/>
      <c r="U21" s="299"/>
      <c r="Z21" s="284"/>
    </row>
    <row r="22" spans="4:26" x14ac:dyDescent="0.25">
      <c r="D22" s="299"/>
      <c r="E22" s="299"/>
      <c r="F22" s="320"/>
      <c r="G22" s="320"/>
      <c r="H22" s="320"/>
      <c r="I22" s="320"/>
      <c r="J22" s="320"/>
      <c r="K22" s="320"/>
      <c r="L22" s="320"/>
      <c r="M22" s="320"/>
      <c r="N22" s="320"/>
      <c r="O22" s="320"/>
      <c r="P22" s="299"/>
      <c r="Q22" s="115"/>
      <c r="R22" s="299"/>
      <c r="S22" s="299"/>
      <c r="T22" s="299"/>
      <c r="U22" s="299"/>
      <c r="Z22" s="284"/>
    </row>
    <row r="23" spans="4:26" x14ac:dyDescent="0.25">
      <c r="D23" s="299"/>
      <c r="E23" s="299"/>
      <c r="F23" s="320"/>
      <c r="G23" s="320"/>
      <c r="H23" s="320"/>
      <c r="I23" s="320"/>
      <c r="J23" s="320"/>
      <c r="K23" s="320"/>
      <c r="L23" s="320"/>
      <c r="M23" s="320"/>
      <c r="N23" s="320"/>
      <c r="O23" s="320"/>
      <c r="P23" s="320"/>
      <c r="Q23" s="299"/>
      <c r="R23" s="299"/>
      <c r="S23" s="299"/>
      <c r="T23" s="299"/>
      <c r="U23" s="299"/>
      <c r="Z23" s="284"/>
    </row>
    <row r="24" spans="4:26" x14ac:dyDescent="0.25">
      <c r="D24" s="299"/>
      <c r="E24" s="299"/>
      <c r="F24" s="320"/>
      <c r="G24" s="320"/>
      <c r="H24" s="320"/>
      <c r="I24" s="320"/>
      <c r="J24" s="320"/>
      <c r="K24" s="320"/>
      <c r="L24" s="320"/>
      <c r="M24" s="320"/>
      <c r="N24" s="320"/>
      <c r="O24" s="320"/>
      <c r="P24" s="320"/>
      <c r="Q24" s="299"/>
      <c r="R24" s="299"/>
      <c r="S24" s="299"/>
      <c r="T24" s="299"/>
      <c r="U24" s="299"/>
      <c r="Z24" s="284"/>
    </row>
    <row r="25" spans="4:26" x14ac:dyDescent="0.25">
      <c r="D25" s="299"/>
      <c r="E25" s="299"/>
      <c r="F25" s="320"/>
      <c r="G25" s="320"/>
      <c r="H25" s="320"/>
      <c r="I25" s="320"/>
      <c r="J25" s="320"/>
      <c r="K25" s="320"/>
      <c r="L25" s="320"/>
      <c r="M25" s="320"/>
      <c r="N25" s="320"/>
      <c r="O25" s="320"/>
      <c r="P25" s="322"/>
      <c r="Q25" s="299"/>
      <c r="R25" s="299"/>
      <c r="S25" s="299"/>
      <c r="T25" s="299"/>
      <c r="U25" s="299"/>
      <c r="Z25" s="284"/>
    </row>
    <row r="26" spans="4:26" x14ac:dyDescent="0.25">
      <c r="D26" s="299"/>
      <c r="E26" s="299"/>
      <c r="F26" s="320"/>
      <c r="G26" s="320"/>
      <c r="H26" s="320"/>
      <c r="I26" s="320"/>
      <c r="J26" s="320"/>
      <c r="K26" s="320"/>
      <c r="L26" s="320"/>
      <c r="M26" s="320"/>
      <c r="N26" s="320"/>
      <c r="O26" s="320"/>
      <c r="P26" s="320"/>
      <c r="Q26" s="320"/>
      <c r="R26" s="299"/>
      <c r="S26" s="299"/>
      <c r="T26" s="299"/>
      <c r="U26" s="299"/>
      <c r="Z26" s="284"/>
    </row>
    <row r="27" spans="4:26" x14ac:dyDescent="0.25">
      <c r="D27" s="299"/>
      <c r="E27" s="299"/>
      <c r="F27" s="320"/>
      <c r="G27" s="320"/>
      <c r="H27" s="320"/>
      <c r="I27" s="320"/>
      <c r="J27" s="320"/>
      <c r="K27" s="320"/>
      <c r="L27" s="320"/>
      <c r="M27" s="320"/>
      <c r="N27" s="320"/>
      <c r="O27" s="320"/>
      <c r="P27" s="320"/>
      <c r="Q27" s="320"/>
      <c r="R27" s="299"/>
      <c r="S27" s="299"/>
      <c r="T27" s="299"/>
      <c r="U27" s="299"/>
      <c r="Z27" s="284"/>
    </row>
    <row r="28" spans="4:26" x14ac:dyDescent="0.25">
      <c r="D28" s="299"/>
      <c r="E28" s="299"/>
      <c r="F28" s="299"/>
      <c r="G28" s="299"/>
      <c r="H28" s="299"/>
      <c r="I28" s="299"/>
      <c r="J28" s="299"/>
      <c r="K28" s="299"/>
      <c r="L28" s="299"/>
      <c r="M28" s="299"/>
      <c r="N28" s="299"/>
      <c r="O28" s="299"/>
      <c r="P28" s="299"/>
      <c r="Q28" s="299"/>
      <c r="R28" s="299"/>
      <c r="S28" s="299"/>
      <c r="T28" s="299"/>
      <c r="U28" s="299"/>
      <c r="Z28" s="284"/>
    </row>
    <row r="29" spans="4:26" x14ac:dyDescent="0.25">
      <c r="D29" s="299"/>
      <c r="E29" s="299"/>
      <c r="F29" s="299"/>
      <c r="G29" s="299"/>
      <c r="H29" s="299"/>
      <c r="I29" s="299"/>
      <c r="J29" s="299"/>
      <c r="K29" s="299"/>
      <c r="L29" s="299"/>
      <c r="M29" s="299"/>
      <c r="N29" s="299"/>
      <c r="O29" s="299"/>
      <c r="P29" s="299"/>
      <c r="Q29" s="299"/>
      <c r="R29" s="299"/>
      <c r="S29" s="299"/>
      <c r="T29" s="299"/>
      <c r="U29" s="299"/>
      <c r="Z29" s="284"/>
    </row>
    <row r="30" spans="4:26" x14ac:dyDescent="0.25">
      <c r="D30" s="299"/>
      <c r="E30" s="299"/>
      <c r="F30" s="299"/>
      <c r="G30" s="299"/>
      <c r="H30" s="299"/>
      <c r="I30" s="299"/>
      <c r="J30" s="299"/>
      <c r="K30" s="299"/>
      <c r="L30" s="299"/>
      <c r="M30" s="299"/>
      <c r="N30" s="299"/>
      <c r="O30" s="299"/>
      <c r="P30" s="299"/>
      <c r="Q30" s="299"/>
      <c r="R30" s="299"/>
      <c r="S30" s="299"/>
      <c r="T30" s="299"/>
      <c r="U30" s="299"/>
      <c r="Z30" s="284"/>
    </row>
    <row r="31" spans="4:26" x14ac:dyDescent="0.25">
      <c r="D31" s="299"/>
      <c r="E31" s="299"/>
      <c r="F31" s="299"/>
      <c r="G31" s="299"/>
      <c r="H31" s="299"/>
      <c r="I31" s="299"/>
      <c r="J31" s="299"/>
      <c r="K31" s="299"/>
      <c r="L31" s="299"/>
      <c r="M31" s="299"/>
      <c r="N31" s="299"/>
      <c r="O31" s="299"/>
      <c r="P31" s="299"/>
      <c r="Q31" s="299"/>
      <c r="R31" s="299"/>
      <c r="S31" s="299"/>
      <c r="T31" s="299"/>
      <c r="U31" s="299"/>
      <c r="Z31" s="284"/>
    </row>
    <row r="32" spans="4:26" x14ac:dyDescent="0.25">
      <c r="D32" s="299"/>
      <c r="E32" s="299"/>
      <c r="F32" s="299"/>
      <c r="G32" s="299"/>
      <c r="H32" s="299"/>
      <c r="I32" s="299"/>
      <c r="J32" s="299"/>
      <c r="K32" s="299"/>
      <c r="L32" s="299"/>
      <c r="M32" s="299"/>
      <c r="N32" s="299"/>
      <c r="O32" s="299"/>
      <c r="P32" s="299"/>
      <c r="Q32" s="299"/>
      <c r="R32" s="299"/>
      <c r="S32" s="299"/>
      <c r="T32" s="299"/>
      <c r="U32" s="299"/>
    </row>
    <row r="33" spans="1:95" x14ac:dyDescent="0.25">
      <c r="D33" s="299"/>
      <c r="E33" s="299"/>
      <c r="F33" s="299"/>
      <c r="G33" s="299"/>
      <c r="H33" s="299"/>
      <c r="I33" s="299"/>
      <c r="J33" s="299"/>
      <c r="K33" s="299"/>
      <c r="L33" s="299"/>
      <c r="M33" s="299"/>
      <c r="N33" s="299"/>
      <c r="O33" s="299"/>
      <c r="P33" s="299"/>
      <c r="Q33" s="299"/>
      <c r="R33" s="299"/>
      <c r="S33" s="299"/>
      <c r="T33" s="299"/>
      <c r="U33" s="299"/>
    </row>
    <row r="34" spans="1:95" x14ac:dyDescent="0.25">
      <c r="D34" s="299"/>
      <c r="E34" s="299"/>
      <c r="F34" s="299"/>
      <c r="G34" s="299"/>
      <c r="H34" s="299"/>
      <c r="I34" s="299"/>
      <c r="J34" s="299"/>
      <c r="K34" s="299"/>
      <c r="L34" s="299"/>
      <c r="M34" s="299"/>
      <c r="N34" s="299"/>
      <c r="O34" s="299"/>
      <c r="P34" s="299"/>
      <c r="Q34" s="299"/>
      <c r="R34" s="299"/>
      <c r="S34" s="299"/>
      <c r="T34" s="299"/>
      <c r="U34" s="299"/>
    </row>
    <row r="35" spans="1:95" x14ac:dyDescent="0.25">
      <c r="D35" s="299"/>
      <c r="E35" s="299"/>
      <c r="F35" s="299"/>
      <c r="G35" s="299"/>
      <c r="H35" s="299"/>
      <c r="I35" s="299"/>
      <c r="J35" s="299"/>
      <c r="K35" s="299"/>
      <c r="L35" s="299"/>
      <c r="M35" s="299"/>
      <c r="N35" s="299"/>
      <c r="O35" s="299"/>
      <c r="P35" s="299"/>
      <c r="Q35" s="299"/>
      <c r="R35" s="299"/>
      <c r="S35" s="299"/>
      <c r="T35" s="299"/>
      <c r="U35" s="299"/>
      <c r="AC35" s="145"/>
    </row>
    <row r="36" spans="1:95" x14ac:dyDescent="0.25">
      <c r="D36" s="299"/>
      <c r="E36" s="299"/>
      <c r="F36" s="299"/>
      <c r="G36" s="299"/>
      <c r="H36" s="299"/>
      <c r="I36" s="299"/>
      <c r="J36" s="299"/>
      <c r="K36" s="299"/>
      <c r="L36" s="299"/>
      <c r="M36" s="299"/>
      <c r="N36" s="299"/>
      <c r="O36" s="299"/>
      <c r="P36" s="299"/>
      <c r="Q36" s="299"/>
      <c r="R36" s="299"/>
      <c r="S36" s="299"/>
      <c r="T36" s="299"/>
      <c r="U36" s="299"/>
    </row>
    <row r="37" spans="1:95" x14ac:dyDescent="0.25">
      <c r="A37" s="296">
        <v>6</v>
      </c>
      <c r="B37" s="301" t="s">
        <v>29</v>
      </c>
      <c r="C37" s="296"/>
      <c r="D37" s="4048" t="s">
        <v>168</v>
      </c>
      <c r="E37" s="4049"/>
      <c r="F37" s="4049"/>
      <c r="G37" s="4049"/>
      <c r="H37" s="4049"/>
      <c r="I37" s="4049"/>
      <c r="J37" s="4049"/>
      <c r="K37" s="4049"/>
      <c r="L37" s="4049"/>
      <c r="M37" s="4049"/>
      <c r="N37" s="4049"/>
      <c r="O37" s="4049"/>
      <c r="P37" s="4049"/>
      <c r="Q37" s="4049"/>
      <c r="R37" s="4049"/>
      <c r="S37" s="4049"/>
      <c r="T37" s="4049"/>
      <c r="U37" s="4049"/>
      <c r="V37" s="4049"/>
      <c r="W37" s="4049"/>
      <c r="X37" s="4049"/>
      <c r="Y37" s="4049"/>
      <c r="Z37" s="4049"/>
      <c r="AA37" s="4050"/>
      <c r="AB37" s="142"/>
      <c r="AC37" s="142"/>
    </row>
    <row r="38" spans="1:95" x14ac:dyDescent="0.25">
      <c r="A38" s="323">
        <v>7</v>
      </c>
      <c r="B38" s="324" t="s">
        <v>32</v>
      </c>
      <c r="C38" s="323"/>
      <c r="D38" s="4066" t="s">
        <v>184</v>
      </c>
      <c r="E38" s="4067"/>
      <c r="F38" s="4067"/>
      <c r="G38" s="4067"/>
      <c r="H38" s="4067"/>
      <c r="I38" s="4067"/>
      <c r="J38" s="4067"/>
      <c r="K38" s="4067"/>
      <c r="L38" s="4067"/>
      <c r="M38" s="4067"/>
      <c r="N38" s="4067"/>
      <c r="O38" s="4067"/>
      <c r="P38" s="4067"/>
      <c r="Q38" s="4067"/>
      <c r="R38" s="4067"/>
      <c r="S38" s="4067"/>
      <c r="T38" s="4067"/>
      <c r="U38" s="4067"/>
      <c r="V38" s="4067"/>
      <c r="W38" s="4067"/>
      <c r="X38" s="4067"/>
      <c r="Y38" s="4067"/>
      <c r="Z38" s="4067"/>
      <c r="AA38" s="4068"/>
      <c r="AB38" s="170"/>
      <c r="AC38" s="170"/>
    </row>
    <row r="39" spans="1:95" ht="12.75" customHeight="1" x14ac:dyDescent="0.25">
      <c r="A39" s="296">
        <v>8</v>
      </c>
      <c r="B39" s="301" t="s">
        <v>31</v>
      </c>
      <c r="C39" s="296"/>
      <c r="D39" s="4048" t="s">
        <v>185</v>
      </c>
      <c r="E39" s="4049"/>
      <c r="F39" s="4049"/>
      <c r="G39" s="4049"/>
      <c r="H39" s="4049"/>
      <c r="I39" s="4049"/>
      <c r="J39" s="4049"/>
      <c r="K39" s="4049"/>
      <c r="L39" s="4049"/>
      <c r="M39" s="4049"/>
      <c r="N39" s="4049"/>
      <c r="O39" s="4049"/>
      <c r="P39" s="4049"/>
      <c r="Q39" s="4049"/>
      <c r="R39" s="4049"/>
      <c r="S39" s="4049"/>
      <c r="T39" s="4049"/>
      <c r="U39" s="4049"/>
      <c r="V39" s="4049"/>
      <c r="W39" s="4049"/>
      <c r="X39" s="4049"/>
      <c r="Y39" s="4049"/>
      <c r="Z39" s="4049"/>
      <c r="AA39" s="4050"/>
      <c r="AB39" s="142"/>
      <c r="AC39" s="142"/>
    </row>
    <row r="40" spans="1:95" ht="12.75" customHeight="1" x14ac:dyDescent="0.25">
      <c r="A40" s="296">
        <v>9</v>
      </c>
      <c r="B40" s="301" t="s">
        <v>95</v>
      </c>
      <c r="C40" s="296"/>
      <c r="D40" s="4097" t="s">
        <v>186</v>
      </c>
      <c r="E40" s="4098"/>
      <c r="F40" s="4098"/>
      <c r="G40" s="4098"/>
      <c r="H40" s="4098"/>
      <c r="I40" s="4098"/>
      <c r="J40" s="4098"/>
      <c r="K40" s="4098"/>
      <c r="L40" s="4098"/>
      <c r="M40" s="4098"/>
      <c r="N40" s="4098"/>
      <c r="O40" s="4098"/>
      <c r="P40" s="4098"/>
      <c r="Q40" s="4098"/>
      <c r="R40" s="4098"/>
      <c r="S40" s="4098"/>
      <c r="T40" s="4098"/>
      <c r="U40" s="4098"/>
      <c r="V40" s="4098"/>
      <c r="W40" s="4098"/>
      <c r="X40" s="4098"/>
      <c r="Y40" s="4098"/>
      <c r="Z40" s="4098"/>
      <c r="AA40" s="4099"/>
      <c r="AB40" s="325"/>
      <c r="AC40" s="325"/>
    </row>
    <row r="41" spans="1:95" x14ac:dyDescent="0.25">
      <c r="B41" s="326"/>
      <c r="C41" s="327"/>
      <c r="D41" s="328"/>
      <c r="E41" s="328"/>
      <c r="F41" s="328"/>
      <c r="G41" s="328"/>
      <c r="H41" s="328"/>
      <c r="I41" s="328"/>
      <c r="J41" s="328"/>
      <c r="K41" s="328"/>
      <c r="L41" s="328"/>
      <c r="M41" s="328"/>
      <c r="N41" s="328"/>
      <c r="O41" s="328"/>
      <c r="P41" s="328"/>
      <c r="Q41" s="328"/>
      <c r="R41" s="328"/>
      <c r="S41" s="328"/>
      <c r="T41" s="328"/>
      <c r="U41" s="328"/>
      <c r="V41" s="329"/>
      <c r="W41" s="329"/>
      <c r="X41" s="328"/>
      <c r="Y41" s="328"/>
      <c r="Z41" s="328"/>
      <c r="AA41" s="328"/>
      <c r="AB41" s="328"/>
      <c r="AC41" s="328"/>
      <c r="AD41" s="328"/>
      <c r="AE41" s="328"/>
      <c r="AF41" s="328"/>
      <c r="AG41" s="328"/>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row>
    <row r="42" spans="1:95" x14ac:dyDescent="0.25">
      <c r="A42" s="330"/>
      <c r="B42" s="326"/>
      <c r="C42" s="310"/>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16"/>
      <c r="AM42" s="316"/>
      <c r="AN42" s="316"/>
      <c r="AO42" s="316"/>
      <c r="AP42" s="316"/>
      <c r="AQ42" s="316"/>
      <c r="AR42" s="316"/>
      <c r="AS42" s="316"/>
      <c r="AT42" s="316"/>
      <c r="AU42" s="316"/>
      <c r="AV42" s="316"/>
      <c r="AW42" s="316"/>
      <c r="AX42" s="62"/>
      <c r="AY42" s="316"/>
      <c r="AZ42" s="316"/>
      <c r="BA42" s="316"/>
      <c r="BB42" s="316"/>
      <c r="BC42" s="316"/>
      <c r="BD42" s="316"/>
      <c r="BE42" s="316"/>
    </row>
    <row r="43" spans="1:95" s="332" customFormat="1" ht="12.75" x14ac:dyDescent="0.2">
      <c r="A43" s="331"/>
      <c r="B43" s="3828"/>
      <c r="C43" s="3829"/>
      <c r="D43" s="4096">
        <v>1994</v>
      </c>
      <c r="E43" s="4096"/>
      <c r="F43" s="4096"/>
      <c r="G43" s="4096"/>
      <c r="H43" s="4096"/>
      <c r="I43" s="4096">
        <v>1995</v>
      </c>
      <c r="J43" s="4096"/>
      <c r="K43" s="4096"/>
      <c r="L43" s="4096"/>
      <c r="M43" s="4096">
        <v>1996</v>
      </c>
      <c r="N43" s="4096"/>
      <c r="O43" s="4096"/>
      <c r="P43" s="4096"/>
      <c r="Q43" s="4096">
        <v>1997</v>
      </c>
      <c r="R43" s="4096"/>
      <c r="S43" s="4096"/>
      <c r="T43" s="4096"/>
      <c r="U43" s="4096">
        <v>1998</v>
      </c>
      <c r="V43" s="4096"/>
      <c r="W43" s="4096"/>
      <c r="X43" s="4096"/>
      <c r="Y43" s="4096">
        <v>1999</v>
      </c>
      <c r="Z43" s="4096"/>
      <c r="AA43" s="4096"/>
      <c r="AB43" s="4096"/>
      <c r="AC43" s="4096">
        <v>2000</v>
      </c>
      <c r="AD43" s="4096"/>
      <c r="AE43" s="4096"/>
      <c r="AF43" s="4096"/>
      <c r="AG43" s="4096">
        <v>2001</v>
      </c>
      <c r="AH43" s="4096"/>
      <c r="AI43" s="4096"/>
      <c r="AJ43" s="4096"/>
      <c r="AK43" s="4096">
        <v>2002</v>
      </c>
      <c r="AL43" s="4096"/>
      <c r="AM43" s="4096"/>
      <c r="AN43" s="4096"/>
      <c r="AO43" s="4096">
        <v>2003</v>
      </c>
      <c r="AP43" s="4096"/>
      <c r="AQ43" s="4096"/>
      <c r="AR43" s="4096"/>
      <c r="AS43" s="4096">
        <v>2004</v>
      </c>
      <c r="AT43" s="4096"/>
      <c r="AU43" s="4096"/>
      <c r="AV43" s="4096"/>
      <c r="AW43" s="4096">
        <v>2005</v>
      </c>
      <c r="AX43" s="4096"/>
      <c r="AY43" s="4096"/>
      <c r="AZ43" s="4096"/>
      <c r="BA43" s="4096">
        <v>2006</v>
      </c>
      <c r="BB43" s="4096"/>
      <c r="BC43" s="4096"/>
      <c r="BD43" s="4096"/>
      <c r="BE43" s="4096">
        <v>2007</v>
      </c>
      <c r="BF43" s="4096"/>
      <c r="BG43" s="4096"/>
      <c r="BH43" s="4096"/>
      <c r="BI43" s="4096">
        <v>2008</v>
      </c>
      <c r="BJ43" s="4096"/>
      <c r="BK43" s="4096"/>
      <c r="BL43" s="4096"/>
      <c r="BM43" s="4096">
        <v>2009</v>
      </c>
      <c r="BN43" s="4096"/>
      <c r="BO43" s="4096"/>
      <c r="BP43" s="4096"/>
      <c r="BQ43" s="4096">
        <v>2010</v>
      </c>
      <c r="BR43" s="4096"/>
      <c r="BS43" s="4096"/>
      <c r="BT43" s="4096"/>
      <c r="BU43" s="4096">
        <v>2011</v>
      </c>
      <c r="BV43" s="4096"/>
      <c r="BW43" s="4096"/>
      <c r="BX43" s="4096"/>
      <c r="BY43" s="4096">
        <v>2012</v>
      </c>
      <c r="BZ43" s="4096"/>
      <c r="CA43" s="4096"/>
      <c r="CB43" s="4096"/>
      <c r="CC43" s="4096">
        <v>2013</v>
      </c>
      <c r="CD43" s="4096"/>
      <c r="CE43" s="4096"/>
      <c r="CF43" s="4096"/>
      <c r="CG43" s="4096">
        <v>2014</v>
      </c>
      <c r="CH43" s="4096"/>
      <c r="CI43" s="4096"/>
      <c r="CJ43" s="4096"/>
      <c r="CK43" s="4100">
        <v>2014</v>
      </c>
      <c r="CL43" s="4100"/>
      <c r="CM43" s="4100"/>
      <c r="CN43" s="4100"/>
      <c r="CO43" s="3830"/>
      <c r="CP43" s="3830"/>
      <c r="CQ43" s="3830"/>
    </row>
    <row r="44" spans="1:95" s="332" customFormat="1" ht="12.75" x14ac:dyDescent="0.2">
      <c r="A44" s="333"/>
      <c r="B44" s="3831"/>
      <c r="C44" s="3832"/>
      <c r="D44" s="3833" t="s">
        <v>96</v>
      </c>
      <c r="E44" s="3834"/>
      <c r="F44" s="3834" t="s">
        <v>97</v>
      </c>
      <c r="G44" s="3834" t="s">
        <v>98</v>
      </c>
      <c r="H44" s="3835" t="s">
        <v>99</v>
      </c>
      <c r="I44" s="3833" t="s">
        <v>96</v>
      </c>
      <c r="J44" s="3834" t="s">
        <v>97</v>
      </c>
      <c r="K44" s="3834" t="s">
        <v>98</v>
      </c>
      <c r="L44" s="3835" t="s">
        <v>99</v>
      </c>
      <c r="M44" s="3833" t="s">
        <v>96</v>
      </c>
      <c r="N44" s="3834" t="s">
        <v>97</v>
      </c>
      <c r="O44" s="3834" t="s">
        <v>98</v>
      </c>
      <c r="P44" s="3835" t="s">
        <v>99</v>
      </c>
      <c r="Q44" s="3833" t="s">
        <v>96</v>
      </c>
      <c r="R44" s="3834" t="s">
        <v>97</v>
      </c>
      <c r="S44" s="3834" t="s">
        <v>98</v>
      </c>
      <c r="T44" s="3835" t="s">
        <v>99</v>
      </c>
      <c r="U44" s="3833" t="s">
        <v>96</v>
      </c>
      <c r="V44" s="3834" t="s">
        <v>97</v>
      </c>
      <c r="W44" s="3834" t="s">
        <v>98</v>
      </c>
      <c r="X44" s="3835" t="s">
        <v>99</v>
      </c>
      <c r="Y44" s="3833" t="s">
        <v>96</v>
      </c>
      <c r="Z44" s="3834" t="s">
        <v>97</v>
      </c>
      <c r="AA44" s="3834" t="s">
        <v>98</v>
      </c>
      <c r="AB44" s="3835" t="s">
        <v>99</v>
      </c>
      <c r="AC44" s="3833" t="s">
        <v>96</v>
      </c>
      <c r="AD44" s="3834" t="s">
        <v>97</v>
      </c>
      <c r="AE44" s="3834" t="s">
        <v>98</v>
      </c>
      <c r="AF44" s="3835" t="s">
        <v>99</v>
      </c>
      <c r="AG44" s="3833" t="s">
        <v>96</v>
      </c>
      <c r="AH44" s="3834" t="s">
        <v>97</v>
      </c>
      <c r="AI44" s="3834" t="s">
        <v>98</v>
      </c>
      <c r="AJ44" s="3835" t="s">
        <v>99</v>
      </c>
      <c r="AK44" s="3833" t="s">
        <v>96</v>
      </c>
      <c r="AL44" s="3834" t="s">
        <v>97</v>
      </c>
      <c r="AM44" s="3834" t="s">
        <v>98</v>
      </c>
      <c r="AN44" s="3835" t="s">
        <v>99</v>
      </c>
      <c r="AO44" s="3833" t="s">
        <v>96</v>
      </c>
      <c r="AP44" s="3834" t="s">
        <v>97</v>
      </c>
      <c r="AQ44" s="3834" t="s">
        <v>98</v>
      </c>
      <c r="AR44" s="3835" t="s">
        <v>99</v>
      </c>
      <c r="AS44" s="3833" t="s">
        <v>96</v>
      </c>
      <c r="AT44" s="3834" t="s">
        <v>97</v>
      </c>
      <c r="AU44" s="3834" t="s">
        <v>98</v>
      </c>
      <c r="AV44" s="3835" t="s">
        <v>99</v>
      </c>
      <c r="AW44" s="3833" t="s">
        <v>96</v>
      </c>
      <c r="AX44" s="3834" t="s">
        <v>97</v>
      </c>
      <c r="AY44" s="3834" t="s">
        <v>98</v>
      </c>
      <c r="AZ44" s="3835" t="s">
        <v>99</v>
      </c>
      <c r="BA44" s="3833" t="s">
        <v>96</v>
      </c>
      <c r="BB44" s="3834" t="s">
        <v>97</v>
      </c>
      <c r="BC44" s="3834" t="s">
        <v>98</v>
      </c>
      <c r="BD44" s="3835" t="s">
        <v>99</v>
      </c>
      <c r="BE44" s="3833" t="s">
        <v>96</v>
      </c>
      <c r="BF44" s="3834" t="s">
        <v>97</v>
      </c>
      <c r="BG44" s="3834" t="s">
        <v>98</v>
      </c>
      <c r="BH44" s="3835" t="s">
        <v>99</v>
      </c>
      <c r="BI44" s="3833" t="s">
        <v>96</v>
      </c>
      <c r="BJ44" s="3834" t="s">
        <v>97</v>
      </c>
      <c r="BK44" s="3834" t="s">
        <v>98</v>
      </c>
      <c r="BL44" s="3835" t="s">
        <v>99</v>
      </c>
      <c r="BM44" s="3833" t="s">
        <v>96</v>
      </c>
      <c r="BN44" s="3834" t="s">
        <v>97</v>
      </c>
      <c r="BO44" s="3834" t="s">
        <v>98</v>
      </c>
      <c r="BP44" s="3835" t="s">
        <v>99</v>
      </c>
      <c r="BQ44" s="3833" t="s">
        <v>96</v>
      </c>
      <c r="BR44" s="3834" t="s">
        <v>97</v>
      </c>
      <c r="BS44" s="3834" t="s">
        <v>98</v>
      </c>
      <c r="BT44" s="3835" t="s">
        <v>99</v>
      </c>
      <c r="BU44" s="3833" t="s">
        <v>96</v>
      </c>
      <c r="BV44" s="3834" t="s">
        <v>97</v>
      </c>
      <c r="BW44" s="3834" t="s">
        <v>98</v>
      </c>
      <c r="BX44" s="3835" t="s">
        <v>99</v>
      </c>
      <c r="BY44" s="3833" t="s">
        <v>96</v>
      </c>
      <c r="BZ44" s="3834" t="s">
        <v>97</v>
      </c>
      <c r="CA44" s="3834" t="s">
        <v>98</v>
      </c>
      <c r="CB44" s="3835" t="s">
        <v>99</v>
      </c>
      <c r="CC44" s="3833" t="s">
        <v>96</v>
      </c>
      <c r="CD44" s="3834" t="s">
        <v>97</v>
      </c>
      <c r="CE44" s="3834" t="s">
        <v>98</v>
      </c>
      <c r="CF44" s="3835" t="s">
        <v>99</v>
      </c>
      <c r="CG44" s="3833" t="s">
        <v>96</v>
      </c>
      <c r="CH44" s="3834" t="s">
        <v>97</v>
      </c>
      <c r="CI44" s="3834" t="s">
        <v>98</v>
      </c>
      <c r="CJ44" s="3835" t="s">
        <v>99</v>
      </c>
      <c r="CK44" s="3836" t="s">
        <v>96</v>
      </c>
      <c r="CL44" s="3837" t="s">
        <v>97</v>
      </c>
      <c r="CM44" s="3837" t="s">
        <v>98</v>
      </c>
      <c r="CN44" s="3838" t="s">
        <v>99</v>
      </c>
      <c r="CO44" s="3830"/>
      <c r="CP44" s="3830"/>
      <c r="CQ44" s="3830"/>
    </row>
    <row r="45" spans="1:95" s="335" customFormat="1" ht="12.75" x14ac:dyDescent="0.2">
      <c r="A45" s="334"/>
      <c r="B45" s="3839"/>
      <c r="C45" s="3840" t="s">
        <v>187</v>
      </c>
      <c r="D45" s="3841">
        <v>9.6690745326061922</v>
      </c>
      <c r="E45" s="3842"/>
      <c r="F45" s="3842">
        <v>7.1544990447711898</v>
      </c>
      <c r="G45" s="3842">
        <v>9.1298236892189308</v>
      </c>
      <c r="H45" s="3843">
        <v>9.7990149990723641</v>
      </c>
      <c r="I45" s="3841">
        <v>9.9593442253082856</v>
      </c>
      <c r="J45" s="3842">
        <v>10.65216088388572</v>
      </c>
      <c r="K45" s="3842">
        <v>7.7265495256930494</v>
      </c>
      <c r="L45" s="3843">
        <v>6.5617362329769779</v>
      </c>
      <c r="M45" s="3841">
        <v>6.5085679673837493</v>
      </c>
      <c r="N45" s="3842">
        <v>6.0804774256866922</v>
      </c>
      <c r="O45" s="3842">
        <v>7.6291228387665333</v>
      </c>
      <c r="P45" s="3843">
        <v>9.1451219295645814</v>
      </c>
      <c r="Q45" s="3841">
        <v>9.6107740626719895</v>
      </c>
      <c r="R45" s="3842">
        <v>9.3789086252066056</v>
      </c>
      <c r="S45" s="3842">
        <v>8.6163234263308741</v>
      </c>
      <c r="T45" s="3843">
        <v>6.8816620113169469</v>
      </c>
      <c r="U45" s="3841">
        <v>6.5767284991568031</v>
      </c>
      <c r="V45" s="3842">
        <v>6.9565217391304168</v>
      </c>
      <c r="W45" s="3842">
        <v>7.2505091649695208</v>
      </c>
      <c r="X45" s="3843">
        <v>7.4074074074073737</v>
      </c>
      <c r="Y45" s="3841">
        <v>7.2784810126582</v>
      </c>
      <c r="Z45" s="3842">
        <v>7.00735578784355</v>
      </c>
      <c r="AA45" s="3842">
        <v>6.7603494113178675</v>
      </c>
      <c r="AB45" s="3843">
        <v>6.7091454272864004</v>
      </c>
      <c r="AC45" s="3841">
        <v>7.1902654867256555</v>
      </c>
      <c r="AD45" s="3842">
        <v>7.8509406657019554</v>
      </c>
      <c r="AE45" s="3842">
        <v>8.0398434720736276</v>
      </c>
      <c r="AF45" s="3843">
        <v>7.7976817702845036</v>
      </c>
      <c r="AG45" s="3841">
        <v>7.602339181286899</v>
      </c>
      <c r="AH45" s="3842">
        <v>6.5414290506544459</v>
      </c>
      <c r="AI45" s="3842">
        <v>6.0915377016796501</v>
      </c>
      <c r="AJ45" s="3843">
        <v>6.2235255783646082</v>
      </c>
      <c r="AK45" s="3841">
        <v>7.4168797953960697</v>
      </c>
      <c r="AL45" s="3842">
        <v>8.7216624685135145</v>
      </c>
      <c r="AM45" s="3842">
        <v>9.9317194289264332</v>
      </c>
      <c r="AN45" s="3843">
        <v>11.134969325153342</v>
      </c>
      <c r="AO45" s="3841">
        <v>9.5238095238098239</v>
      </c>
      <c r="AP45" s="3842">
        <v>7.5296843324648144</v>
      </c>
      <c r="AQ45" s="3842">
        <v>6.0700169395815573</v>
      </c>
      <c r="AR45" s="3843">
        <v>4.1954181617438469</v>
      </c>
      <c r="AS45" s="3841">
        <v>4.4565217391298928</v>
      </c>
      <c r="AT45" s="3842">
        <v>4.6054403447347125</v>
      </c>
      <c r="AU45" s="3842">
        <v>3.8860793186055398</v>
      </c>
      <c r="AV45" s="3843">
        <v>4.3708609271523313</v>
      </c>
      <c r="AW45" s="3841">
        <v>3.4339229968782359</v>
      </c>
      <c r="AX45" s="3842">
        <v>3.7332646755918963</v>
      </c>
      <c r="AY45" s="3842">
        <v>4.5605944145526545</v>
      </c>
      <c r="AZ45" s="3843">
        <v>4.0609137055842792</v>
      </c>
      <c r="BA45" s="3841">
        <v>4.2002012072437367</v>
      </c>
      <c r="BB45" s="3842">
        <v>4.2194092827006591</v>
      </c>
      <c r="BC45" s="3842">
        <v>4.9742710120071365</v>
      </c>
      <c r="BD45" s="3843">
        <v>4.9756097560975654</v>
      </c>
      <c r="BE45" s="3841">
        <v>5.2377504223990012</v>
      </c>
      <c r="BF45" s="3842">
        <v>6.3586568230530771</v>
      </c>
      <c r="BG45" s="3842">
        <v>6.489262371615534</v>
      </c>
      <c r="BH45" s="3843">
        <v>7.9228624535311098</v>
      </c>
      <c r="BI45" s="3841">
        <v>9.4036697247708911</v>
      </c>
      <c r="BJ45" s="3842">
        <v>10.971786833855557</v>
      </c>
      <c r="BK45" s="3842">
        <v>13.217886891714127</v>
      </c>
      <c r="BL45" s="3843">
        <v>11.603875134553521</v>
      </c>
      <c r="BM45" s="3841">
        <v>8.377192982456183</v>
      </c>
      <c r="BN45" s="3842">
        <v>7.7711357813833315</v>
      </c>
      <c r="BO45" s="3842">
        <v>6.4182194616977606</v>
      </c>
      <c r="BP45" s="3843">
        <v>6.0805258833197318</v>
      </c>
      <c r="BQ45" s="3841">
        <v>5.6657223796034328</v>
      </c>
      <c r="BR45" s="3842">
        <v>4.5166402535657735</v>
      </c>
      <c r="BS45" s="3842">
        <v>3.463035019455174</v>
      </c>
      <c r="BT45" s="3843">
        <v>3.4469403563129664</v>
      </c>
      <c r="BU45" s="3841">
        <v>3.8299502106472261</v>
      </c>
      <c r="BV45" s="3842">
        <v>4.624715693707393</v>
      </c>
      <c r="BW45" s="3842">
        <v>5.4531778864234326</v>
      </c>
      <c r="BX45" s="3843">
        <v>6.0651441407711282</v>
      </c>
      <c r="BY45" s="3841">
        <v>6.1232017705643349</v>
      </c>
      <c r="BZ45" s="3842">
        <v>5.7608695652173969</v>
      </c>
      <c r="CA45" s="3842">
        <v>5.0998573466476849</v>
      </c>
      <c r="CB45" s="3843">
        <v>5.6477232615602668</v>
      </c>
      <c r="CC45" s="3841">
        <v>5.7003823427184575</v>
      </c>
      <c r="CD45" s="3842">
        <v>5.6526207605344325</v>
      </c>
      <c r="CE45" s="3842">
        <v>6.2436375975572167</v>
      </c>
      <c r="CF45" s="3843">
        <v>5.4126294687607546</v>
      </c>
      <c r="CG45" s="3841">
        <v>5.9191055573824203</v>
      </c>
      <c r="CH45" s="3842">
        <v>6.4526588845651656</v>
      </c>
      <c r="CI45" s="3842">
        <v>6.228042159054592</v>
      </c>
      <c r="CJ45" s="3843">
        <v>5.7369255150551357</v>
      </c>
      <c r="CK45" s="3844"/>
      <c r="CL45" s="3845"/>
      <c r="CM45" s="3845"/>
      <c r="CN45" s="3846"/>
      <c r="CO45" s="3839"/>
      <c r="CP45" s="3839"/>
      <c r="CQ45" s="3839"/>
    </row>
    <row r="46" spans="1:95" x14ac:dyDescent="0.25">
      <c r="B46" s="3847"/>
      <c r="C46" s="3848"/>
      <c r="D46" s="3849"/>
      <c r="E46" s="3849"/>
      <c r="F46" s="3849"/>
      <c r="G46" s="3849"/>
      <c r="H46" s="3849"/>
      <c r="I46" s="3849"/>
      <c r="J46" s="3849"/>
      <c r="K46" s="3849"/>
      <c r="L46" s="3849"/>
      <c r="M46" s="3849"/>
      <c r="N46" s="3849"/>
      <c r="O46" s="3849"/>
      <c r="P46" s="3849"/>
      <c r="Q46" s="3849"/>
      <c r="R46" s="3849"/>
      <c r="S46" s="3849"/>
      <c r="T46" s="3849"/>
      <c r="U46" s="3849"/>
      <c r="V46" s="3849"/>
      <c r="W46" s="3849"/>
      <c r="X46" s="3849"/>
      <c r="Y46" s="3849"/>
      <c r="Z46" s="3849"/>
      <c r="AA46" s="3849"/>
      <c r="AB46" s="3849"/>
      <c r="AC46" s="3849"/>
      <c r="AD46" s="3849"/>
      <c r="AE46" s="3849"/>
      <c r="AF46" s="3849"/>
      <c r="AG46" s="3849"/>
      <c r="AH46" s="3849"/>
      <c r="AI46" s="3849"/>
      <c r="AJ46" s="3849"/>
      <c r="AK46" s="3849"/>
      <c r="AL46" s="3849"/>
      <c r="AM46" s="3849"/>
      <c r="AN46" s="3849"/>
      <c r="AO46" s="3849"/>
      <c r="AP46" s="3849"/>
      <c r="AQ46" s="3849"/>
      <c r="AR46" s="3849"/>
      <c r="AS46" s="3849"/>
      <c r="AT46" s="3849"/>
      <c r="AU46" s="3849"/>
      <c r="AV46" s="3849"/>
      <c r="AW46" s="3849"/>
      <c r="AX46" s="3849"/>
      <c r="AY46" s="3849"/>
      <c r="AZ46" s="3849"/>
      <c r="BA46" s="3849"/>
      <c r="BB46" s="3849"/>
      <c r="BC46" s="3849"/>
      <c r="BD46" s="3849"/>
      <c r="BE46" s="3849"/>
      <c r="BF46" s="3849"/>
      <c r="BG46" s="3849"/>
      <c r="BH46" s="3849"/>
      <c r="BI46" s="3849"/>
      <c r="BJ46" s="3849"/>
      <c r="BK46" s="3849"/>
      <c r="BL46" s="3849"/>
      <c r="BM46" s="3849"/>
      <c r="BN46" s="3849"/>
      <c r="BO46" s="3849"/>
      <c r="BP46" s="3849"/>
      <c r="BQ46" s="3849"/>
      <c r="BR46" s="3849"/>
      <c r="BS46" s="3849"/>
      <c r="BT46" s="3849"/>
      <c r="BU46" s="3849"/>
      <c r="BV46" s="3849"/>
      <c r="BW46" s="3849"/>
      <c r="BX46" s="3849"/>
      <c r="BY46" s="3849"/>
      <c r="BZ46" s="3849"/>
      <c r="CA46" s="3849"/>
      <c r="CB46" s="3849"/>
      <c r="CC46" s="3849"/>
      <c r="CD46" s="3849"/>
      <c r="CE46" s="3849"/>
      <c r="CF46" s="3849"/>
      <c r="CG46" s="3849"/>
      <c r="CH46" s="3849"/>
      <c r="CI46" s="3849"/>
      <c r="CJ46" s="3849"/>
      <c r="CK46" s="3849"/>
      <c r="CL46" s="3849"/>
      <c r="CM46" s="3849"/>
      <c r="CN46" s="3849"/>
      <c r="CO46" s="3849"/>
      <c r="CP46" s="3849"/>
      <c r="CQ46" s="3849"/>
    </row>
    <row r="47" spans="1:95" hidden="1" x14ac:dyDescent="0.25">
      <c r="B47" s="3847"/>
      <c r="C47" s="3848"/>
      <c r="D47" s="3849"/>
      <c r="E47" s="3849"/>
      <c r="F47" s="3849"/>
      <c r="G47" s="3849"/>
      <c r="H47" s="3849"/>
      <c r="I47" s="3849"/>
      <c r="J47" s="3849"/>
      <c r="K47" s="3849"/>
      <c r="L47" s="3849"/>
      <c r="M47" s="3849"/>
      <c r="N47" s="3849"/>
      <c r="O47" s="3849"/>
      <c r="P47" s="3849"/>
      <c r="Q47" s="3849"/>
      <c r="R47" s="3849"/>
      <c r="S47" s="3849"/>
      <c r="T47" s="3849"/>
      <c r="U47" s="3849"/>
      <c r="V47" s="3849"/>
      <c r="W47" s="3849"/>
      <c r="X47" s="3849"/>
      <c r="Y47" s="3849"/>
      <c r="Z47" s="3849"/>
      <c r="AA47" s="3849"/>
      <c r="AB47" s="3849"/>
      <c r="AC47" s="3849"/>
      <c r="AD47" s="3849"/>
      <c r="AE47" s="3849"/>
      <c r="AF47" s="3849"/>
      <c r="AG47" s="3849"/>
      <c r="AH47" s="3849"/>
      <c r="AI47" s="3849"/>
      <c r="AJ47" s="3849"/>
      <c r="AK47" s="3849"/>
      <c r="AL47" s="3849"/>
      <c r="AM47" s="3849"/>
      <c r="AN47" s="3849"/>
      <c r="AO47" s="3849"/>
      <c r="AP47" s="3849"/>
      <c r="AQ47" s="3849"/>
      <c r="AR47" s="3849"/>
      <c r="AS47" s="3849"/>
      <c r="AT47" s="3849"/>
      <c r="AU47" s="3849"/>
      <c r="AV47" s="3849"/>
      <c r="AW47" s="3849"/>
      <c r="AX47" s="3849"/>
      <c r="AY47" s="3849"/>
      <c r="AZ47" s="3849"/>
      <c r="BA47" s="3849"/>
      <c r="BB47" s="3850"/>
      <c r="BC47" s="3849"/>
      <c r="BD47" s="3849"/>
      <c r="BE47" s="3849"/>
      <c r="BF47" s="3849"/>
      <c r="BG47" s="3849"/>
      <c r="BH47" s="3849"/>
      <c r="BI47" s="3849"/>
      <c r="BJ47" s="3849"/>
      <c r="BK47" s="3849"/>
      <c r="BL47" s="3849"/>
      <c r="BM47" s="3851"/>
      <c r="BN47" s="3849"/>
      <c r="BO47" s="3849"/>
      <c r="BP47" s="3849"/>
      <c r="BQ47" s="3849"/>
      <c r="BR47" s="3849"/>
      <c r="BS47" s="3849"/>
      <c r="BT47" s="3849"/>
      <c r="BU47" s="3849"/>
      <c r="BV47" s="3849"/>
      <c r="BW47" s="3849"/>
      <c r="BX47" s="3849"/>
      <c r="BY47" s="3849"/>
      <c r="BZ47" s="3849"/>
      <c r="CA47" s="3849"/>
      <c r="CB47" s="3849"/>
      <c r="CC47" s="3849"/>
      <c r="CD47" s="3849"/>
      <c r="CE47" s="3851"/>
      <c r="CF47" s="3849"/>
      <c r="CG47" s="3849"/>
      <c r="CH47" s="3849"/>
      <c r="CI47" s="3849"/>
      <c r="CJ47" s="3849"/>
      <c r="CK47" s="3849"/>
      <c r="CL47" s="3849"/>
      <c r="CM47" s="3849"/>
      <c r="CN47" s="3849"/>
      <c r="CO47" s="3849"/>
      <c r="CP47" s="3849"/>
      <c r="CQ47" s="3849"/>
    </row>
    <row r="48" spans="1:95" hidden="1" x14ac:dyDescent="0.25">
      <c r="B48" s="3847"/>
      <c r="C48" s="3848"/>
      <c r="D48" s="3849"/>
      <c r="E48" s="3849"/>
      <c r="F48" s="3849"/>
      <c r="G48" s="3849"/>
      <c r="H48" s="3849"/>
      <c r="I48" s="3849"/>
      <c r="J48" s="3849"/>
      <c r="K48" s="3849"/>
      <c r="L48" s="3849"/>
      <c r="M48" s="3849"/>
      <c r="N48" s="3849"/>
      <c r="O48" s="3849"/>
      <c r="P48" s="3849"/>
      <c r="Q48" s="3849"/>
      <c r="R48" s="3849"/>
      <c r="S48" s="3849"/>
      <c r="T48" s="3849"/>
      <c r="U48" s="3849"/>
      <c r="V48" s="3849"/>
      <c r="W48" s="3849"/>
      <c r="X48" s="3849"/>
      <c r="Y48" s="3849"/>
      <c r="Z48" s="3849"/>
      <c r="AA48" s="3849"/>
      <c r="AB48" s="3849"/>
      <c r="AC48" s="3849"/>
      <c r="AD48" s="3849"/>
      <c r="AE48" s="3849"/>
      <c r="AF48" s="3849"/>
      <c r="AG48" s="3849"/>
      <c r="AH48" s="3849"/>
      <c r="AI48" s="3849"/>
      <c r="AJ48" s="3849"/>
      <c r="AK48" s="3849"/>
      <c r="AL48" s="3849"/>
      <c r="AM48" s="3849"/>
      <c r="AN48" s="3849"/>
      <c r="AO48" s="3849"/>
      <c r="AP48" s="3849"/>
      <c r="AQ48" s="3849"/>
      <c r="AR48" s="3849"/>
      <c r="AS48" s="3849"/>
      <c r="AT48" s="3849"/>
      <c r="AU48" s="3849"/>
      <c r="AV48" s="3849"/>
      <c r="AW48" s="3849"/>
      <c r="AX48" s="3849"/>
      <c r="AY48" s="3849"/>
      <c r="AZ48" s="3849"/>
      <c r="BA48" s="3849"/>
      <c r="BB48" s="3850"/>
      <c r="BC48" s="3849"/>
      <c r="BD48" s="3849"/>
      <c r="BE48" s="3849"/>
      <c r="BF48" s="3849"/>
      <c r="BG48" s="3849"/>
      <c r="BH48" s="3849"/>
      <c r="BI48" s="3849"/>
      <c r="BJ48" s="3849"/>
      <c r="BK48" s="3849"/>
      <c r="BL48" s="3849"/>
      <c r="BM48" s="3851"/>
      <c r="BN48" s="3849"/>
      <c r="BO48" s="3849"/>
      <c r="BP48" s="3849"/>
      <c r="BQ48" s="3849"/>
      <c r="BR48" s="3849"/>
      <c r="BS48" s="3849"/>
      <c r="BT48" s="3849"/>
      <c r="BU48" s="3849"/>
      <c r="BV48" s="3849"/>
      <c r="BW48" s="3849"/>
      <c r="BX48" s="3849"/>
      <c r="BY48" s="3849"/>
      <c r="BZ48" s="3849"/>
      <c r="CA48" s="3849"/>
      <c r="CB48" s="3849"/>
      <c r="CC48" s="3849"/>
      <c r="CD48" s="3849"/>
      <c r="CE48" s="3851"/>
      <c r="CF48" s="3849"/>
      <c r="CG48" s="3849"/>
      <c r="CH48" s="3849"/>
      <c r="CI48" s="3849"/>
      <c r="CJ48" s="3849"/>
      <c r="CK48" s="3849"/>
      <c r="CL48" s="3849"/>
      <c r="CM48" s="3849"/>
      <c r="CN48" s="3849"/>
      <c r="CO48" s="3849"/>
      <c r="CP48" s="3849"/>
      <c r="CQ48" s="3849"/>
    </row>
    <row r="49" spans="2:95" hidden="1" x14ac:dyDescent="0.25">
      <c r="B49" s="3847"/>
      <c r="C49" s="3848"/>
      <c r="D49" s="3849"/>
      <c r="E49" s="3849"/>
      <c r="F49" s="3849"/>
      <c r="G49" s="3849"/>
      <c r="H49" s="3849"/>
      <c r="I49" s="3849"/>
      <c r="J49" s="3849"/>
      <c r="K49" s="3849"/>
      <c r="L49" s="3849"/>
      <c r="M49" s="3849"/>
      <c r="N49" s="3849"/>
      <c r="O49" s="3849"/>
      <c r="P49" s="3849"/>
      <c r="Q49" s="3849"/>
      <c r="R49" s="3849"/>
      <c r="S49" s="3849"/>
      <c r="T49" s="3849"/>
      <c r="U49" s="3849"/>
      <c r="V49" s="3849"/>
      <c r="W49" s="3849"/>
      <c r="X49" s="3849"/>
      <c r="Y49" s="3849"/>
      <c r="Z49" s="3849"/>
      <c r="AA49" s="3849"/>
      <c r="AB49" s="3849"/>
      <c r="AC49" s="3849"/>
      <c r="AD49" s="3849"/>
      <c r="AE49" s="3849"/>
      <c r="AF49" s="3849"/>
      <c r="AG49" s="3849"/>
      <c r="AH49" s="3849"/>
      <c r="AI49" s="3849"/>
      <c r="AJ49" s="3849"/>
      <c r="AK49" s="3849"/>
      <c r="AL49" s="3849"/>
      <c r="AM49" s="3849"/>
      <c r="AN49" s="3849"/>
      <c r="AO49" s="3849"/>
      <c r="AP49" s="3849"/>
      <c r="AQ49" s="3849"/>
      <c r="AR49" s="3849"/>
      <c r="AS49" s="3849"/>
      <c r="AT49" s="3849"/>
      <c r="AU49" s="3849"/>
      <c r="AV49" s="3849"/>
      <c r="AW49" s="3849"/>
      <c r="AX49" s="3849"/>
      <c r="AY49" s="3849"/>
      <c r="AZ49" s="3849"/>
      <c r="BA49" s="3849"/>
      <c r="BB49" s="3852"/>
      <c r="BC49" s="3849"/>
      <c r="BD49" s="3849"/>
      <c r="BE49" s="3849"/>
      <c r="BF49" s="3849"/>
      <c r="BG49" s="3849"/>
      <c r="BH49" s="3849"/>
      <c r="BI49" s="3849"/>
      <c r="BJ49" s="3849"/>
      <c r="BK49" s="3849"/>
      <c r="BL49" s="3849"/>
      <c r="BM49" s="3851"/>
      <c r="BN49" s="3849"/>
      <c r="BO49" s="3849"/>
      <c r="BP49" s="3849"/>
      <c r="BQ49" s="3849"/>
      <c r="BR49" s="3849"/>
      <c r="BS49" s="3849"/>
      <c r="BT49" s="3849"/>
      <c r="BU49" s="3849"/>
      <c r="BV49" s="3849"/>
      <c r="BW49" s="3849"/>
      <c r="BX49" s="3849"/>
      <c r="BY49" s="3849"/>
      <c r="BZ49" s="3849"/>
      <c r="CA49" s="3849"/>
      <c r="CB49" s="3849"/>
      <c r="CC49" s="3849"/>
      <c r="CD49" s="3849"/>
      <c r="CE49" s="3851"/>
      <c r="CF49" s="3849"/>
      <c r="CG49" s="3849"/>
      <c r="CH49" s="3849"/>
      <c r="CI49" s="3849"/>
      <c r="CJ49" s="3849"/>
      <c r="CK49" s="3849"/>
      <c r="CL49" s="3849"/>
      <c r="CM49" s="3849"/>
      <c r="CN49" s="3849"/>
      <c r="CO49" s="3849"/>
      <c r="CP49" s="3849"/>
      <c r="CQ49" s="3849"/>
    </row>
    <row r="50" spans="2:95" hidden="1" x14ac:dyDescent="0.25">
      <c r="B50" s="3847"/>
      <c r="C50" s="3848"/>
      <c r="D50" s="3849"/>
      <c r="E50" s="3849"/>
      <c r="F50" s="3849"/>
      <c r="G50" s="3849"/>
      <c r="H50" s="3849"/>
      <c r="I50" s="3849"/>
      <c r="J50" s="3849"/>
      <c r="K50" s="3849"/>
      <c r="L50" s="3849"/>
      <c r="M50" s="3849"/>
      <c r="N50" s="3849"/>
      <c r="O50" s="3849"/>
      <c r="P50" s="3849"/>
      <c r="Q50" s="3849"/>
      <c r="R50" s="3849"/>
      <c r="S50" s="3849"/>
      <c r="T50" s="3849"/>
      <c r="U50" s="3849"/>
      <c r="V50" s="3849"/>
      <c r="W50" s="3849"/>
      <c r="X50" s="3849"/>
      <c r="Y50" s="3849"/>
      <c r="Z50" s="3849"/>
      <c r="AA50" s="3849"/>
      <c r="AB50" s="3849"/>
      <c r="AC50" s="3849"/>
      <c r="AD50" s="3849"/>
      <c r="AE50" s="3849"/>
      <c r="AF50" s="3849"/>
      <c r="AG50" s="3849"/>
      <c r="AH50" s="3849"/>
      <c r="AI50" s="3849"/>
      <c r="AJ50" s="3849"/>
      <c r="AK50" s="3849"/>
      <c r="AL50" s="3849"/>
      <c r="AM50" s="3849"/>
      <c r="AN50" s="3849"/>
      <c r="AO50" s="3849"/>
      <c r="AP50" s="3849"/>
      <c r="AQ50" s="3849"/>
      <c r="AR50" s="3849"/>
      <c r="AS50" s="3849"/>
      <c r="AT50" s="3849"/>
      <c r="AU50" s="3849"/>
      <c r="AV50" s="3849"/>
      <c r="AW50" s="3849"/>
      <c r="AX50" s="3849"/>
      <c r="AY50" s="3849"/>
      <c r="AZ50" s="3849"/>
      <c r="BA50" s="3849"/>
      <c r="BB50" s="3852"/>
      <c r="BC50" s="3849"/>
      <c r="BD50" s="3849"/>
      <c r="BE50" s="3849"/>
      <c r="BF50" s="3849"/>
      <c r="BG50" s="3849"/>
      <c r="BH50" s="3849"/>
      <c r="BI50" s="3849"/>
      <c r="BJ50" s="3849"/>
      <c r="BK50" s="3849"/>
      <c r="BL50" s="3849"/>
      <c r="BM50" s="3851"/>
      <c r="BN50" s="3849"/>
      <c r="BO50" s="3849"/>
      <c r="BP50" s="3849"/>
      <c r="BQ50" s="3849"/>
      <c r="BR50" s="3849"/>
      <c r="BS50" s="3849"/>
      <c r="BT50" s="3849"/>
      <c r="BU50" s="3849"/>
      <c r="BV50" s="3849"/>
      <c r="BW50" s="3849"/>
      <c r="BX50" s="3849"/>
      <c r="BY50" s="3849"/>
      <c r="BZ50" s="3849"/>
      <c r="CA50" s="3849"/>
      <c r="CB50" s="3849"/>
      <c r="CC50" s="3849"/>
      <c r="CD50" s="3849"/>
      <c r="CE50" s="3851"/>
      <c r="CF50" s="3849"/>
      <c r="CG50" s="3849"/>
      <c r="CH50" s="3849"/>
      <c r="CI50" s="3849"/>
      <c r="CJ50" s="3849"/>
      <c r="CK50" s="3849"/>
      <c r="CL50" s="3849"/>
      <c r="CM50" s="3849"/>
      <c r="CN50" s="3849"/>
      <c r="CO50" s="3849"/>
      <c r="CP50" s="3849"/>
      <c r="CQ50" s="3849"/>
    </row>
    <row r="51" spans="2:95" hidden="1" x14ac:dyDescent="0.25">
      <c r="B51" s="3847"/>
      <c r="C51" s="3848"/>
      <c r="D51" s="3849"/>
      <c r="E51" s="3849"/>
      <c r="F51" s="3849"/>
      <c r="G51" s="3849"/>
      <c r="H51" s="3849"/>
      <c r="I51" s="3849"/>
      <c r="J51" s="3849"/>
      <c r="K51" s="3849"/>
      <c r="L51" s="3849"/>
      <c r="M51" s="3849"/>
      <c r="N51" s="3849"/>
      <c r="O51" s="3849"/>
      <c r="P51" s="3849"/>
      <c r="Q51" s="3849"/>
      <c r="R51" s="3849"/>
      <c r="S51" s="3849"/>
      <c r="T51" s="3849"/>
      <c r="U51" s="3849"/>
      <c r="V51" s="3849"/>
      <c r="W51" s="3849"/>
      <c r="X51" s="3849"/>
      <c r="Y51" s="3849"/>
      <c r="Z51" s="3849"/>
      <c r="AA51" s="3849"/>
      <c r="AB51" s="3849"/>
      <c r="AC51" s="3849"/>
      <c r="AD51" s="3849"/>
      <c r="AE51" s="3849"/>
      <c r="AF51" s="3849"/>
      <c r="AG51" s="3849"/>
      <c r="AH51" s="3849"/>
      <c r="AI51" s="3849"/>
      <c r="AJ51" s="3849"/>
      <c r="AK51" s="3849"/>
      <c r="AL51" s="3849"/>
      <c r="AM51" s="3849"/>
      <c r="AN51" s="3849"/>
      <c r="AO51" s="3849"/>
      <c r="AP51" s="3849"/>
      <c r="AQ51" s="3849"/>
      <c r="AR51" s="3849"/>
      <c r="AS51" s="3849"/>
      <c r="AT51" s="3849"/>
      <c r="AU51" s="3849"/>
      <c r="AV51" s="3849"/>
      <c r="AW51" s="3849"/>
      <c r="AX51" s="3849"/>
      <c r="AY51" s="3849"/>
      <c r="AZ51" s="3849"/>
      <c r="BA51" s="3849"/>
      <c r="BB51" s="3849"/>
      <c r="BC51" s="3849"/>
      <c r="BD51" s="3849"/>
      <c r="BE51" s="3849"/>
      <c r="BF51" s="3849"/>
      <c r="BG51" s="3849"/>
      <c r="BH51" s="3849"/>
      <c r="BI51" s="3849"/>
      <c r="BJ51" s="3849"/>
      <c r="BK51" s="3849"/>
      <c r="BL51" s="3849"/>
      <c r="BM51" s="3851"/>
      <c r="BN51" s="3849"/>
      <c r="BO51" s="3849"/>
      <c r="BP51" s="3849"/>
      <c r="BQ51" s="3849"/>
      <c r="BR51" s="3849"/>
      <c r="BS51" s="3849"/>
      <c r="BT51" s="3849"/>
      <c r="BU51" s="3849"/>
      <c r="BV51" s="3849"/>
      <c r="BW51" s="3849"/>
      <c r="BX51" s="3849"/>
      <c r="BY51" s="3849"/>
      <c r="BZ51" s="3849"/>
      <c r="CA51" s="3849"/>
      <c r="CB51" s="3849"/>
      <c r="CC51" s="3849"/>
      <c r="CD51" s="3849"/>
      <c r="CE51" s="3849"/>
      <c r="CF51" s="3849"/>
      <c r="CG51" s="3849"/>
      <c r="CH51" s="3849"/>
      <c r="CI51" s="3849"/>
      <c r="CJ51" s="3849"/>
      <c r="CK51" s="3849"/>
      <c r="CL51" s="3849"/>
      <c r="CM51" s="3849"/>
      <c r="CN51" s="3849"/>
      <c r="CO51" s="3849"/>
      <c r="CP51" s="3849"/>
      <c r="CQ51" s="3849"/>
    </row>
    <row r="52" spans="2:95" hidden="1" x14ac:dyDescent="0.25">
      <c r="B52" s="3847"/>
      <c r="C52" s="3848"/>
      <c r="D52" s="3849"/>
      <c r="E52" s="3849"/>
      <c r="F52" s="3849"/>
      <c r="G52" s="3849"/>
      <c r="H52" s="3849"/>
      <c r="I52" s="3849"/>
      <c r="J52" s="3849"/>
      <c r="K52" s="3849"/>
      <c r="L52" s="3849"/>
      <c r="M52" s="3849"/>
      <c r="N52" s="3849"/>
      <c r="O52" s="3849"/>
      <c r="P52" s="3849"/>
      <c r="Q52" s="3849"/>
      <c r="R52" s="3849"/>
      <c r="S52" s="3849"/>
      <c r="T52" s="3849"/>
      <c r="U52" s="3849"/>
      <c r="V52" s="3849"/>
      <c r="W52" s="3849"/>
      <c r="X52" s="3849"/>
      <c r="Y52" s="3849"/>
      <c r="Z52" s="3849"/>
      <c r="AA52" s="3849"/>
      <c r="AB52" s="3849"/>
      <c r="AC52" s="3849"/>
      <c r="AD52" s="3849"/>
      <c r="AE52" s="3849"/>
      <c r="AF52" s="3849"/>
      <c r="AG52" s="3849"/>
      <c r="AH52" s="3849"/>
      <c r="AI52" s="3849"/>
      <c r="AJ52" s="3849"/>
      <c r="AK52" s="3849"/>
      <c r="AL52" s="3849"/>
      <c r="AM52" s="3849"/>
      <c r="AN52" s="3849"/>
      <c r="AO52" s="3849"/>
      <c r="AP52" s="3849"/>
      <c r="AQ52" s="3849"/>
      <c r="AR52" s="3849"/>
      <c r="AS52" s="3849"/>
      <c r="AT52" s="3849"/>
      <c r="AU52" s="3849"/>
      <c r="AV52" s="3849"/>
      <c r="AW52" s="3849"/>
      <c r="AX52" s="3849"/>
      <c r="AY52" s="3849"/>
      <c r="AZ52" s="3849"/>
      <c r="BA52" s="3849"/>
      <c r="BB52" s="3849"/>
      <c r="BC52" s="3849"/>
      <c r="BD52" s="3849"/>
      <c r="BE52" s="3849"/>
      <c r="BF52" s="3849"/>
      <c r="BG52" s="3849"/>
      <c r="BH52" s="3849"/>
      <c r="BI52" s="3849"/>
      <c r="BJ52" s="3849"/>
      <c r="BK52" s="3849"/>
      <c r="BL52" s="3849"/>
      <c r="BM52" s="3851"/>
      <c r="BN52" s="3849"/>
      <c r="BO52" s="3849"/>
      <c r="BP52" s="3849"/>
      <c r="BQ52" s="3849"/>
      <c r="BR52" s="3849"/>
      <c r="BS52" s="3849"/>
      <c r="BT52" s="3849"/>
      <c r="BU52" s="3849"/>
      <c r="BV52" s="3849"/>
      <c r="BW52" s="3849"/>
      <c r="BX52" s="3849"/>
      <c r="BY52" s="3849"/>
      <c r="BZ52" s="3849"/>
      <c r="CA52" s="3849"/>
      <c r="CB52" s="3849"/>
      <c r="CC52" s="3849"/>
      <c r="CD52" s="3849"/>
      <c r="CE52" s="3849"/>
      <c r="CF52" s="3849"/>
      <c r="CG52" s="3849"/>
      <c r="CH52" s="3849"/>
      <c r="CI52" s="3849"/>
      <c r="CJ52" s="3849"/>
      <c r="CK52" s="3849"/>
      <c r="CL52" s="3849"/>
      <c r="CM52" s="3849"/>
      <c r="CN52" s="3849"/>
      <c r="CO52" s="3849"/>
      <c r="CP52" s="3849"/>
      <c r="CQ52" s="3849"/>
    </row>
    <row r="53" spans="2:95" hidden="1" x14ac:dyDescent="0.25">
      <c r="B53" s="3847"/>
      <c r="C53" s="3848"/>
      <c r="D53" s="3849"/>
      <c r="E53" s="3849"/>
      <c r="F53" s="3849"/>
      <c r="G53" s="3849"/>
      <c r="H53" s="3849"/>
      <c r="I53" s="3849"/>
      <c r="J53" s="3849"/>
      <c r="K53" s="3849"/>
      <c r="L53" s="3849"/>
      <c r="M53" s="3849"/>
      <c r="N53" s="3849"/>
      <c r="O53" s="3849"/>
      <c r="P53" s="3849"/>
      <c r="Q53" s="3849"/>
      <c r="R53" s="3849"/>
      <c r="S53" s="3849"/>
      <c r="T53" s="3849"/>
      <c r="U53" s="3849"/>
      <c r="V53" s="3849"/>
      <c r="W53" s="3849"/>
      <c r="X53" s="3849"/>
      <c r="Y53" s="3849"/>
      <c r="Z53" s="3849"/>
      <c r="AA53" s="3849"/>
      <c r="AB53" s="3849"/>
      <c r="AC53" s="3849"/>
      <c r="AD53" s="3849"/>
      <c r="AE53" s="3849"/>
      <c r="AF53" s="3849"/>
      <c r="AG53" s="3849"/>
      <c r="AH53" s="3849"/>
      <c r="AI53" s="3849"/>
      <c r="AJ53" s="3849"/>
      <c r="AK53" s="3849"/>
      <c r="AL53" s="3849"/>
      <c r="AM53" s="3849"/>
      <c r="AN53" s="3849"/>
      <c r="AO53" s="3849"/>
      <c r="AP53" s="3849"/>
      <c r="AQ53" s="3849"/>
      <c r="AR53" s="3849"/>
      <c r="AS53" s="3849"/>
      <c r="AT53" s="3849"/>
      <c r="AU53" s="3849"/>
      <c r="AV53" s="3849"/>
      <c r="AW53" s="3849"/>
      <c r="AX53" s="3849"/>
      <c r="AY53" s="3849"/>
      <c r="AZ53" s="3849"/>
      <c r="BA53" s="3849"/>
      <c r="BB53" s="3849"/>
      <c r="BC53" s="3849"/>
      <c r="BD53" s="3849"/>
      <c r="BE53" s="3849"/>
      <c r="BF53" s="3849"/>
      <c r="BG53" s="3849"/>
      <c r="BH53" s="3849"/>
      <c r="BI53" s="3849"/>
      <c r="BJ53" s="3849"/>
      <c r="BK53" s="3849"/>
      <c r="BL53" s="3849"/>
      <c r="BM53" s="3851"/>
      <c r="BN53" s="3849"/>
      <c r="BO53" s="3849"/>
      <c r="BP53" s="3849"/>
      <c r="BQ53" s="3849"/>
      <c r="BR53" s="3849"/>
      <c r="BS53" s="3849"/>
      <c r="BT53" s="3849"/>
      <c r="BU53" s="3849"/>
      <c r="BV53" s="3849"/>
      <c r="BW53" s="3849"/>
      <c r="BX53" s="3849"/>
      <c r="BY53" s="3849"/>
      <c r="BZ53" s="3849"/>
      <c r="CA53" s="3849"/>
      <c r="CB53" s="3849"/>
      <c r="CC53" s="3849"/>
      <c r="CD53" s="3849"/>
      <c r="CE53" s="3849"/>
      <c r="CF53" s="3849"/>
      <c r="CG53" s="3849"/>
      <c r="CH53" s="3849"/>
      <c r="CI53" s="3849"/>
      <c r="CJ53" s="3849"/>
      <c r="CK53" s="3849"/>
      <c r="CL53" s="3849"/>
      <c r="CM53" s="3849"/>
      <c r="CN53" s="3849"/>
      <c r="CO53" s="3849"/>
      <c r="CP53" s="3849"/>
      <c r="CQ53" s="3849"/>
    </row>
    <row r="54" spans="2:95" hidden="1" x14ac:dyDescent="0.25">
      <c r="B54" s="3847"/>
      <c r="C54" s="3848"/>
      <c r="D54" s="3849"/>
      <c r="E54" s="3849"/>
      <c r="F54" s="3849"/>
      <c r="G54" s="3849"/>
      <c r="H54" s="3849"/>
      <c r="I54" s="3849"/>
      <c r="J54" s="3849"/>
      <c r="K54" s="3849"/>
      <c r="L54" s="3849"/>
      <c r="M54" s="3849"/>
      <c r="N54" s="3849"/>
      <c r="O54" s="3849"/>
      <c r="P54" s="3849"/>
      <c r="Q54" s="3849"/>
      <c r="R54" s="3849"/>
      <c r="S54" s="3849"/>
      <c r="T54" s="3849"/>
      <c r="U54" s="3849"/>
      <c r="V54" s="3849"/>
      <c r="W54" s="3849"/>
      <c r="X54" s="3849"/>
      <c r="Y54" s="3849"/>
      <c r="Z54" s="3849"/>
      <c r="AA54" s="3849"/>
      <c r="AB54" s="3849"/>
      <c r="AC54" s="3849"/>
      <c r="AD54" s="3849"/>
      <c r="AE54" s="3849"/>
      <c r="AF54" s="3849"/>
      <c r="AG54" s="3849"/>
      <c r="AH54" s="3849"/>
      <c r="AI54" s="3849"/>
      <c r="AJ54" s="3849"/>
      <c r="AK54" s="3849"/>
      <c r="AL54" s="3849"/>
      <c r="AM54" s="3849"/>
      <c r="AN54" s="3849"/>
      <c r="AO54" s="3849"/>
      <c r="AP54" s="3849"/>
      <c r="AQ54" s="3849"/>
      <c r="AR54" s="3849"/>
      <c r="AS54" s="3849"/>
      <c r="AT54" s="3849"/>
      <c r="AU54" s="3849"/>
      <c r="AV54" s="3849"/>
      <c r="AW54" s="3849"/>
      <c r="AX54" s="3849"/>
      <c r="AY54" s="3849"/>
      <c r="AZ54" s="3849"/>
      <c r="BA54" s="3849"/>
      <c r="BB54" s="3849"/>
      <c r="BC54" s="3849"/>
      <c r="BD54" s="3849"/>
      <c r="BE54" s="3849"/>
      <c r="BF54" s="3849"/>
      <c r="BG54" s="3849"/>
      <c r="BH54" s="3849"/>
      <c r="BI54" s="3849"/>
      <c r="BJ54" s="3849"/>
      <c r="BK54" s="3849"/>
      <c r="BL54" s="3849"/>
      <c r="BM54" s="3851"/>
      <c r="BN54" s="3849"/>
      <c r="BO54" s="3849"/>
      <c r="BP54" s="3849"/>
      <c r="BQ54" s="3849"/>
      <c r="BR54" s="3849"/>
      <c r="BS54" s="3849"/>
      <c r="BT54" s="3849"/>
      <c r="BU54" s="3849"/>
      <c r="BV54" s="3849"/>
      <c r="BW54" s="3849"/>
      <c r="BX54" s="3849"/>
      <c r="BY54" s="3849"/>
      <c r="BZ54" s="3849"/>
      <c r="CA54" s="3849"/>
      <c r="CB54" s="3849"/>
      <c r="CC54" s="3849"/>
      <c r="CD54" s="3849"/>
      <c r="CE54" s="3849"/>
      <c r="CF54" s="3849"/>
      <c r="CG54" s="3849"/>
      <c r="CH54" s="3849"/>
      <c r="CI54" s="3849"/>
      <c r="CJ54" s="3849"/>
      <c r="CK54" s="3849"/>
      <c r="CL54" s="3849"/>
      <c r="CM54" s="3849"/>
      <c r="CN54" s="3849"/>
      <c r="CO54" s="3849"/>
      <c r="CP54" s="3849"/>
      <c r="CQ54" s="3849"/>
    </row>
    <row r="55" spans="2:95" hidden="1" x14ac:dyDescent="0.25">
      <c r="B55" s="3847"/>
      <c r="C55" s="3848"/>
      <c r="D55" s="3849"/>
      <c r="E55" s="3849"/>
      <c r="F55" s="3849"/>
      <c r="G55" s="3849"/>
      <c r="H55" s="3849"/>
      <c r="I55" s="3849"/>
      <c r="J55" s="3849"/>
      <c r="K55" s="3849"/>
      <c r="L55" s="3849"/>
      <c r="M55" s="3849"/>
      <c r="N55" s="3849"/>
      <c r="O55" s="3849"/>
      <c r="P55" s="3849"/>
      <c r="Q55" s="3849"/>
      <c r="R55" s="3849"/>
      <c r="S55" s="3849"/>
      <c r="T55" s="3849"/>
      <c r="U55" s="3849"/>
      <c r="V55" s="3849"/>
      <c r="W55" s="3849"/>
      <c r="X55" s="3849"/>
      <c r="Y55" s="3849"/>
      <c r="Z55" s="3849"/>
      <c r="AA55" s="3849"/>
      <c r="AB55" s="3849"/>
      <c r="AC55" s="3849"/>
      <c r="AD55" s="3849"/>
      <c r="AE55" s="3849"/>
      <c r="AF55" s="3849"/>
      <c r="AG55" s="3849"/>
      <c r="AH55" s="3849"/>
      <c r="AI55" s="3849"/>
      <c r="AJ55" s="3849"/>
      <c r="AK55" s="3849"/>
      <c r="AL55" s="3849"/>
      <c r="AM55" s="3849"/>
      <c r="AN55" s="3849"/>
      <c r="AO55" s="3849"/>
      <c r="AP55" s="3849"/>
      <c r="AQ55" s="3849"/>
      <c r="AR55" s="3849"/>
      <c r="AS55" s="3849"/>
      <c r="AT55" s="3849"/>
      <c r="AU55" s="3849"/>
      <c r="AV55" s="3849"/>
      <c r="AW55" s="3849"/>
      <c r="AX55" s="3849"/>
      <c r="AY55" s="3849"/>
      <c r="AZ55" s="3849"/>
      <c r="BA55" s="3849"/>
      <c r="BB55" s="3849"/>
      <c r="BC55" s="3849"/>
      <c r="BD55" s="3849"/>
      <c r="BE55" s="3849"/>
      <c r="BF55" s="3849"/>
      <c r="BG55" s="3849"/>
      <c r="BH55" s="3849"/>
      <c r="BI55" s="3849"/>
      <c r="BJ55" s="3849"/>
      <c r="BK55" s="3849"/>
      <c r="BL55" s="3849"/>
      <c r="BM55" s="3851"/>
      <c r="BN55" s="3849"/>
      <c r="BO55" s="3849"/>
      <c r="BP55" s="3849"/>
      <c r="BQ55" s="3849"/>
      <c r="BR55" s="3849"/>
      <c r="BS55" s="3849"/>
      <c r="BT55" s="3849"/>
      <c r="BU55" s="3849"/>
      <c r="BV55" s="3849"/>
      <c r="BW55" s="3849"/>
      <c r="BX55" s="3849"/>
      <c r="BY55" s="3849"/>
      <c r="BZ55" s="3849"/>
      <c r="CA55" s="3849"/>
      <c r="CB55" s="3849"/>
      <c r="CC55" s="3849"/>
      <c r="CD55" s="3849"/>
      <c r="CE55" s="3849"/>
      <c r="CF55" s="3849"/>
      <c r="CG55" s="3849"/>
      <c r="CH55" s="3849"/>
      <c r="CI55" s="3849"/>
      <c r="CJ55" s="3849"/>
      <c r="CK55" s="3849"/>
      <c r="CL55" s="3849"/>
      <c r="CM55" s="3849"/>
      <c r="CN55" s="3849"/>
      <c r="CO55" s="3849"/>
      <c r="CP55" s="3849"/>
      <c r="CQ55" s="3849"/>
    </row>
    <row r="56" spans="2:95" hidden="1" x14ac:dyDescent="0.25">
      <c r="B56" s="3847"/>
      <c r="C56" s="3848"/>
      <c r="D56" s="3849"/>
      <c r="E56" s="3849"/>
      <c r="F56" s="3849"/>
      <c r="G56" s="3849"/>
      <c r="H56" s="3849"/>
      <c r="I56" s="3849"/>
      <c r="J56" s="3849"/>
      <c r="K56" s="3849"/>
      <c r="L56" s="3849"/>
      <c r="M56" s="3849"/>
      <c r="N56" s="3849"/>
      <c r="O56" s="3849"/>
      <c r="P56" s="3849"/>
      <c r="Q56" s="3849"/>
      <c r="R56" s="3849"/>
      <c r="S56" s="3849"/>
      <c r="T56" s="3849"/>
      <c r="U56" s="3849"/>
      <c r="V56" s="3849"/>
      <c r="W56" s="3849"/>
      <c r="X56" s="3849"/>
      <c r="Y56" s="3849"/>
      <c r="Z56" s="3849"/>
      <c r="AA56" s="3849"/>
      <c r="AB56" s="3849"/>
      <c r="AC56" s="3849"/>
      <c r="AD56" s="3849"/>
      <c r="AE56" s="3849"/>
      <c r="AF56" s="3849"/>
      <c r="AG56" s="3849"/>
      <c r="AH56" s="3849"/>
      <c r="AI56" s="3849"/>
      <c r="AJ56" s="3849"/>
      <c r="AK56" s="3849"/>
      <c r="AL56" s="3849"/>
      <c r="AM56" s="3849"/>
      <c r="AN56" s="3849"/>
      <c r="AO56" s="3849"/>
      <c r="AP56" s="3849"/>
      <c r="AQ56" s="3849"/>
      <c r="AR56" s="3849"/>
      <c r="AS56" s="3849"/>
      <c r="AT56" s="3849"/>
      <c r="AU56" s="3849"/>
      <c r="AV56" s="3849"/>
      <c r="AW56" s="3849"/>
      <c r="AX56" s="3849"/>
      <c r="AY56" s="3849"/>
      <c r="AZ56" s="3849"/>
      <c r="BA56" s="3849"/>
      <c r="BB56" s="3849"/>
      <c r="BC56" s="3849"/>
      <c r="BD56" s="3849"/>
      <c r="BE56" s="3849"/>
      <c r="BF56" s="3849"/>
      <c r="BG56" s="3849"/>
      <c r="BH56" s="3849"/>
      <c r="BI56" s="3849"/>
      <c r="BJ56" s="3849"/>
      <c r="BK56" s="3849"/>
      <c r="BL56" s="3849"/>
      <c r="BM56" s="3851"/>
      <c r="BN56" s="3849"/>
      <c r="BO56" s="3849"/>
      <c r="BP56" s="3849"/>
      <c r="BQ56" s="3849"/>
      <c r="BR56" s="3849"/>
      <c r="BS56" s="3849"/>
      <c r="BT56" s="3849"/>
      <c r="BU56" s="3849"/>
      <c r="BV56" s="3849"/>
      <c r="BW56" s="3849"/>
      <c r="BX56" s="3849"/>
      <c r="BY56" s="3849"/>
      <c r="BZ56" s="3849"/>
      <c r="CA56" s="3849"/>
      <c r="CB56" s="3849"/>
      <c r="CC56" s="3849"/>
      <c r="CD56" s="3849"/>
      <c r="CE56" s="3849"/>
      <c r="CF56" s="3849"/>
      <c r="CG56" s="3849"/>
      <c r="CH56" s="3849"/>
      <c r="CI56" s="3849"/>
      <c r="CJ56" s="3849"/>
      <c r="CK56" s="3849"/>
      <c r="CL56" s="3849"/>
      <c r="CM56" s="3849"/>
      <c r="CN56" s="3849"/>
      <c r="CO56" s="3849"/>
      <c r="CP56" s="3849"/>
      <c r="CQ56" s="3849"/>
    </row>
    <row r="57" spans="2:95" hidden="1" x14ac:dyDescent="0.25">
      <c r="B57" s="3847"/>
      <c r="C57" s="3848"/>
      <c r="D57" s="3849"/>
      <c r="E57" s="3849"/>
      <c r="F57" s="3849"/>
      <c r="G57" s="3849"/>
      <c r="H57" s="3849"/>
      <c r="I57" s="3849"/>
      <c r="J57" s="3849"/>
      <c r="K57" s="3849"/>
      <c r="L57" s="3849"/>
      <c r="M57" s="3849"/>
      <c r="N57" s="3849"/>
      <c r="O57" s="3849"/>
      <c r="P57" s="3849"/>
      <c r="Q57" s="3849"/>
      <c r="R57" s="3849"/>
      <c r="S57" s="3849"/>
      <c r="T57" s="3849"/>
      <c r="U57" s="3849"/>
      <c r="V57" s="3849"/>
      <c r="W57" s="3849"/>
      <c r="X57" s="3849"/>
      <c r="Y57" s="3849"/>
      <c r="Z57" s="3849"/>
      <c r="AA57" s="3849"/>
      <c r="AB57" s="3849"/>
      <c r="AC57" s="3849"/>
      <c r="AD57" s="3849"/>
      <c r="AE57" s="3849"/>
      <c r="AF57" s="3849"/>
      <c r="AG57" s="3849"/>
      <c r="AH57" s="3849"/>
      <c r="AI57" s="3849"/>
      <c r="AJ57" s="3849"/>
      <c r="AK57" s="3849"/>
      <c r="AL57" s="3849"/>
      <c r="AM57" s="3849"/>
      <c r="AN57" s="3849"/>
      <c r="AO57" s="3849"/>
      <c r="AP57" s="3849"/>
      <c r="AQ57" s="3849"/>
      <c r="AR57" s="3849"/>
      <c r="AS57" s="3849"/>
      <c r="AT57" s="3849"/>
      <c r="AU57" s="3849"/>
      <c r="AV57" s="3849"/>
      <c r="AW57" s="3849"/>
      <c r="AX57" s="3849"/>
      <c r="AY57" s="3849"/>
      <c r="AZ57" s="3849"/>
      <c r="BA57" s="3849"/>
      <c r="BB57" s="3849"/>
      <c r="BC57" s="3849"/>
      <c r="BD57" s="3849"/>
      <c r="BE57" s="3849"/>
      <c r="BF57" s="3849"/>
      <c r="BG57" s="3849"/>
      <c r="BH57" s="3849"/>
      <c r="BI57" s="3849"/>
      <c r="BJ57" s="3849"/>
      <c r="BK57" s="3849"/>
      <c r="BL57" s="3849"/>
      <c r="BM57" s="3851"/>
      <c r="BN57" s="3849"/>
      <c r="BO57" s="3849"/>
      <c r="BP57" s="3849"/>
      <c r="BQ57" s="3849"/>
      <c r="BR57" s="3849"/>
      <c r="BS57" s="3849"/>
      <c r="BT57" s="3849"/>
      <c r="BU57" s="3849"/>
      <c r="BV57" s="3849"/>
      <c r="BW57" s="3849"/>
      <c r="BX57" s="3849"/>
      <c r="BY57" s="3849"/>
      <c r="BZ57" s="3849"/>
      <c r="CA57" s="3849"/>
      <c r="CB57" s="3849"/>
      <c r="CC57" s="3849"/>
      <c r="CD57" s="3849"/>
      <c r="CE57" s="3849"/>
      <c r="CF57" s="3849"/>
      <c r="CG57" s="3849"/>
      <c r="CH57" s="3849"/>
      <c r="CI57" s="3849"/>
      <c r="CJ57" s="3849"/>
      <c r="CK57" s="3849"/>
      <c r="CL57" s="3849"/>
      <c r="CM57" s="3849"/>
      <c r="CN57" s="3849"/>
      <c r="CO57" s="3849"/>
      <c r="CP57" s="3849"/>
      <c r="CQ57" s="3849"/>
    </row>
    <row r="58" spans="2:95" hidden="1" x14ac:dyDescent="0.25">
      <c r="B58" s="3847"/>
      <c r="C58" s="3848"/>
      <c r="D58" s="3849"/>
      <c r="E58" s="3849"/>
      <c r="F58" s="3849"/>
      <c r="G58" s="3849"/>
      <c r="H58" s="3849"/>
      <c r="I58" s="3849"/>
      <c r="J58" s="3849"/>
      <c r="K58" s="3849"/>
      <c r="L58" s="3849"/>
      <c r="M58" s="3849"/>
      <c r="N58" s="3849"/>
      <c r="O58" s="3849"/>
      <c r="P58" s="3849"/>
      <c r="Q58" s="3849"/>
      <c r="R58" s="3849"/>
      <c r="S58" s="3849"/>
      <c r="T58" s="3849"/>
      <c r="U58" s="3849"/>
      <c r="V58" s="3849"/>
      <c r="W58" s="3849"/>
      <c r="X58" s="3849"/>
      <c r="Y58" s="3849"/>
      <c r="Z58" s="3849"/>
      <c r="AA58" s="3849"/>
      <c r="AB58" s="3849"/>
      <c r="AC58" s="3849"/>
      <c r="AD58" s="3849"/>
      <c r="AE58" s="3849"/>
      <c r="AF58" s="3849"/>
      <c r="AG58" s="3849"/>
      <c r="AH58" s="3849"/>
      <c r="AI58" s="3849"/>
      <c r="AJ58" s="3849"/>
      <c r="AK58" s="3849"/>
      <c r="AL58" s="3849"/>
      <c r="AM58" s="3849"/>
      <c r="AN58" s="3849"/>
      <c r="AO58" s="3849"/>
      <c r="AP58" s="3849"/>
      <c r="AQ58" s="3849"/>
      <c r="AR58" s="3849"/>
      <c r="AS58" s="3849"/>
      <c r="AT58" s="3849"/>
      <c r="AU58" s="3849"/>
      <c r="AV58" s="3849"/>
      <c r="AW58" s="3849"/>
      <c r="AX58" s="3849"/>
      <c r="AY58" s="3849"/>
      <c r="AZ58" s="3849"/>
      <c r="BA58" s="3849"/>
      <c r="BB58" s="3849"/>
      <c r="BC58" s="3849"/>
      <c r="BD58" s="3849"/>
      <c r="BE58" s="3849"/>
      <c r="BF58" s="3849"/>
      <c r="BG58" s="3849"/>
      <c r="BH58" s="3849"/>
      <c r="BI58" s="3849"/>
      <c r="BJ58" s="3849"/>
      <c r="BK58" s="3849"/>
      <c r="BL58" s="3849"/>
      <c r="BM58" s="3851"/>
      <c r="BN58" s="3849"/>
      <c r="BO58" s="3849"/>
      <c r="BP58" s="3849"/>
      <c r="BQ58" s="3849"/>
      <c r="BR58" s="3849"/>
      <c r="BS58" s="3849"/>
      <c r="BT58" s="3849"/>
      <c r="BU58" s="3849"/>
      <c r="BV58" s="3849"/>
      <c r="BW58" s="3849"/>
      <c r="BX58" s="3849"/>
      <c r="BY58" s="3849"/>
      <c r="BZ58" s="3849"/>
      <c r="CA58" s="3849"/>
      <c r="CB58" s="3849"/>
      <c r="CC58" s="3849"/>
      <c r="CD58" s="3849"/>
      <c r="CE58" s="3849"/>
      <c r="CF58" s="3849"/>
      <c r="CG58" s="3849"/>
      <c r="CH58" s="3849"/>
      <c r="CI58" s="3849"/>
      <c r="CJ58" s="3849"/>
      <c r="CK58" s="3849"/>
      <c r="CL58" s="3849"/>
      <c r="CM58" s="3849"/>
      <c r="CN58" s="3849"/>
      <c r="CO58" s="3849"/>
      <c r="CP58" s="3849"/>
      <c r="CQ58" s="3849"/>
    </row>
    <row r="59" spans="2:95" hidden="1" x14ac:dyDescent="0.25">
      <c r="B59" s="3847"/>
      <c r="C59" s="3848"/>
      <c r="D59" s="3849"/>
      <c r="E59" s="3849"/>
      <c r="F59" s="3849"/>
      <c r="G59" s="3849"/>
      <c r="H59" s="3849"/>
      <c r="I59" s="3849"/>
      <c r="J59" s="3849"/>
      <c r="K59" s="3849"/>
      <c r="L59" s="3849"/>
      <c r="M59" s="3849"/>
      <c r="N59" s="3849"/>
      <c r="O59" s="3849"/>
      <c r="P59" s="3849"/>
      <c r="Q59" s="3849"/>
      <c r="R59" s="3849"/>
      <c r="S59" s="3849"/>
      <c r="T59" s="3849"/>
      <c r="U59" s="3849"/>
      <c r="V59" s="3849"/>
      <c r="W59" s="3849"/>
      <c r="X59" s="3849"/>
      <c r="Y59" s="3849"/>
      <c r="Z59" s="3849"/>
      <c r="AA59" s="3849"/>
      <c r="AB59" s="3849"/>
      <c r="AC59" s="3849"/>
      <c r="AD59" s="3849"/>
      <c r="AE59" s="3849"/>
      <c r="AF59" s="3849"/>
      <c r="AG59" s="3849"/>
      <c r="AH59" s="3849"/>
      <c r="AI59" s="3849"/>
      <c r="AJ59" s="3849"/>
      <c r="AK59" s="3849"/>
      <c r="AL59" s="3849"/>
      <c r="AM59" s="3849"/>
      <c r="AN59" s="3849"/>
      <c r="AO59" s="3849"/>
      <c r="AP59" s="3849"/>
      <c r="AQ59" s="3849"/>
      <c r="AR59" s="3849"/>
      <c r="AS59" s="3849"/>
      <c r="AT59" s="3849"/>
      <c r="AU59" s="3849"/>
      <c r="AV59" s="3849"/>
      <c r="AW59" s="3849"/>
      <c r="AX59" s="3849"/>
      <c r="AY59" s="3849"/>
      <c r="AZ59" s="3849"/>
      <c r="BA59" s="3849"/>
      <c r="BB59" s="3849"/>
      <c r="BC59" s="3849"/>
      <c r="BD59" s="3849"/>
      <c r="BE59" s="3849"/>
      <c r="BF59" s="3849"/>
      <c r="BG59" s="3849"/>
      <c r="BH59" s="3849"/>
      <c r="BI59" s="3849"/>
      <c r="BJ59" s="3849"/>
      <c r="BK59" s="3849"/>
      <c r="BL59" s="3849"/>
      <c r="BM59" s="3851"/>
      <c r="BN59" s="3849"/>
      <c r="BO59" s="3849"/>
      <c r="BP59" s="3849"/>
      <c r="BQ59" s="3849"/>
      <c r="BR59" s="3849"/>
      <c r="BS59" s="3849"/>
      <c r="BT59" s="3849"/>
      <c r="BU59" s="3849"/>
      <c r="BV59" s="3849"/>
      <c r="BW59" s="3849"/>
      <c r="BX59" s="3849"/>
      <c r="BY59" s="3849"/>
      <c r="BZ59" s="3849"/>
      <c r="CA59" s="3849"/>
      <c r="CB59" s="3849"/>
      <c r="CC59" s="3849"/>
      <c r="CD59" s="3849"/>
      <c r="CE59" s="3849"/>
      <c r="CF59" s="3849"/>
      <c r="CG59" s="3849"/>
      <c r="CH59" s="3849"/>
      <c r="CI59" s="3849"/>
      <c r="CJ59" s="3849"/>
      <c r="CK59" s="3849"/>
      <c r="CL59" s="3849"/>
      <c r="CM59" s="3849"/>
      <c r="CN59" s="3849"/>
      <c r="CO59" s="3849"/>
      <c r="CP59" s="3849"/>
      <c r="CQ59" s="3849"/>
    </row>
    <row r="60" spans="2:95" hidden="1" x14ac:dyDescent="0.25">
      <c r="B60" s="3847"/>
      <c r="C60" s="3848"/>
      <c r="D60" s="3849"/>
      <c r="E60" s="3849"/>
      <c r="F60" s="3849"/>
      <c r="G60" s="3849"/>
      <c r="H60" s="3849"/>
      <c r="I60" s="3849"/>
      <c r="J60" s="3849"/>
      <c r="K60" s="3849"/>
      <c r="L60" s="3849"/>
      <c r="M60" s="3849"/>
      <c r="N60" s="3849"/>
      <c r="O60" s="3849"/>
      <c r="P60" s="3849"/>
      <c r="Q60" s="3849"/>
      <c r="R60" s="3849"/>
      <c r="S60" s="3849"/>
      <c r="T60" s="3849"/>
      <c r="U60" s="3849"/>
      <c r="V60" s="3849"/>
      <c r="W60" s="3849"/>
      <c r="X60" s="3849"/>
      <c r="Y60" s="3849"/>
      <c r="Z60" s="3849"/>
      <c r="AA60" s="3849"/>
      <c r="AB60" s="3849"/>
      <c r="AC60" s="3849"/>
      <c r="AD60" s="3849"/>
      <c r="AE60" s="3849"/>
      <c r="AF60" s="3849"/>
      <c r="AG60" s="3849"/>
      <c r="AH60" s="3849"/>
      <c r="AI60" s="3849"/>
      <c r="AJ60" s="3849"/>
      <c r="AK60" s="3849"/>
      <c r="AL60" s="3849"/>
      <c r="AM60" s="3849"/>
      <c r="AN60" s="3849"/>
      <c r="AO60" s="3849"/>
      <c r="AP60" s="3849"/>
      <c r="AQ60" s="3849"/>
      <c r="AR60" s="3849"/>
      <c r="AS60" s="3849"/>
      <c r="AT60" s="3849"/>
      <c r="AU60" s="3849"/>
      <c r="AV60" s="3849"/>
      <c r="AW60" s="3849"/>
      <c r="AX60" s="3849"/>
      <c r="AY60" s="3849"/>
      <c r="AZ60" s="3849"/>
      <c r="BA60" s="3849"/>
      <c r="BB60" s="3849"/>
      <c r="BC60" s="3849"/>
      <c r="BD60" s="3849"/>
      <c r="BE60" s="3849"/>
      <c r="BF60" s="3849"/>
      <c r="BG60" s="3849"/>
      <c r="BH60" s="3849"/>
      <c r="BI60" s="3849"/>
      <c r="BJ60" s="3849"/>
      <c r="BK60" s="3849"/>
      <c r="BL60" s="3849"/>
      <c r="BM60" s="3851"/>
      <c r="BN60" s="3849"/>
      <c r="BO60" s="3849"/>
      <c r="BP60" s="3849"/>
      <c r="BQ60" s="3849"/>
      <c r="BR60" s="3849"/>
      <c r="BS60" s="3849"/>
      <c r="BT60" s="3849"/>
      <c r="BU60" s="3849"/>
      <c r="BV60" s="3849"/>
      <c r="BW60" s="3849"/>
      <c r="BX60" s="3849"/>
      <c r="BY60" s="3849"/>
      <c r="BZ60" s="3849"/>
      <c r="CA60" s="3849"/>
      <c r="CB60" s="3849"/>
      <c r="CC60" s="3849"/>
      <c r="CD60" s="3849"/>
      <c r="CE60" s="3849"/>
      <c r="CF60" s="3849"/>
      <c r="CG60" s="3849"/>
      <c r="CH60" s="3849"/>
      <c r="CI60" s="3849"/>
      <c r="CJ60" s="3849"/>
      <c r="CK60" s="3849"/>
      <c r="CL60" s="3849"/>
      <c r="CM60" s="3849"/>
      <c r="CN60" s="3849"/>
      <c r="CO60" s="3849"/>
      <c r="CP60" s="3849"/>
      <c r="CQ60" s="3849"/>
    </row>
    <row r="61" spans="2:95" hidden="1" x14ac:dyDescent="0.25">
      <c r="B61" s="3847"/>
      <c r="C61" s="3848"/>
      <c r="D61" s="3849"/>
      <c r="E61" s="3849"/>
      <c r="F61" s="3849"/>
      <c r="G61" s="3849"/>
      <c r="H61" s="3849"/>
      <c r="I61" s="3849"/>
      <c r="J61" s="3849"/>
      <c r="K61" s="3849"/>
      <c r="L61" s="3849"/>
      <c r="M61" s="3849"/>
      <c r="N61" s="3849"/>
      <c r="O61" s="3849"/>
      <c r="P61" s="3849"/>
      <c r="Q61" s="3849"/>
      <c r="R61" s="3849"/>
      <c r="S61" s="3849"/>
      <c r="T61" s="3849"/>
      <c r="U61" s="3849"/>
      <c r="V61" s="3849"/>
      <c r="W61" s="3849"/>
      <c r="X61" s="3849"/>
      <c r="Y61" s="3849"/>
      <c r="Z61" s="3849"/>
      <c r="AA61" s="3849"/>
      <c r="AB61" s="3849"/>
      <c r="AC61" s="3849"/>
      <c r="AD61" s="3849" t="s">
        <v>97</v>
      </c>
      <c r="AE61" s="3849"/>
      <c r="AF61" s="3849"/>
      <c r="AG61" s="3849"/>
      <c r="AH61" s="3849"/>
      <c r="AI61" s="3849"/>
      <c r="AJ61" s="3849"/>
      <c r="AK61" s="3849"/>
      <c r="AL61" s="3849"/>
      <c r="AM61" s="3849"/>
      <c r="AN61" s="3849"/>
      <c r="AO61" s="3849"/>
      <c r="AP61" s="3849"/>
      <c r="AQ61" s="3849"/>
      <c r="AR61" s="3849"/>
      <c r="AS61" s="3849"/>
      <c r="AT61" s="3849"/>
      <c r="AU61" s="3849"/>
      <c r="AV61" s="3849"/>
      <c r="AW61" s="3849"/>
      <c r="AX61" s="3849"/>
      <c r="AY61" s="3849"/>
      <c r="AZ61" s="3849"/>
      <c r="BA61" s="3849"/>
      <c r="BB61" s="3849"/>
      <c r="BC61" s="3849"/>
      <c r="BD61" s="3849"/>
      <c r="BE61" s="3849"/>
      <c r="BF61" s="3849"/>
      <c r="BG61" s="3849"/>
      <c r="BH61" s="3849"/>
      <c r="BI61" s="3849"/>
      <c r="BJ61" s="3849"/>
      <c r="BK61" s="3849"/>
      <c r="BL61" s="3849"/>
      <c r="BM61" s="3851"/>
      <c r="BN61" s="3849"/>
      <c r="BO61" s="3849"/>
      <c r="BP61" s="3849"/>
      <c r="BQ61" s="3849"/>
      <c r="BR61" s="3849"/>
      <c r="BS61" s="3849"/>
      <c r="BT61" s="3849"/>
      <c r="BU61" s="3849"/>
      <c r="BV61" s="3849"/>
      <c r="BW61" s="3849"/>
      <c r="BX61" s="3849"/>
      <c r="BY61" s="3849"/>
      <c r="BZ61" s="3849"/>
      <c r="CA61" s="3849"/>
      <c r="CB61" s="3849"/>
      <c r="CC61" s="3849"/>
      <c r="CD61" s="3849"/>
      <c r="CE61" s="3849"/>
      <c r="CF61" s="3849"/>
      <c r="CG61" s="3849"/>
      <c r="CH61" s="3849"/>
      <c r="CI61" s="3849"/>
      <c r="CJ61" s="3849"/>
      <c r="CK61" s="3849"/>
      <c r="CL61" s="3849"/>
      <c r="CM61" s="3849"/>
      <c r="CN61" s="3849"/>
      <c r="CO61" s="3849"/>
      <c r="CP61" s="3849"/>
      <c r="CQ61" s="3849"/>
    </row>
    <row r="62" spans="2:95" hidden="1" x14ac:dyDescent="0.25">
      <c r="B62" s="3847"/>
      <c r="C62" s="3848"/>
      <c r="D62" s="3849"/>
      <c r="E62" s="3849"/>
      <c r="F62" s="3849"/>
      <c r="G62" s="3849"/>
      <c r="H62" s="3849"/>
      <c r="I62" s="3849"/>
      <c r="J62" s="3849"/>
      <c r="K62" s="3849"/>
      <c r="L62" s="3849"/>
      <c r="M62" s="3849"/>
      <c r="N62" s="3849"/>
      <c r="O62" s="3849"/>
      <c r="P62" s="3849"/>
      <c r="Q62" s="3849"/>
      <c r="R62" s="3849"/>
      <c r="S62" s="3849"/>
      <c r="T62" s="3849"/>
      <c r="U62" s="3849"/>
      <c r="V62" s="3849"/>
      <c r="W62" s="3849"/>
      <c r="X62" s="3849"/>
      <c r="Y62" s="3849"/>
      <c r="Z62" s="3849"/>
      <c r="AA62" s="3849"/>
      <c r="AB62" s="3849"/>
      <c r="AC62" s="3849"/>
      <c r="AD62" s="3849"/>
      <c r="AE62" s="3849"/>
      <c r="AF62" s="3849"/>
      <c r="AG62" s="3849"/>
      <c r="AH62" s="3849"/>
      <c r="AI62" s="3849"/>
      <c r="AJ62" s="3849"/>
      <c r="AK62" s="3849"/>
      <c r="AL62" s="3849"/>
      <c r="AM62" s="3849"/>
      <c r="AN62" s="3849"/>
      <c r="AO62" s="3849"/>
      <c r="AP62" s="3849"/>
      <c r="AQ62" s="3849"/>
      <c r="AR62" s="3849"/>
      <c r="AS62" s="3849"/>
      <c r="AT62" s="3849"/>
      <c r="AU62" s="3849"/>
      <c r="AV62" s="3849"/>
      <c r="AW62" s="3849"/>
      <c r="AX62" s="3849"/>
      <c r="AY62" s="3849"/>
      <c r="AZ62" s="3849"/>
      <c r="BA62" s="3849"/>
      <c r="BB62" s="3849"/>
      <c r="BC62" s="3849"/>
      <c r="BD62" s="3849"/>
      <c r="BE62" s="3849"/>
      <c r="BF62" s="3849"/>
      <c r="BG62" s="3849"/>
      <c r="BH62" s="3849"/>
      <c r="BI62" s="3849"/>
      <c r="BJ62" s="3849"/>
      <c r="BK62" s="3849"/>
      <c r="BL62" s="3849"/>
      <c r="BM62" s="3851"/>
      <c r="BN62" s="3849"/>
      <c r="BO62" s="3849"/>
      <c r="BP62" s="3849"/>
      <c r="BQ62" s="3849"/>
      <c r="BR62" s="3849"/>
      <c r="BS62" s="3849"/>
      <c r="BT62" s="3849"/>
      <c r="BU62" s="3849"/>
      <c r="BV62" s="3849"/>
      <c r="BW62" s="3849"/>
      <c r="BX62" s="3849"/>
      <c r="BY62" s="3849"/>
      <c r="BZ62" s="3849"/>
      <c r="CA62" s="3849"/>
      <c r="CB62" s="3849"/>
      <c r="CC62" s="3849"/>
      <c r="CD62" s="3849"/>
      <c r="CE62" s="3849"/>
      <c r="CF62" s="3849"/>
      <c r="CG62" s="3849"/>
      <c r="CH62" s="3849"/>
      <c r="CI62" s="3849"/>
      <c r="CJ62" s="3849"/>
      <c r="CK62" s="3849"/>
      <c r="CL62" s="3849"/>
      <c r="CM62" s="3849"/>
      <c r="CN62" s="3849"/>
      <c r="CO62" s="3849"/>
      <c r="CP62" s="3849"/>
      <c r="CQ62" s="3849"/>
    </row>
    <row r="63" spans="2:95" hidden="1" x14ac:dyDescent="0.25">
      <c r="B63" s="3847"/>
      <c r="C63" s="3848"/>
      <c r="D63" s="3849"/>
      <c r="E63" s="3849"/>
      <c r="F63" s="3849"/>
      <c r="G63" s="3849"/>
      <c r="H63" s="3849"/>
      <c r="I63" s="3849"/>
      <c r="J63" s="3849"/>
      <c r="K63" s="3849"/>
      <c r="L63" s="3849"/>
      <c r="M63" s="3849"/>
      <c r="N63" s="3849"/>
      <c r="O63" s="3849"/>
      <c r="P63" s="3849"/>
      <c r="Q63" s="3849"/>
      <c r="R63" s="3849"/>
      <c r="S63" s="3849"/>
      <c r="T63" s="3849"/>
      <c r="U63" s="3849"/>
      <c r="V63" s="3849"/>
      <c r="W63" s="3849"/>
      <c r="X63" s="3849"/>
      <c r="Y63" s="3849"/>
      <c r="Z63" s="3849"/>
      <c r="AA63" s="3849"/>
      <c r="AB63" s="3849"/>
      <c r="AC63" s="3849"/>
      <c r="AD63" s="3849"/>
      <c r="AE63" s="3849"/>
      <c r="AF63" s="3849"/>
      <c r="AG63" s="3849"/>
      <c r="AH63" s="3849"/>
      <c r="AI63" s="3849"/>
      <c r="AJ63" s="3849"/>
      <c r="AK63" s="3849"/>
      <c r="AL63" s="3849"/>
      <c r="AM63" s="3849"/>
      <c r="AN63" s="3849"/>
      <c r="AO63" s="3849"/>
      <c r="AP63" s="3849"/>
      <c r="AQ63" s="3849"/>
      <c r="AR63" s="3849"/>
      <c r="AS63" s="3849"/>
      <c r="AT63" s="3849"/>
      <c r="AU63" s="3849"/>
      <c r="AV63" s="3849"/>
      <c r="AW63" s="3849"/>
      <c r="AX63" s="3849"/>
      <c r="AY63" s="3849"/>
      <c r="AZ63" s="3849"/>
      <c r="BA63" s="3849"/>
      <c r="BB63" s="3849"/>
      <c r="BC63" s="3849"/>
      <c r="BD63" s="3849"/>
      <c r="BE63" s="3849"/>
      <c r="BF63" s="3849"/>
      <c r="BG63" s="3849"/>
      <c r="BH63" s="3849"/>
      <c r="BI63" s="3849"/>
      <c r="BJ63" s="3849"/>
      <c r="BK63" s="3849"/>
      <c r="BL63" s="3849"/>
      <c r="BM63" s="3849"/>
      <c r="BN63" s="3849"/>
      <c r="BO63" s="3849"/>
      <c r="BP63" s="3849"/>
      <c r="BQ63" s="3849"/>
      <c r="BR63" s="3849"/>
      <c r="BS63" s="3849"/>
      <c r="BT63" s="3849"/>
      <c r="BU63" s="3849"/>
      <c r="BV63" s="3849"/>
      <c r="BW63" s="3849"/>
      <c r="BX63" s="3849"/>
      <c r="BY63" s="3849"/>
      <c r="BZ63" s="3849"/>
      <c r="CA63" s="3849"/>
      <c r="CB63" s="3849"/>
      <c r="CC63" s="3849"/>
      <c r="CD63" s="3849"/>
      <c r="CE63" s="3849"/>
      <c r="CF63" s="3849"/>
      <c r="CG63" s="3849"/>
      <c r="CH63" s="3849"/>
      <c r="CI63" s="3849"/>
      <c r="CJ63" s="3849"/>
      <c r="CK63" s="3849"/>
      <c r="CL63" s="3849"/>
      <c r="CM63" s="3849"/>
      <c r="CN63" s="3849"/>
      <c r="CO63" s="3849"/>
      <c r="CP63" s="3849"/>
      <c r="CQ63" s="3849"/>
    </row>
    <row r="64" spans="2:95" hidden="1" x14ac:dyDescent="0.25">
      <c r="B64" s="3847"/>
      <c r="C64" s="3848"/>
      <c r="D64" s="3849"/>
      <c r="E64" s="3849"/>
      <c r="F64" s="3849"/>
      <c r="G64" s="3849"/>
      <c r="H64" s="3849"/>
      <c r="I64" s="3849"/>
      <c r="J64" s="3849"/>
      <c r="K64" s="3849"/>
      <c r="L64" s="3849"/>
      <c r="M64" s="3849"/>
      <c r="N64" s="3849"/>
      <c r="O64" s="3849"/>
      <c r="P64" s="3849"/>
      <c r="Q64" s="3849"/>
      <c r="R64" s="3849"/>
      <c r="S64" s="3849"/>
      <c r="T64" s="3849"/>
      <c r="U64" s="3849"/>
      <c r="V64" s="3849"/>
      <c r="W64" s="3849"/>
      <c r="X64" s="3849"/>
      <c r="Y64" s="3849"/>
      <c r="Z64" s="3849"/>
      <c r="AA64" s="3849"/>
      <c r="AB64" s="3849"/>
      <c r="AC64" s="3849"/>
      <c r="AD64" s="3849"/>
      <c r="AE64" s="3849"/>
      <c r="AF64" s="3849"/>
      <c r="AG64" s="3849"/>
      <c r="AH64" s="3849"/>
      <c r="AI64" s="3849"/>
      <c r="AJ64" s="3849"/>
      <c r="AK64" s="3849"/>
      <c r="AL64" s="3849"/>
      <c r="AM64" s="3849"/>
      <c r="AN64" s="3849"/>
      <c r="AO64" s="3849"/>
      <c r="AP64" s="3849"/>
      <c r="AQ64" s="3849"/>
      <c r="AR64" s="3849"/>
      <c r="AS64" s="3849"/>
      <c r="AT64" s="3849"/>
      <c r="AU64" s="3849"/>
      <c r="AV64" s="3849"/>
      <c r="AW64" s="3849"/>
      <c r="AX64" s="3849"/>
      <c r="AY64" s="3849"/>
      <c r="AZ64" s="3849"/>
      <c r="BA64" s="3849"/>
      <c r="BB64" s="3849"/>
      <c r="BC64" s="3849"/>
      <c r="BD64" s="3849"/>
      <c r="BE64" s="3849"/>
      <c r="BF64" s="3849"/>
      <c r="BG64" s="3849"/>
      <c r="BH64" s="3849"/>
      <c r="BI64" s="3849"/>
      <c r="BJ64" s="3849"/>
      <c r="BK64" s="3849"/>
      <c r="BL64" s="3849"/>
      <c r="BM64" s="3849"/>
      <c r="BN64" s="3849"/>
      <c r="BO64" s="3849"/>
      <c r="BP64" s="3849"/>
      <c r="BQ64" s="3849"/>
      <c r="BR64" s="3849"/>
      <c r="BS64" s="3849"/>
      <c r="BT64" s="3849"/>
      <c r="BU64" s="3849"/>
      <c r="BV64" s="3849"/>
      <c r="BW64" s="3849"/>
      <c r="BX64" s="3849"/>
      <c r="BY64" s="3849"/>
      <c r="BZ64" s="3849"/>
      <c r="CA64" s="3849"/>
      <c r="CB64" s="3849"/>
      <c r="CC64" s="3849"/>
      <c r="CD64" s="3849"/>
      <c r="CE64" s="3849"/>
      <c r="CF64" s="3849"/>
      <c r="CG64" s="3849"/>
      <c r="CH64" s="3849"/>
      <c r="CI64" s="3849"/>
      <c r="CJ64" s="3849"/>
      <c r="CK64" s="3849"/>
      <c r="CL64" s="3849"/>
      <c r="CM64" s="3849"/>
      <c r="CN64" s="3849"/>
      <c r="CO64" s="3849"/>
      <c r="CP64" s="3849"/>
      <c r="CQ64" s="3849"/>
    </row>
    <row r="65" spans="2:95" hidden="1" x14ac:dyDescent="0.25">
      <c r="B65" s="3847"/>
      <c r="C65" s="3848"/>
      <c r="D65" s="3849"/>
      <c r="E65" s="3849"/>
      <c r="F65" s="3849"/>
      <c r="G65" s="3849"/>
      <c r="H65" s="3849"/>
      <c r="I65" s="3849"/>
      <c r="J65" s="3849"/>
      <c r="K65" s="3849"/>
      <c r="L65" s="3849"/>
      <c r="M65" s="3849"/>
      <c r="N65" s="3849"/>
      <c r="O65" s="3849"/>
      <c r="P65" s="3849"/>
      <c r="Q65" s="3849"/>
      <c r="R65" s="3849"/>
      <c r="S65" s="3849"/>
      <c r="T65" s="3849"/>
      <c r="U65" s="3849"/>
      <c r="V65" s="3849"/>
      <c r="W65" s="3849"/>
      <c r="X65" s="3849"/>
      <c r="Y65" s="3849"/>
      <c r="Z65" s="3849"/>
      <c r="AA65" s="3849"/>
      <c r="AB65" s="3849"/>
      <c r="AC65" s="3849"/>
      <c r="AD65" s="3849"/>
      <c r="AE65" s="3849"/>
      <c r="AF65" s="3849"/>
      <c r="AG65" s="3849"/>
      <c r="AH65" s="3849"/>
      <c r="AI65" s="3849"/>
      <c r="AJ65" s="3849"/>
      <c r="AK65" s="3849"/>
      <c r="AL65" s="3849"/>
      <c r="AM65" s="3849"/>
      <c r="AN65" s="3849"/>
      <c r="AO65" s="3849"/>
      <c r="AP65" s="3849"/>
      <c r="AQ65" s="3849"/>
      <c r="AR65" s="3849"/>
      <c r="AS65" s="3849"/>
      <c r="AT65" s="3849"/>
      <c r="AU65" s="3849"/>
      <c r="AV65" s="3849"/>
      <c r="AW65" s="3849"/>
      <c r="AX65" s="3849"/>
      <c r="AY65" s="3849"/>
      <c r="AZ65" s="3849"/>
      <c r="BA65" s="3849"/>
      <c r="BB65" s="3849"/>
      <c r="BC65" s="3849"/>
      <c r="BD65" s="3849"/>
      <c r="BE65" s="3849"/>
      <c r="BF65" s="3849"/>
      <c r="BG65" s="3849"/>
      <c r="BH65" s="3849"/>
      <c r="BI65" s="3849"/>
      <c r="BJ65" s="3849"/>
      <c r="BK65" s="3849"/>
      <c r="BL65" s="3849"/>
      <c r="BM65" s="3849"/>
      <c r="BN65" s="3849"/>
      <c r="BO65" s="3849"/>
      <c r="BP65" s="3849"/>
      <c r="BQ65" s="3849"/>
      <c r="BR65" s="3849"/>
      <c r="BS65" s="3849"/>
      <c r="BT65" s="3849"/>
      <c r="BU65" s="3849"/>
      <c r="BV65" s="3849"/>
      <c r="BW65" s="3849"/>
      <c r="BX65" s="3849"/>
      <c r="BY65" s="3849"/>
      <c r="BZ65" s="3849"/>
      <c r="CA65" s="3849"/>
      <c r="CB65" s="3849"/>
      <c r="CC65" s="3849"/>
      <c r="CD65" s="3849"/>
      <c r="CE65" s="3849"/>
      <c r="CF65" s="3849"/>
      <c r="CG65" s="3849"/>
      <c r="CH65" s="3849"/>
      <c r="CI65" s="3849"/>
      <c r="CJ65" s="3849"/>
      <c r="CK65" s="3849"/>
      <c r="CL65" s="3849"/>
      <c r="CM65" s="3849"/>
      <c r="CN65" s="3849"/>
      <c r="CO65" s="3849"/>
      <c r="CP65" s="3849"/>
      <c r="CQ65" s="3849"/>
    </row>
    <row r="66" spans="2:95" hidden="1" x14ac:dyDescent="0.25">
      <c r="B66" s="3847"/>
      <c r="C66" s="3848"/>
      <c r="D66" s="3849"/>
      <c r="E66" s="3849"/>
      <c r="F66" s="3849">
        <v>1998</v>
      </c>
      <c r="G66" s="3849">
        <v>1999</v>
      </c>
      <c r="H66" s="3849">
        <v>2000</v>
      </c>
      <c r="I66" s="3849">
        <v>2001</v>
      </c>
      <c r="J66" s="3849">
        <v>2002</v>
      </c>
      <c r="K66" s="3849">
        <v>2003</v>
      </c>
      <c r="L66" s="3849">
        <v>2004</v>
      </c>
      <c r="M66" s="3849">
        <v>2005</v>
      </c>
      <c r="N66" s="3849">
        <v>2006</v>
      </c>
      <c r="O66" s="3849">
        <v>2007</v>
      </c>
      <c r="P66" s="3849">
        <v>2008</v>
      </c>
      <c r="Q66" s="3849">
        <v>2009</v>
      </c>
      <c r="R66" s="3849">
        <v>2010</v>
      </c>
      <c r="S66" s="3849">
        <v>2011</v>
      </c>
      <c r="T66" s="3849">
        <v>2012</v>
      </c>
      <c r="U66" s="3849">
        <v>2013</v>
      </c>
      <c r="V66" s="3849">
        <v>2014</v>
      </c>
      <c r="W66" s="3849"/>
      <c r="X66" s="3849"/>
      <c r="Y66" s="3849"/>
      <c r="Z66" s="3849"/>
      <c r="AA66" s="3849"/>
      <c r="AB66" s="3849"/>
      <c r="AC66" s="3849"/>
      <c r="AD66" s="3849"/>
      <c r="AE66" s="3849"/>
      <c r="AF66" s="3849"/>
      <c r="AG66" s="3849"/>
      <c r="AH66" s="3849"/>
      <c r="AI66" s="3849"/>
      <c r="AJ66" s="3849"/>
      <c r="AK66" s="3849"/>
      <c r="AL66" s="3849"/>
      <c r="AM66" s="3849"/>
      <c r="AN66" s="3849"/>
      <c r="AO66" s="3849"/>
      <c r="AP66" s="3849"/>
      <c r="AQ66" s="3849"/>
      <c r="AR66" s="3849"/>
      <c r="AS66" s="3849"/>
      <c r="AT66" s="3849"/>
      <c r="AU66" s="3849"/>
      <c r="AV66" s="3849"/>
      <c r="AW66" s="3849"/>
      <c r="AX66" s="3849"/>
      <c r="AY66" s="3849"/>
      <c r="AZ66" s="3849"/>
      <c r="BA66" s="3849"/>
      <c r="BB66" s="3849"/>
      <c r="BC66" s="3849"/>
      <c r="BD66" s="3849"/>
      <c r="BE66" s="3849"/>
      <c r="BF66" s="3849"/>
      <c r="BG66" s="3849"/>
      <c r="BH66" s="3849"/>
      <c r="BI66" s="3849"/>
      <c r="BJ66" s="3849"/>
      <c r="BK66" s="3849"/>
      <c r="BL66" s="3849"/>
      <c r="BM66" s="3849"/>
      <c r="BN66" s="3849"/>
      <c r="BO66" s="3849"/>
      <c r="BP66" s="3849"/>
      <c r="BQ66" s="3849"/>
      <c r="BR66" s="3849"/>
      <c r="BS66" s="3849"/>
      <c r="BT66" s="3849"/>
      <c r="BU66" s="3849"/>
      <c r="BV66" s="3849"/>
      <c r="BW66" s="3849"/>
      <c r="BX66" s="3849"/>
      <c r="BY66" s="3849"/>
      <c r="BZ66" s="3849"/>
      <c r="CA66" s="3849"/>
      <c r="CB66" s="3849"/>
      <c r="CC66" s="3849"/>
      <c r="CD66" s="3849"/>
      <c r="CE66" s="3849"/>
      <c r="CF66" s="3849"/>
      <c r="CG66" s="3849"/>
      <c r="CH66" s="3849"/>
      <c r="CI66" s="3849"/>
      <c r="CJ66" s="3849"/>
      <c r="CK66" s="3849"/>
      <c r="CL66" s="3849"/>
      <c r="CM66" s="3849"/>
      <c r="CN66" s="3849"/>
      <c r="CO66" s="3849"/>
      <c r="CP66" s="3849"/>
      <c r="CQ66" s="3849"/>
    </row>
    <row r="67" spans="2:95" hidden="1" x14ac:dyDescent="0.25">
      <c r="B67" s="3847"/>
      <c r="C67" s="3848"/>
      <c r="D67" s="3849"/>
      <c r="E67" s="3849"/>
      <c r="F67" s="3849">
        <v>7.0532593049558168</v>
      </c>
      <c r="G67" s="3849">
        <v>6.9343065693431072</v>
      </c>
      <c r="H67" s="3849">
        <v>7.7240883779413627</v>
      </c>
      <c r="I67" s="3849">
        <v>6.6033016508254105</v>
      </c>
      <c r="J67" s="3849">
        <v>9.3226966995147755</v>
      </c>
      <c r="K67" s="3849">
        <v>6.7749320360569687</v>
      </c>
      <c r="L67" s="3849">
        <v>4.328308207704934</v>
      </c>
      <c r="M67" s="3849">
        <v>3.9496499903667104</v>
      </c>
      <c r="N67" s="3849">
        <v>4.5965649326578539</v>
      </c>
      <c r="O67" s="3849">
        <v>6.5150620200829401</v>
      </c>
      <c r="P67" s="3849">
        <v>11.32368435645783</v>
      </c>
      <c r="Q67" s="3849">
        <v>7.1375778692852609</v>
      </c>
      <c r="R67" s="3849">
        <v>4.2574159850202076</v>
      </c>
      <c r="S67" s="3849">
        <v>5.000472634464459</v>
      </c>
      <c r="T67" s="3849">
        <v>5.6535830032408585</v>
      </c>
      <c r="U67" s="3849">
        <v>5.7515337423312829</v>
      </c>
      <c r="V67" s="3849">
        <v>5.952930318412375</v>
      </c>
      <c r="W67" s="3849"/>
      <c r="X67" s="3849"/>
      <c r="Y67" s="3849"/>
      <c r="Z67" s="3849"/>
      <c r="AA67" s="3849"/>
      <c r="AB67" s="3849"/>
      <c r="AC67" s="3849"/>
      <c r="AD67" s="3849"/>
      <c r="AE67" s="3849"/>
      <c r="AF67" s="3849"/>
      <c r="AG67" s="3849"/>
      <c r="AH67" s="3849"/>
      <c r="AI67" s="3849"/>
      <c r="AJ67" s="3849"/>
      <c r="AK67" s="3849"/>
      <c r="AL67" s="3849"/>
      <c r="AM67" s="3849"/>
      <c r="AN67" s="3849"/>
      <c r="AO67" s="3849"/>
      <c r="AP67" s="3849"/>
      <c r="AQ67" s="3849"/>
      <c r="AR67" s="3849"/>
      <c r="AS67" s="3849"/>
      <c r="AT67" s="3849"/>
      <c r="AU67" s="3849"/>
      <c r="AV67" s="3849"/>
      <c r="AW67" s="3849"/>
      <c r="AX67" s="3849"/>
      <c r="AY67" s="3849"/>
      <c r="AZ67" s="3849"/>
      <c r="BA67" s="3849"/>
      <c r="BB67" s="3849"/>
      <c r="BC67" s="3849"/>
      <c r="BD67" s="3849"/>
      <c r="BE67" s="3849"/>
      <c r="BF67" s="3849"/>
      <c r="BG67" s="3849"/>
      <c r="BH67" s="3849"/>
      <c r="BI67" s="3849"/>
      <c r="BJ67" s="3849"/>
      <c r="BK67" s="3849"/>
      <c r="BL67" s="3849"/>
      <c r="BM67" s="3849"/>
      <c r="BN67" s="3849"/>
      <c r="BO67" s="3849"/>
      <c r="BP67" s="3849"/>
      <c r="BQ67" s="3849"/>
      <c r="BR67" s="3849"/>
      <c r="BS67" s="3849"/>
      <c r="BT67" s="3849"/>
      <c r="BU67" s="3849"/>
      <c r="BV67" s="3849"/>
      <c r="BW67" s="3849"/>
      <c r="BX67" s="3849"/>
      <c r="BY67" s="3849"/>
      <c r="BZ67" s="3849"/>
      <c r="CA67" s="3849"/>
      <c r="CB67" s="3849"/>
      <c r="CC67" s="3849"/>
      <c r="CD67" s="3849"/>
      <c r="CE67" s="3849"/>
      <c r="CF67" s="3849"/>
      <c r="CG67" s="3849"/>
      <c r="CH67" s="3849"/>
      <c r="CI67" s="3849"/>
      <c r="CJ67" s="3849"/>
      <c r="CK67" s="3849"/>
      <c r="CL67" s="3849"/>
      <c r="CM67" s="3849"/>
      <c r="CN67" s="3849"/>
      <c r="CO67" s="3849"/>
      <c r="CP67" s="3849"/>
      <c r="CQ67" s="3849"/>
    </row>
    <row r="68" spans="2:95" hidden="1" x14ac:dyDescent="0.25">
      <c r="B68" s="3847"/>
      <c r="C68" s="3848"/>
      <c r="D68" s="3849"/>
      <c r="E68" s="3849"/>
      <c r="F68" s="3849"/>
      <c r="G68" s="3849"/>
      <c r="H68" s="3849"/>
      <c r="I68" s="3849"/>
      <c r="J68" s="3849"/>
      <c r="K68" s="3849"/>
      <c r="L68" s="3849"/>
      <c r="M68" s="3849"/>
      <c r="N68" s="3849"/>
      <c r="O68" s="3849"/>
      <c r="P68" s="3849"/>
      <c r="Q68" s="3849"/>
      <c r="R68" s="3849"/>
      <c r="S68" s="3849"/>
      <c r="T68" s="3849"/>
      <c r="U68" s="3849"/>
      <c r="V68" s="3849"/>
      <c r="W68" s="3849"/>
      <c r="X68" s="3849"/>
      <c r="Y68" s="3849"/>
      <c r="Z68" s="3849"/>
      <c r="AA68" s="3849"/>
      <c r="AB68" s="3849"/>
      <c r="AC68" s="3849"/>
      <c r="AD68" s="3849"/>
      <c r="AE68" s="3849"/>
      <c r="AF68" s="3849"/>
      <c r="AG68" s="3849"/>
      <c r="AH68" s="3849"/>
      <c r="AI68" s="3849"/>
      <c r="AJ68" s="3849"/>
      <c r="AK68" s="3849"/>
      <c r="AL68" s="3849"/>
      <c r="AM68" s="3849"/>
      <c r="AN68" s="3849"/>
      <c r="AO68" s="3849"/>
      <c r="AP68" s="3849"/>
      <c r="AQ68" s="3849"/>
      <c r="AR68" s="3849"/>
      <c r="AS68" s="3849"/>
      <c r="AT68" s="3849"/>
      <c r="AU68" s="3849"/>
      <c r="AV68" s="3849"/>
      <c r="AW68" s="3849"/>
      <c r="AX68" s="3849"/>
      <c r="AY68" s="3849"/>
      <c r="AZ68" s="3849"/>
      <c r="BA68" s="3849"/>
      <c r="BB68" s="3849"/>
      <c r="BC68" s="3849"/>
      <c r="BD68" s="3849"/>
      <c r="BE68" s="3849"/>
      <c r="BF68" s="3849"/>
      <c r="BG68" s="3849"/>
      <c r="BH68" s="3849"/>
      <c r="BI68" s="3849"/>
      <c r="BJ68" s="3849"/>
      <c r="BK68" s="3849"/>
      <c r="BL68" s="3849"/>
      <c r="BM68" s="3849"/>
      <c r="BN68" s="3849"/>
      <c r="BO68" s="3849"/>
      <c r="BP68" s="3849"/>
      <c r="BQ68" s="3849"/>
      <c r="BR68" s="3849"/>
      <c r="BS68" s="3849"/>
      <c r="BT68" s="3849"/>
      <c r="BU68" s="3849"/>
      <c r="BV68" s="3849"/>
      <c r="BW68" s="3849"/>
      <c r="BX68" s="3849"/>
      <c r="BY68" s="3849"/>
      <c r="BZ68" s="3849"/>
      <c r="CA68" s="3849"/>
      <c r="CB68" s="3849"/>
      <c r="CC68" s="3849"/>
      <c r="CD68" s="3849"/>
      <c r="CE68" s="3849"/>
      <c r="CF68" s="3849"/>
      <c r="CG68" s="3849"/>
      <c r="CH68" s="3849"/>
      <c r="CI68" s="3849"/>
      <c r="CJ68" s="3849"/>
      <c r="CK68" s="3849"/>
      <c r="CL68" s="3849"/>
      <c r="CM68" s="3849"/>
      <c r="CN68" s="3849"/>
      <c r="CO68" s="3849"/>
      <c r="CP68" s="3849"/>
      <c r="CQ68" s="3849"/>
    </row>
    <row r="69" spans="2:95" hidden="1" x14ac:dyDescent="0.25">
      <c r="B69" s="3847"/>
      <c r="C69" s="3848"/>
      <c r="D69" s="3849"/>
      <c r="E69" s="3849"/>
      <c r="F69" s="3849"/>
      <c r="G69" s="3849"/>
      <c r="H69" s="3849"/>
      <c r="I69" s="3849"/>
      <c r="J69" s="3849"/>
      <c r="K69" s="3849"/>
      <c r="L69" s="3849"/>
      <c r="M69" s="3849"/>
      <c r="N69" s="3849"/>
      <c r="O69" s="3849"/>
      <c r="P69" s="3849"/>
      <c r="Q69" s="3849"/>
      <c r="R69" s="3849"/>
      <c r="S69" s="3849"/>
      <c r="T69" s="3849"/>
      <c r="U69" s="3849"/>
      <c r="V69" s="3849"/>
      <c r="W69" s="3849"/>
      <c r="X69" s="3849"/>
      <c r="Y69" s="3849"/>
      <c r="Z69" s="3849"/>
      <c r="AA69" s="3849"/>
      <c r="AB69" s="3849"/>
      <c r="AC69" s="3849"/>
      <c r="AD69" s="3849"/>
      <c r="AE69" s="3849"/>
      <c r="AF69" s="3849"/>
      <c r="AG69" s="3849"/>
      <c r="AH69" s="3849"/>
      <c r="AI69" s="3849"/>
      <c r="AJ69" s="3849"/>
      <c r="AK69" s="3849"/>
      <c r="AL69" s="3849"/>
      <c r="AM69" s="3849"/>
      <c r="AN69" s="3849"/>
      <c r="AO69" s="3849"/>
      <c r="AP69" s="3849"/>
      <c r="AQ69" s="3849"/>
      <c r="AR69" s="3849"/>
      <c r="AS69" s="3849"/>
      <c r="AT69" s="3849"/>
      <c r="AU69" s="3849"/>
      <c r="AV69" s="3849"/>
      <c r="AW69" s="3849"/>
      <c r="AX69" s="3849"/>
      <c r="AY69" s="3849"/>
      <c r="AZ69" s="3849"/>
      <c r="BA69" s="3849"/>
      <c r="BB69" s="3849"/>
      <c r="BC69" s="3849"/>
      <c r="BD69" s="3849"/>
      <c r="BE69" s="3849"/>
      <c r="BF69" s="3849"/>
      <c r="BG69" s="3849"/>
      <c r="BH69" s="3849"/>
      <c r="BI69" s="3849"/>
      <c r="BJ69" s="3849"/>
      <c r="BK69" s="3849"/>
      <c r="BL69" s="3849"/>
      <c r="BM69" s="3849"/>
      <c r="BN69" s="3849"/>
      <c r="BO69" s="3849"/>
      <c r="BP69" s="3849"/>
      <c r="BQ69" s="3849"/>
      <c r="BR69" s="3849"/>
      <c r="BS69" s="3849"/>
      <c r="BT69" s="3849"/>
      <c r="BU69" s="3849"/>
      <c r="BV69" s="3849"/>
      <c r="BW69" s="3849"/>
      <c r="BX69" s="3849"/>
      <c r="BY69" s="3849"/>
      <c r="BZ69" s="3849"/>
      <c r="CA69" s="3849"/>
      <c r="CB69" s="3849"/>
      <c r="CC69" s="3849"/>
      <c r="CD69" s="3849"/>
      <c r="CE69" s="3849"/>
      <c r="CF69" s="3849"/>
      <c r="CG69" s="3849"/>
      <c r="CH69" s="3849"/>
      <c r="CI69" s="3849"/>
      <c r="CJ69" s="3849"/>
      <c r="CK69" s="3849"/>
      <c r="CL69" s="3849"/>
      <c r="CM69" s="3849"/>
      <c r="CN69" s="3849"/>
      <c r="CO69" s="3849"/>
      <c r="CP69" s="3849"/>
      <c r="CQ69" s="3849"/>
    </row>
    <row r="70" spans="2:95" hidden="1" x14ac:dyDescent="0.25">
      <c r="B70" s="3847"/>
      <c r="C70" s="3848"/>
      <c r="D70" s="3849"/>
      <c r="E70" s="3849"/>
      <c r="F70" s="3849"/>
      <c r="G70" s="3849"/>
      <c r="H70" s="3849"/>
      <c r="I70" s="3849"/>
      <c r="J70" s="3849"/>
      <c r="K70" s="3849"/>
      <c r="L70" s="3849"/>
      <c r="M70" s="3849"/>
      <c r="N70" s="3849"/>
      <c r="O70" s="3849"/>
      <c r="P70" s="3849"/>
      <c r="Q70" s="3849"/>
      <c r="R70" s="3849"/>
      <c r="S70" s="3849"/>
      <c r="T70" s="3849"/>
      <c r="U70" s="3849"/>
      <c r="V70" s="3849"/>
      <c r="W70" s="3849"/>
      <c r="X70" s="3849"/>
      <c r="Y70" s="3849"/>
      <c r="Z70" s="3849"/>
      <c r="AA70" s="3849"/>
      <c r="AB70" s="3849"/>
      <c r="AC70" s="3849"/>
      <c r="AD70" s="3849"/>
      <c r="AE70" s="3849"/>
      <c r="AF70" s="3849"/>
      <c r="AG70" s="3849"/>
      <c r="AH70" s="3849"/>
      <c r="AI70" s="3849"/>
      <c r="AJ70" s="3849"/>
      <c r="AK70" s="3849"/>
      <c r="AL70" s="3849"/>
      <c r="AM70" s="3849"/>
      <c r="AN70" s="3849"/>
      <c r="AO70" s="3849"/>
      <c r="AP70" s="3849"/>
      <c r="AQ70" s="3849"/>
      <c r="AR70" s="3849"/>
      <c r="AS70" s="3849"/>
      <c r="AT70" s="3849"/>
      <c r="AU70" s="3849"/>
      <c r="AV70" s="3849"/>
      <c r="AW70" s="3849"/>
      <c r="AX70" s="3849"/>
      <c r="AY70" s="3849"/>
      <c r="AZ70" s="3849"/>
      <c r="BA70" s="3849"/>
      <c r="BB70" s="3849"/>
      <c r="BC70" s="3849"/>
      <c r="BD70" s="3849"/>
      <c r="BE70" s="3849"/>
      <c r="BF70" s="3849"/>
      <c r="BG70" s="3849"/>
      <c r="BH70" s="3849"/>
      <c r="BI70" s="3849"/>
      <c r="BJ70" s="3849"/>
      <c r="BK70" s="3849"/>
      <c r="BL70" s="3849"/>
      <c r="BM70" s="3849"/>
      <c r="BN70" s="3849"/>
      <c r="BO70" s="3849"/>
      <c r="BP70" s="3849"/>
      <c r="BQ70" s="3849"/>
      <c r="BR70" s="3849"/>
      <c r="BS70" s="3849"/>
      <c r="BT70" s="3849"/>
      <c r="BU70" s="3849"/>
      <c r="BV70" s="3849"/>
      <c r="BW70" s="3849"/>
      <c r="BX70" s="3849"/>
      <c r="BY70" s="3849"/>
      <c r="BZ70" s="3849"/>
      <c r="CA70" s="3849"/>
      <c r="CB70" s="3849"/>
      <c r="CC70" s="3849"/>
      <c r="CD70" s="3849"/>
      <c r="CE70" s="3849"/>
      <c r="CF70" s="3849"/>
      <c r="CG70" s="3849"/>
      <c r="CH70" s="3849"/>
      <c r="CI70" s="3849"/>
      <c r="CJ70" s="3849"/>
      <c r="CK70" s="3849"/>
      <c r="CL70" s="3849"/>
      <c r="CM70" s="3849"/>
      <c r="CN70" s="3849"/>
      <c r="CO70" s="3849"/>
      <c r="CP70" s="3849"/>
      <c r="CQ70" s="3849"/>
    </row>
    <row r="71" spans="2:95" x14ac:dyDescent="0.25">
      <c r="B71" s="3847"/>
      <c r="C71" s="3848"/>
      <c r="D71" s="3849"/>
      <c r="E71" s="3849"/>
      <c r="F71" s="3849"/>
      <c r="G71" s="3849"/>
      <c r="H71" s="3849"/>
      <c r="I71" s="3849"/>
      <c r="J71" s="3849"/>
      <c r="K71" s="3849"/>
      <c r="L71" s="3849"/>
      <c r="M71" s="3849"/>
      <c r="N71" s="3849"/>
      <c r="O71" s="3849"/>
      <c r="P71" s="3849"/>
      <c r="Q71" s="3849"/>
      <c r="R71" s="3849"/>
      <c r="S71" s="3849"/>
      <c r="T71" s="3849"/>
      <c r="U71" s="3849"/>
      <c r="V71" s="3849"/>
      <c r="W71" s="3849"/>
      <c r="X71" s="3849"/>
      <c r="Y71" s="3849"/>
      <c r="Z71" s="3849"/>
      <c r="AA71" s="3849"/>
      <c r="AB71" s="3849"/>
      <c r="AC71" s="3849"/>
      <c r="AD71" s="3849"/>
      <c r="AE71" s="3849"/>
      <c r="AF71" s="3849"/>
      <c r="AG71" s="3849"/>
      <c r="AH71" s="3849"/>
      <c r="AI71" s="3849"/>
      <c r="AJ71" s="3849"/>
      <c r="AK71" s="3849"/>
      <c r="AL71" s="3849"/>
      <c r="AM71" s="3849"/>
      <c r="AN71" s="3849"/>
      <c r="AO71" s="3849"/>
      <c r="AP71" s="3849"/>
      <c r="AQ71" s="3849"/>
      <c r="AR71" s="3849"/>
      <c r="AS71" s="3849"/>
      <c r="AT71" s="3849"/>
      <c r="AU71" s="3849"/>
      <c r="AV71" s="3849"/>
      <c r="AW71" s="3849"/>
      <c r="AX71" s="3849"/>
      <c r="AY71" s="3849"/>
      <c r="AZ71" s="3849"/>
      <c r="BA71" s="3849"/>
      <c r="BB71" s="3849"/>
      <c r="BC71" s="3849"/>
      <c r="BD71" s="3849"/>
      <c r="BE71" s="3849"/>
      <c r="BF71" s="3849"/>
      <c r="BG71" s="3849"/>
      <c r="BH71" s="3849"/>
      <c r="BI71" s="3849"/>
      <c r="BJ71" s="3849"/>
      <c r="BK71" s="3849"/>
      <c r="BL71" s="3849"/>
      <c r="BM71" s="3849"/>
      <c r="BN71" s="3849"/>
      <c r="BO71" s="3849"/>
      <c r="BP71" s="3849"/>
      <c r="BQ71" s="3849"/>
      <c r="BR71" s="3849"/>
      <c r="BS71" s="3849"/>
      <c r="BT71" s="3849"/>
      <c r="BU71" s="3849"/>
      <c r="BV71" s="3849"/>
      <c r="BW71" s="3849"/>
      <c r="BX71" s="3849"/>
      <c r="BY71" s="3849"/>
      <c r="BZ71" s="3849"/>
      <c r="CA71" s="3849"/>
      <c r="CB71" s="3849"/>
      <c r="CC71" s="3849"/>
      <c r="CD71" s="3849"/>
      <c r="CE71" s="3849"/>
      <c r="CF71" s="3849"/>
      <c r="CG71" s="3849"/>
      <c r="CH71" s="3849"/>
      <c r="CI71" s="3849"/>
      <c r="CJ71" s="3849"/>
      <c r="CK71" s="3849"/>
      <c r="CL71" s="3849"/>
      <c r="CM71" s="3849"/>
      <c r="CN71" s="3849"/>
      <c r="CO71" s="3849"/>
      <c r="CP71" s="3849"/>
      <c r="CQ71" s="3849"/>
    </row>
  </sheetData>
  <mergeCells count="30">
    <mergeCell ref="BY43:CB43"/>
    <mergeCell ref="CC43:CF43"/>
    <mergeCell ref="CG43:CJ43"/>
    <mergeCell ref="CK43:CN43"/>
    <mergeCell ref="BA43:BD43"/>
    <mergeCell ref="BE43:BH43"/>
    <mergeCell ref="BI43:BL43"/>
    <mergeCell ref="BM43:BP43"/>
    <mergeCell ref="BQ43:BT43"/>
    <mergeCell ref="BU43:BX43"/>
    <mergeCell ref="AW43:AZ43"/>
    <mergeCell ref="D39:AA39"/>
    <mergeCell ref="D40:AA40"/>
    <mergeCell ref="D43:H43"/>
    <mergeCell ref="I43:L43"/>
    <mergeCell ref="M43:P43"/>
    <mergeCell ref="Q43:T43"/>
    <mergeCell ref="U43:X43"/>
    <mergeCell ref="Y43:AB43"/>
    <mergeCell ref="AC43:AF43"/>
    <mergeCell ref="AG43:AJ43"/>
    <mergeCell ref="AK43:AN43"/>
    <mergeCell ref="AO43:AR43"/>
    <mergeCell ref="AS43:AV43"/>
    <mergeCell ref="D38:AA38"/>
    <mergeCell ref="D2:AA2"/>
    <mergeCell ref="D3:AA3"/>
    <mergeCell ref="D4:AA4"/>
    <mergeCell ref="D5:AA5"/>
    <mergeCell ref="D37:AA37"/>
  </mergeCells>
  <pageMargins left="0.74803149606299202" right="0.74803149606299202" top="0.98425196850393704" bottom="0.98425196850393704" header="0.511811023622047" footer="0.511811023622047"/>
  <pageSetup paperSize="9" scale="70" orientation="landscape" r:id="rId1"/>
  <headerFooter alignWithMargins="0">
    <oddHeader>&amp;C&amp;"-,Bold"DEVELOPMENT INDICATORS 2017</oddHeader>
    <oddFooter>&amp;LDepartment of Planning, Monitoring and Evaluation (DPME). &amp;CPage &amp;P of &amp;N&amp;R&amp;D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BAD6C58B327114E96CC8788E47AB5A3" ma:contentTypeVersion="3" ma:contentTypeDescription="Create a new document." ma:contentTypeScope="" ma:versionID="e0d277a0030a70c437554211e8d8b47a">
  <xsd:schema xmlns:xsd="http://www.w3.org/2001/XMLSchema" xmlns:xs="http://www.w3.org/2001/XMLSchema" xmlns:p="http://schemas.microsoft.com/office/2006/metadata/properties" xmlns:ns2="e925e563-aa8d-4721-806a-eee397b052e4" xmlns:ns3="baa0e0f4-f263-427a-80da-7f3591d32fb2" targetNamespace="http://schemas.microsoft.com/office/2006/metadata/properties" ma:root="true" ma:fieldsID="a52996ccb3645fa634679786c2de896a" ns2:_="" ns3:_="">
    <xsd:import namespace="e925e563-aa8d-4721-806a-eee397b052e4"/>
    <xsd:import namespace="baa0e0f4-f263-427a-80da-7f3591d32fb2"/>
    <xsd:element name="properties">
      <xsd:complexType>
        <xsd:sequence>
          <xsd:element name="documentManagement">
            <xsd:complexType>
              <xsd:all>
                <xsd:element ref="ns2:Heading" minOccurs="0"/>
                <xsd:element ref="ns2:Rank"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5e563-aa8d-4721-806a-eee397b052e4" elementFormDefault="qualified">
    <xsd:import namespace="http://schemas.microsoft.com/office/2006/documentManagement/types"/>
    <xsd:import namespace="http://schemas.microsoft.com/office/infopath/2007/PartnerControls"/>
    <xsd:element name="Heading" ma:index="8" nillable="true" ma:displayName="Description" ma:internalName="Heading">
      <xsd:simpleType>
        <xsd:restriction base="dms:Text">
          <xsd:maxLength value="255"/>
        </xsd:restriction>
      </xsd:simpleType>
    </xsd:element>
    <xsd:element name="Rank" ma:index="9" nillable="true" ma:displayName="Rank" ma:decimals="0" ma:internalName="Ran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aa0e0f4-f263-427a-80da-7f3591d32fb2"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Heading xmlns="e925e563-aa8d-4721-806a-eee397b052e4">Other Information Products</Heading>
    <Rank xmlns="e925e563-aa8d-4721-806a-eee397b052e4">5</Rank>
    <_dlc_DocId xmlns="baa0e0f4-f263-427a-80da-7f3591d32fb2">ZKQJ7CNJYW2Z-92-59</_dlc_DocId>
    <_dlc_DocIdUrl xmlns="baa0e0f4-f263-427a-80da-7f3591d32fb2">
      <Url>https://www.dpme.gov.za/publications/_layouts/15/DocIdRedir.aspx?ID=ZKQJ7CNJYW2Z-92-59</Url>
      <Description>ZKQJ7CNJYW2Z-92-59</Description>
    </_dlc_DocIdUrl>
  </documentManagement>
</p:properties>
</file>

<file path=customXml/itemProps1.xml><?xml version="1.0" encoding="utf-8"?>
<ds:datastoreItem xmlns:ds="http://schemas.openxmlformats.org/officeDocument/2006/customXml" ds:itemID="{7EA05924-FB89-4449-AC9E-AEE5E525CE8B}"/>
</file>

<file path=customXml/itemProps2.xml><?xml version="1.0" encoding="utf-8"?>
<ds:datastoreItem xmlns:ds="http://schemas.openxmlformats.org/officeDocument/2006/customXml" ds:itemID="{178D56ED-77AC-41B0-BF83-823C6AE4F188}"/>
</file>

<file path=customXml/itemProps3.xml><?xml version="1.0" encoding="utf-8"?>
<ds:datastoreItem xmlns:ds="http://schemas.openxmlformats.org/officeDocument/2006/customXml" ds:itemID="{36AFB546-BFDD-45E8-856A-92934A3FF016}"/>
</file>

<file path=customXml/itemProps4.xml><?xml version="1.0" encoding="utf-8"?>
<ds:datastoreItem xmlns:ds="http://schemas.openxmlformats.org/officeDocument/2006/customXml" ds:itemID="{EE72232B-8C3F-4700-B2BF-05F8EB512E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82</vt:i4>
      </vt:variant>
    </vt:vector>
  </HeadingPairs>
  <TitlesOfParts>
    <vt:vector size="164" baseType="lpstr">
      <vt:lpstr>Population 2018</vt:lpstr>
      <vt:lpstr>GDP </vt:lpstr>
      <vt:lpstr>GDP per Capita </vt:lpstr>
      <vt:lpstr>NFDI  </vt:lpstr>
      <vt:lpstr>GFCF  </vt:lpstr>
      <vt:lpstr>B deficit </vt:lpstr>
      <vt:lpstr>G debt  </vt:lpstr>
      <vt:lpstr>Interest  </vt:lpstr>
      <vt:lpstr>Inflation  </vt:lpstr>
      <vt:lpstr>Bondpoints Spread </vt:lpstr>
      <vt:lpstr>R&amp;D  </vt:lpstr>
      <vt:lpstr>ICT </vt:lpstr>
      <vt:lpstr>Patents </vt:lpstr>
      <vt:lpstr>Foreign Trade </vt:lpstr>
      <vt:lpstr>Competitiveness </vt:lpstr>
      <vt:lpstr>Employed  </vt:lpstr>
      <vt:lpstr>Unempl </vt:lpstr>
      <vt:lpstr>EPWP </vt:lpstr>
      <vt:lpstr>CWP </vt:lpstr>
      <vt:lpstr>BM  </vt:lpstr>
      <vt:lpstr>LSM </vt:lpstr>
      <vt:lpstr>Inequality</vt:lpstr>
      <vt:lpstr>Poverty Headcount</vt:lpstr>
      <vt:lpstr>Poverty Gap indices  </vt:lpstr>
      <vt:lpstr>Grants</vt:lpstr>
      <vt:lpstr>People with disability </vt:lpstr>
      <vt:lpstr>Life Expectancy </vt:lpstr>
      <vt:lpstr>Infant &amp; Child mortality</vt:lpstr>
      <vt:lpstr>Stunting</vt:lpstr>
      <vt:lpstr>Immunization</vt:lpstr>
      <vt:lpstr>Martenal mortality</vt:lpstr>
      <vt:lpstr>HIV Prevalance </vt:lpstr>
      <vt:lpstr>ART new TROA</vt:lpstr>
      <vt:lpstr>TB</vt:lpstr>
      <vt:lpstr>Malaria</vt:lpstr>
      <vt:lpstr>ECD</vt:lpstr>
      <vt:lpstr>Educator Learner ratio</vt:lpstr>
      <vt:lpstr>Gender parity index</vt:lpstr>
      <vt:lpstr>Matric pass rate</vt:lpstr>
      <vt:lpstr>Mathematics pass rate</vt:lpstr>
      <vt:lpstr>Literacy rate </vt:lpstr>
      <vt:lpstr>SET Uni</vt:lpstr>
      <vt:lpstr>Educational Perfomance  </vt:lpstr>
      <vt:lpstr>Maths, science perf</vt:lpstr>
      <vt:lpstr>Skills and training</vt:lpstr>
      <vt:lpstr>Civil Society</vt:lpstr>
      <vt:lpstr>Voter Participation</vt:lpstr>
      <vt:lpstr>Voter prov</vt:lpstr>
      <vt:lpstr>Women legislative bodies</vt:lpstr>
      <vt:lpstr>Confident in happy future</vt:lpstr>
      <vt:lpstr>Race relations opinion</vt:lpstr>
      <vt:lpstr>Country direction</vt:lpstr>
      <vt:lpstr>Self description</vt:lpstr>
      <vt:lpstr>Pride in being SA</vt:lpstr>
      <vt:lpstr>Crime Victims </vt:lpstr>
      <vt:lpstr>Crime rate</vt:lpstr>
      <vt:lpstr>Charges to court</vt:lpstr>
      <vt:lpstr>Property crime</vt:lpstr>
      <vt:lpstr>Contact crime</vt:lpstr>
      <vt:lpstr>Serious robberies</vt:lpstr>
      <vt:lpstr>Drug-Related Crime</vt:lpstr>
      <vt:lpstr>Sexual offences</vt:lpstr>
      <vt:lpstr>Convictions</vt:lpstr>
      <vt:lpstr>Detainees</vt:lpstr>
      <vt:lpstr>Rehabilitation</vt:lpstr>
      <vt:lpstr>Parolees</vt:lpstr>
      <vt:lpstr>Road Accidents</vt:lpstr>
      <vt:lpstr>Peace Operations</vt:lpstr>
      <vt:lpstr>Development cooperation</vt:lpstr>
      <vt:lpstr>Tourism</vt:lpstr>
      <vt:lpstr>Missions</vt:lpstr>
      <vt:lpstr>International Agreements</vt:lpstr>
      <vt:lpstr>Tax Admin</vt:lpstr>
      <vt:lpstr>Qualified Audits</vt:lpstr>
      <vt:lpstr>Corruption</vt:lpstr>
      <vt:lpstr>Budget Process</vt:lpstr>
      <vt:lpstr>Public Opinion </vt:lpstr>
      <vt:lpstr>Doing business</vt:lpstr>
      <vt:lpstr>Gas Emission </vt:lpstr>
      <vt:lpstr>Air Quality</vt:lpstr>
      <vt:lpstr>Terrestrial BPI</vt:lpstr>
      <vt:lpstr>Marine PAs</vt:lpstr>
      <vt:lpstr>TB!_msocom_4</vt:lpstr>
      <vt:lpstr>'Air Quality'!Print_Area</vt:lpstr>
      <vt:lpstr>'ART new TROA'!Print_Area</vt:lpstr>
      <vt:lpstr>'B deficit '!Print_Area</vt:lpstr>
      <vt:lpstr>'BM  '!Print_Area</vt:lpstr>
      <vt:lpstr>'Bondpoints Spread '!Print_Area</vt:lpstr>
      <vt:lpstr>'Budget Process'!Print_Area</vt:lpstr>
      <vt:lpstr>'Charges to court'!Print_Area</vt:lpstr>
      <vt:lpstr>'Civil Society'!Print_Area</vt:lpstr>
      <vt:lpstr>'Competitiveness '!Print_Area</vt:lpstr>
      <vt:lpstr>'Confident in happy future'!Print_Area</vt:lpstr>
      <vt:lpstr>'Contact crime'!Print_Area</vt:lpstr>
      <vt:lpstr>Convictions!Print_Area</vt:lpstr>
      <vt:lpstr>Corruption!Print_Area</vt:lpstr>
      <vt:lpstr>'Country direction'!Print_Area</vt:lpstr>
      <vt:lpstr>'Crime rate'!Print_Area</vt:lpstr>
      <vt:lpstr>'Crime Victims '!Print_Area</vt:lpstr>
      <vt:lpstr>'CWP '!Print_Area</vt:lpstr>
      <vt:lpstr>Detainees!Print_Area</vt:lpstr>
      <vt:lpstr>'Development cooperation'!Print_Area</vt:lpstr>
      <vt:lpstr>'Doing business'!Print_Area</vt:lpstr>
      <vt:lpstr>'Drug-Related Crime'!Print_Area</vt:lpstr>
      <vt:lpstr>ECD!Print_Area</vt:lpstr>
      <vt:lpstr>'Educational Perfomance  '!Print_Area</vt:lpstr>
      <vt:lpstr>'Educator Learner ratio'!Print_Area</vt:lpstr>
      <vt:lpstr>'Employed  '!Print_Area</vt:lpstr>
      <vt:lpstr>'EPWP '!Print_Area</vt:lpstr>
      <vt:lpstr>'Foreign Trade '!Print_Area</vt:lpstr>
      <vt:lpstr>'G debt  '!Print_Area</vt:lpstr>
      <vt:lpstr>'Gas Emission '!Print_Area</vt:lpstr>
      <vt:lpstr>'GDP '!Print_Area</vt:lpstr>
      <vt:lpstr>'GDP per Capita '!Print_Area</vt:lpstr>
      <vt:lpstr>'Gender parity index'!Print_Area</vt:lpstr>
      <vt:lpstr>'GFCF  '!Print_Area</vt:lpstr>
      <vt:lpstr>Grants!Print_Area</vt:lpstr>
      <vt:lpstr>'HIV Prevalance '!Print_Area</vt:lpstr>
      <vt:lpstr>'ICT '!Print_Area</vt:lpstr>
      <vt:lpstr>Immunization!Print_Area</vt:lpstr>
      <vt:lpstr>Inequality!Print_Area</vt:lpstr>
      <vt:lpstr>'Infant &amp; Child mortality'!Print_Area</vt:lpstr>
      <vt:lpstr>'Inflation  '!Print_Area</vt:lpstr>
      <vt:lpstr>'Interest  '!Print_Area</vt:lpstr>
      <vt:lpstr>'International Agreements'!Print_Area</vt:lpstr>
      <vt:lpstr>'Life Expectancy '!Print_Area</vt:lpstr>
      <vt:lpstr>'Literacy rate '!Print_Area</vt:lpstr>
      <vt:lpstr>'LSM '!Print_Area</vt:lpstr>
      <vt:lpstr>Malaria!Print_Area</vt:lpstr>
      <vt:lpstr>'Marine PAs'!Print_Area</vt:lpstr>
      <vt:lpstr>'Martenal mortality'!Print_Area</vt:lpstr>
      <vt:lpstr>'Mathematics pass rate'!Print_Area</vt:lpstr>
      <vt:lpstr>'Maths, science perf'!Print_Area</vt:lpstr>
      <vt:lpstr>'Matric pass rate'!Print_Area</vt:lpstr>
      <vt:lpstr>Missions!Print_Area</vt:lpstr>
      <vt:lpstr>'NFDI  '!Print_Area</vt:lpstr>
      <vt:lpstr>Parolees!Print_Area</vt:lpstr>
      <vt:lpstr>'Patents '!Print_Area</vt:lpstr>
      <vt:lpstr>'Peace Operations'!Print_Area</vt:lpstr>
      <vt:lpstr>'People with disability '!Print_Area</vt:lpstr>
      <vt:lpstr>'Poverty Gap indices  '!Print_Area</vt:lpstr>
      <vt:lpstr>'Poverty Headcount'!Print_Area</vt:lpstr>
      <vt:lpstr>'Pride in being SA'!Print_Area</vt:lpstr>
      <vt:lpstr>'Property crime'!Print_Area</vt:lpstr>
      <vt:lpstr>'Public Opinion '!Print_Area</vt:lpstr>
      <vt:lpstr>'Qualified Audits'!Print_Area</vt:lpstr>
      <vt:lpstr>'R&amp;D  '!Print_Area</vt:lpstr>
      <vt:lpstr>'Race relations opinion'!Print_Area</vt:lpstr>
      <vt:lpstr>Rehabilitation!Print_Area</vt:lpstr>
      <vt:lpstr>'Road Accidents'!Print_Area</vt:lpstr>
      <vt:lpstr>'Self description'!Print_Area</vt:lpstr>
      <vt:lpstr>'Serious robberies'!Print_Area</vt:lpstr>
      <vt:lpstr>'SET Uni'!Print_Area</vt:lpstr>
      <vt:lpstr>'Sexual offences'!Print_Area</vt:lpstr>
      <vt:lpstr>'Skills and training'!Print_Area</vt:lpstr>
      <vt:lpstr>Stunting!Print_Area</vt:lpstr>
      <vt:lpstr>'Tax Admin'!Print_Area</vt:lpstr>
      <vt:lpstr>TB!Print_Area</vt:lpstr>
      <vt:lpstr>'Terrestrial BPI'!Print_Area</vt:lpstr>
      <vt:lpstr>Tourism!Print_Area</vt:lpstr>
      <vt:lpstr>'Unempl '!Print_Area</vt:lpstr>
      <vt:lpstr>'Voter Participation'!Print_Area</vt:lpstr>
      <vt:lpstr>'Voter prov'!Print_Area</vt:lpstr>
      <vt:lpstr>'Women legislative bodies'!Print_Area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Indicators 2017</dc:title>
  <dc:creator>Tovhowani Tharaga</dc:creator>
  <cp:lastModifiedBy>Tovhowani Tharaga</cp:lastModifiedBy>
  <dcterms:created xsi:type="dcterms:W3CDTF">2018-11-28T08:37:07Z</dcterms:created>
  <dcterms:modified xsi:type="dcterms:W3CDTF">2018-12-03T06:56:58Z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0x010100CBAD6C58B327114E96CC8788E47AB5A3</vt:lpwstr>
  </property>
  <property fmtid="{D5CDD505-2E9C-101B-9397-08002B2CF9AE}" pid="3" name="_dlc_DocIdItemGuid">
    <vt:lpwstr>05b25a62-370a-4602-9876-3ce6adeb51ab</vt:lpwstr>
  </property>
</Properties>
</file>